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560" yWindow="560" windowWidth="25040" windowHeight="13880" tabRatio="500"/>
  </bookViews>
  <sheets>
    <sheet name="Sheet1" sheetId="1" r:id="rId1"/>
  </sheets>
  <externalReferences>
    <externalReference r:id="rId2"/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44" i="1" l="1"/>
  <c r="N245" i="1"/>
  <c r="I244" i="1"/>
  <c r="I245" i="1"/>
  <c r="N236" i="1"/>
  <c r="N235" i="1"/>
  <c r="N237" i="1"/>
  <c r="I236" i="1"/>
  <c r="I235" i="1"/>
  <c r="I237" i="1"/>
  <c r="N218" i="1"/>
  <c r="O228" i="1"/>
  <c r="P228" i="1"/>
  <c r="H29" i="1"/>
  <c r="H39" i="1"/>
  <c r="H218" i="1"/>
  <c r="I228" i="1"/>
  <c r="J228" i="1"/>
  <c r="N227" i="1"/>
  <c r="O227" i="1"/>
  <c r="P227" i="1"/>
  <c r="H227" i="1"/>
  <c r="I227" i="1"/>
  <c r="J227" i="1"/>
  <c r="O226" i="1"/>
  <c r="P226" i="1"/>
  <c r="I226" i="1"/>
  <c r="J226" i="1"/>
  <c r="O225" i="1"/>
  <c r="P225" i="1"/>
  <c r="I225" i="1"/>
  <c r="J225" i="1"/>
  <c r="O224" i="1"/>
  <c r="P224" i="1"/>
  <c r="I224" i="1"/>
  <c r="J224" i="1"/>
  <c r="N223" i="1"/>
  <c r="O223" i="1"/>
  <c r="P223" i="1"/>
  <c r="H223" i="1"/>
  <c r="I223" i="1"/>
  <c r="J223" i="1"/>
  <c r="O222" i="1"/>
  <c r="P222" i="1"/>
  <c r="I222" i="1"/>
  <c r="J222" i="1"/>
  <c r="O221" i="1"/>
  <c r="P221" i="1"/>
  <c r="I221" i="1"/>
  <c r="J221" i="1"/>
  <c r="N219" i="1"/>
  <c r="H28" i="1"/>
  <c r="H40" i="1"/>
  <c r="H219" i="1"/>
  <c r="N215" i="1"/>
  <c r="H215" i="1"/>
  <c r="M29" i="1"/>
  <c r="M203" i="1"/>
  <c r="M28" i="1"/>
  <c r="M30" i="1"/>
  <c r="M206" i="1"/>
  <c r="M209" i="1"/>
  <c r="M210" i="1"/>
  <c r="M212" i="1"/>
  <c r="L29" i="1"/>
  <c r="L203" i="1"/>
  <c r="L28" i="1"/>
  <c r="L30" i="1"/>
  <c r="L206" i="1"/>
  <c r="L209" i="1"/>
  <c r="L210" i="1"/>
  <c r="L212" i="1"/>
  <c r="K29" i="1"/>
  <c r="K203" i="1"/>
  <c r="K28" i="1"/>
  <c r="K30" i="1"/>
  <c r="K206" i="1"/>
  <c r="K209" i="1"/>
  <c r="K210" i="1"/>
  <c r="K212" i="1"/>
  <c r="J29" i="1"/>
  <c r="J203" i="1"/>
  <c r="J28" i="1"/>
  <c r="J30" i="1"/>
  <c r="J206" i="1"/>
  <c r="J209" i="1"/>
  <c r="J210" i="1"/>
  <c r="J212" i="1"/>
  <c r="I29" i="1"/>
  <c r="I203" i="1"/>
  <c r="I28" i="1"/>
  <c r="I30" i="1"/>
  <c r="I206" i="1"/>
  <c r="I209" i="1"/>
  <c r="I210" i="1"/>
  <c r="I212" i="1"/>
  <c r="H203" i="1"/>
  <c r="H206" i="1"/>
  <c r="H209" i="1"/>
  <c r="H210" i="1"/>
  <c r="H212" i="1"/>
  <c r="G29" i="1"/>
  <c r="G203" i="1"/>
  <c r="G28" i="1"/>
  <c r="G206" i="1"/>
  <c r="G209" i="1"/>
  <c r="G210" i="1"/>
  <c r="G212" i="1"/>
  <c r="F29" i="1"/>
  <c r="F203" i="1"/>
  <c r="F28" i="1"/>
  <c r="F206" i="1"/>
  <c r="F209" i="1"/>
  <c r="F210" i="1"/>
  <c r="F212" i="1"/>
  <c r="E29" i="1"/>
  <c r="D204" i="1"/>
  <c r="E204" i="1"/>
  <c r="E203" i="1"/>
  <c r="E28" i="1"/>
  <c r="E206" i="1"/>
  <c r="E209" i="1"/>
  <c r="E210" i="1"/>
  <c r="E212" i="1"/>
  <c r="D29" i="1"/>
  <c r="D203" i="1"/>
  <c r="D28" i="1"/>
  <c r="D206" i="1"/>
  <c r="D209" i="1"/>
  <c r="D210" i="1"/>
  <c r="D212" i="1"/>
  <c r="C29" i="1"/>
  <c r="C203" i="1"/>
  <c r="C28" i="1"/>
  <c r="C206" i="1"/>
  <c r="C209" i="1"/>
  <c r="C210" i="1"/>
  <c r="C212" i="1"/>
  <c r="M211" i="1"/>
  <c r="L211" i="1"/>
  <c r="K211" i="1"/>
  <c r="J211" i="1"/>
  <c r="I211" i="1"/>
  <c r="H211" i="1"/>
  <c r="G211" i="1"/>
  <c r="F211" i="1"/>
  <c r="E211" i="1"/>
  <c r="D211" i="1"/>
  <c r="C211" i="1"/>
  <c r="M207" i="1"/>
  <c r="L207" i="1"/>
  <c r="K207" i="1"/>
  <c r="J207" i="1"/>
  <c r="I207" i="1"/>
  <c r="H207" i="1"/>
  <c r="G207" i="1"/>
  <c r="F207" i="1"/>
  <c r="E207" i="1"/>
  <c r="D207" i="1"/>
  <c r="C207" i="1"/>
  <c r="M36" i="1"/>
  <c r="M205" i="1"/>
  <c r="L36" i="1"/>
  <c r="L205" i="1"/>
  <c r="K36" i="1"/>
  <c r="K205" i="1"/>
  <c r="J36" i="1"/>
  <c r="J205" i="1"/>
  <c r="I36" i="1"/>
  <c r="I205" i="1"/>
  <c r="H36" i="1"/>
  <c r="H205" i="1"/>
  <c r="G36" i="1"/>
  <c r="G205" i="1"/>
  <c r="F36" i="1"/>
  <c r="F205" i="1"/>
  <c r="E36" i="1"/>
  <c r="E205" i="1"/>
  <c r="D36" i="1"/>
  <c r="D205" i="1"/>
  <c r="C36" i="1"/>
  <c r="C205" i="1"/>
  <c r="M198" i="1"/>
  <c r="L198" i="1"/>
  <c r="K198" i="1"/>
  <c r="J198" i="1"/>
  <c r="I198" i="1"/>
  <c r="H198" i="1"/>
  <c r="G198" i="1"/>
  <c r="F198" i="1"/>
  <c r="E198" i="1"/>
  <c r="M192" i="1"/>
  <c r="M183" i="1"/>
  <c r="M197" i="1"/>
  <c r="L192" i="1"/>
  <c r="L183" i="1"/>
  <c r="L197" i="1"/>
  <c r="K192" i="1"/>
  <c r="K183" i="1"/>
  <c r="K197" i="1"/>
  <c r="J192" i="1"/>
  <c r="J183" i="1"/>
  <c r="J197" i="1"/>
  <c r="I192" i="1"/>
  <c r="I183" i="1"/>
  <c r="I197" i="1"/>
  <c r="H192" i="1"/>
  <c r="H183" i="1"/>
  <c r="H197" i="1"/>
  <c r="G192" i="1"/>
  <c r="G183" i="1"/>
  <c r="G197" i="1"/>
  <c r="F192" i="1"/>
  <c r="F183" i="1"/>
  <c r="F197" i="1"/>
  <c r="E192" i="1"/>
  <c r="E183" i="1"/>
  <c r="E197" i="1"/>
  <c r="M191" i="1"/>
  <c r="M184" i="1"/>
  <c r="M196" i="1"/>
  <c r="L191" i="1"/>
  <c r="L184" i="1"/>
  <c r="L196" i="1"/>
  <c r="K191" i="1"/>
  <c r="K184" i="1"/>
  <c r="K196" i="1"/>
  <c r="J191" i="1"/>
  <c r="J184" i="1"/>
  <c r="J196" i="1"/>
  <c r="I191" i="1"/>
  <c r="I184" i="1"/>
  <c r="I196" i="1"/>
  <c r="H191" i="1"/>
  <c r="H184" i="1"/>
  <c r="H196" i="1"/>
  <c r="G191" i="1"/>
  <c r="G184" i="1"/>
  <c r="G196" i="1"/>
  <c r="F191" i="1"/>
  <c r="F184" i="1"/>
  <c r="F196" i="1"/>
  <c r="E191" i="1"/>
  <c r="E184" i="1"/>
  <c r="E196" i="1"/>
  <c r="M194" i="1"/>
  <c r="L194" i="1"/>
  <c r="K194" i="1"/>
  <c r="J194" i="1"/>
  <c r="I194" i="1"/>
  <c r="H194" i="1"/>
  <c r="G194" i="1"/>
  <c r="F194" i="1"/>
  <c r="E194" i="1"/>
  <c r="M24" i="1"/>
  <c r="M26" i="1"/>
  <c r="M32" i="1"/>
  <c r="M187" i="1"/>
  <c r="L24" i="1"/>
  <c r="L26" i="1"/>
  <c r="L32" i="1"/>
  <c r="L187" i="1"/>
  <c r="K24" i="1"/>
  <c r="K26" i="1"/>
  <c r="K32" i="1"/>
  <c r="K187" i="1"/>
  <c r="J24" i="1"/>
  <c r="J26" i="1"/>
  <c r="J32" i="1"/>
  <c r="J187" i="1"/>
  <c r="I26" i="1"/>
  <c r="I32" i="1"/>
  <c r="I187" i="1"/>
  <c r="H32" i="1"/>
  <c r="H187" i="1"/>
  <c r="G32" i="1"/>
  <c r="G187" i="1"/>
  <c r="F32" i="1"/>
  <c r="F187" i="1"/>
  <c r="E32" i="1"/>
  <c r="E187" i="1"/>
  <c r="D32" i="1"/>
  <c r="D187" i="1"/>
  <c r="C32" i="1"/>
  <c r="C187" i="1"/>
  <c r="B187" i="1"/>
  <c r="M31" i="1"/>
  <c r="M186" i="1"/>
  <c r="L31" i="1"/>
  <c r="L186" i="1"/>
  <c r="K31" i="1"/>
  <c r="K186" i="1"/>
  <c r="J31" i="1"/>
  <c r="J186" i="1"/>
  <c r="I31" i="1"/>
  <c r="I186" i="1"/>
  <c r="H31" i="1"/>
  <c r="H186" i="1"/>
  <c r="G31" i="1"/>
  <c r="G186" i="1"/>
  <c r="F31" i="1"/>
  <c r="F186" i="1"/>
  <c r="E31" i="1"/>
  <c r="E186" i="1"/>
  <c r="D31" i="1"/>
  <c r="D186" i="1"/>
  <c r="C31" i="1"/>
  <c r="C186" i="1"/>
  <c r="B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D184" i="1"/>
  <c r="C184" i="1"/>
  <c r="B184" i="1"/>
  <c r="D183" i="1"/>
  <c r="C183" i="1"/>
  <c r="B183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B175" i="1"/>
  <c r="H71" i="1"/>
  <c r="H67" i="1"/>
  <c r="H75" i="1"/>
  <c r="H165" i="1"/>
  <c r="H170" i="1"/>
  <c r="G39" i="1"/>
  <c r="G71" i="1"/>
  <c r="G67" i="1"/>
  <c r="G75" i="1"/>
  <c r="G165" i="1"/>
  <c r="G170" i="1"/>
  <c r="F39" i="1"/>
  <c r="F71" i="1"/>
  <c r="F67" i="1"/>
  <c r="F75" i="1"/>
  <c r="F165" i="1"/>
  <c r="F170" i="1"/>
  <c r="E39" i="1"/>
  <c r="E71" i="1"/>
  <c r="E67" i="1"/>
  <c r="E75" i="1"/>
  <c r="E165" i="1"/>
  <c r="E170" i="1"/>
  <c r="D39" i="1"/>
  <c r="D71" i="1"/>
  <c r="D67" i="1"/>
  <c r="D75" i="1"/>
  <c r="D165" i="1"/>
  <c r="D170" i="1"/>
  <c r="C39" i="1"/>
  <c r="C71" i="1"/>
  <c r="C67" i="1"/>
  <c r="C75" i="1"/>
  <c r="C165" i="1"/>
  <c r="C166" i="1"/>
  <c r="C167" i="1"/>
  <c r="C168" i="1"/>
  <c r="C169" i="1"/>
  <c r="C170" i="1"/>
  <c r="H169" i="1"/>
  <c r="G169" i="1"/>
  <c r="F169" i="1"/>
  <c r="E169" i="1"/>
  <c r="D169" i="1"/>
  <c r="H168" i="1"/>
  <c r="G168" i="1"/>
  <c r="F168" i="1"/>
  <c r="E168" i="1"/>
  <c r="D168" i="1"/>
  <c r="H167" i="1"/>
  <c r="G167" i="1"/>
  <c r="F167" i="1"/>
  <c r="E167" i="1"/>
  <c r="D167" i="1"/>
  <c r="H166" i="1"/>
  <c r="G166" i="1"/>
  <c r="F166" i="1"/>
  <c r="E166" i="1"/>
  <c r="D166" i="1"/>
  <c r="H66" i="1"/>
  <c r="H70" i="1"/>
  <c r="H74" i="1"/>
  <c r="H164" i="1"/>
  <c r="G66" i="1"/>
  <c r="G40" i="1"/>
  <c r="G70" i="1"/>
  <c r="G74" i="1"/>
  <c r="G164" i="1"/>
  <c r="F66" i="1"/>
  <c r="F40" i="1"/>
  <c r="F70" i="1"/>
  <c r="F74" i="1"/>
  <c r="F164" i="1"/>
  <c r="E66" i="1"/>
  <c r="E40" i="1"/>
  <c r="E70" i="1"/>
  <c r="E74" i="1"/>
  <c r="E164" i="1"/>
  <c r="D66" i="1"/>
  <c r="D40" i="1"/>
  <c r="D70" i="1"/>
  <c r="D74" i="1"/>
  <c r="D164" i="1"/>
  <c r="C66" i="1"/>
  <c r="C40" i="1"/>
  <c r="C70" i="1"/>
  <c r="C74" i="1"/>
  <c r="C164" i="1"/>
  <c r="G141" i="1"/>
  <c r="G150" i="1"/>
  <c r="G153" i="1"/>
  <c r="G140" i="1"/>
  <c r="G149" i="1"/>
  <c r="G152" i="1"/>
  <c r="G154" i="1"/>
  <c r="E121" i="1"/>
  <c r="F121" i="1"/>
  <c r="G121" i="1"/>
  <c r="H121" i="1"/>
  <c r="I121" i="1"/>
  <c r="J121" i="1"/>
  <c r="K121" i="1"/>
  <c r="L121" i="1"/>
  <c r="M121" i="1"/>
  <c r="M124" i="1"/>
  <c r="M138" i="1"/>
  <c r="M141" i="1"/>
  <c r="M145" i="1"/>
  <c r="L124" i="1"/>
  <c r="L145" i="1"/>
  <c r="K124" i="1"/>
  <c r="K145" i="1"/>
  <c r="J124" i="1"/>
  <c r="J145" i="1"/>
  <c r="I124" i="1"/>
  <c r="I145" i="1"/>
  <c r="H124" i="1"/>
  <c r="H141" i="1"/>
  <c r="H145" i="1"/>
  <c r="G124" i="1"/>
  <c r="G145" i="1"/>
  <c r="F124" i="1"/>
  <c r="F141" i="1"/>
  <c r="F145" i="1"/>
  <c r="E120" i="1"/>
  <c r="F120" i="1"/>
  <c r="G120" i="1"/>
  <c r="H120" i="1"/>
  <c r="I120" i="1"/>
  <c r="J120" i="1"/>
  <c r="K120" i="1"/>
  <c r="L120" i="1"/>
  <c r="M120" i="1"/>
  <c r="M123" i="1"/>
  <c r="M137" i="1"/>
  <c r="M140" i="1"/>
  <c r="M144" i="1"/>
  <c r="L123" i="1"/>
  <c r="L144" i="1"/>
  <c r="K123" i="1"/>
  <c r="K144" i="1"/>
  <c r="J123" i="1"/>
  <c r="J144" i="1"/>
  <c r="I123" i="1"/>
  <c r="I144" i="1"/>
  <c r="H123" i="1"/>
  <c r="H140" i="1"/>
  <c r="H144" i="1"/>
  <c r="G123" i="1"/>
  <c r="G144" i="1"/>
  <c r="F123" i="1"/>
  <c r="F140" i="1"/>
  <c r="F144" i="1"/>
  <c r="E129" i="1"/>
  <c r="F129" i="1"/>
  <c r="G129" i="1"/>
  <c r="H129" i="1"/>
  <c r="I129" i="1"/>
  <c r="J129" i="1"/>
  <c r="J131" i="1"/>
  <c r="J132" i="1"/>
  <c r="I131" i="1"/>
  <c r="H76" i="1"/>
  <c r="H85" i="1"/>
  <c r="I132" i="1"/>
  <c r="H131" i="1"/>
  <c r="G76" i="1"/>
  <c r="G85" i="1"/>
  <c r="H132" i="1"/>
  <c r="G131" i="1"/>
  <c r="F76" i="1"/>
  <c r="F85" i="1"/>
  <c r="G132" i="1"/>
  <c r="F131" i="1"/>
  <c r="E76" i="1"/>
  <c r="E85" i="1"/>
  <c r="F132" i="1"/>
  <c r="G130" i="1"/>
  <c r="F130" i="1"/>
  <c r="E130" i="1"/>
  <c r="G91" i="1"/>
  <c r="F91" i="1"/>
  <c r="H41" i="1"/>
  <c r="H88" i="1"/>
  <c r="G88" i="1"/>
  <c r="F88" i="1"/>
  <c r="E88" i="1"/>
  <c r="H87" i="1"/>
  <c r="G87" i="1"/>
  <c r="F87" i="1"/>
  <c r="E87" i="1"/>
  <c r="M39" i="1"/>
  <c r="M71" i="1"/>
  <c r="M67" i="1"/>
  <c r="M75" i="1"/>
  <c r="M66" i="1"/>
  <c r="M40" i="1"/>
  <c r="M70" i="1"/>
  <c r="M74" i="1"/>
  <c r="M76" i="1"/>
  <c r="L39" i="1"/>
  <c r="L71" i="1"/>
  <c r="L67" i="1"/>
  <c r="L75" i="1"/>
  <c r="L66" i="1"/>
  <c r="L40" i="1"/>
  <c r="L70" i="1"/>
  <c r="L74" i="1"/>
  <c r="L76" i="1"/>
  <c r="K39" i="1"/>
  <c r="K71" i="1"/>
  <c r="K67" i="1"/>
  <c r="K75" i="1"/>
  <c r="K66" i="1"/>
  <c r="K40" i="1"/>
  <c r="K70" i="1"/>
  <c r="K74" i="1"/>
  <c r="K76" i="1"/>
  <c r="J39" i="1"/>
  <c r="J71" i="1"/>
  <c r="J67" i="1"/>
  <c r="J75" i="1"/>
  <c r="J66" i="1"/>
  <c r="J40" i="1"/>
  <c r="J70" i="1"/>
  <c r="J74" i="1"/>
  <c r="J76" i="1"/>
  <c r="I39" i="1"/>
  <c r="I71" i="1"/>
  <c r="I67" i="1"/>
  <c r="I75" i="1"/>
  <c r="I66" i="1"/>
  <c r="I40" i="1"/>
  <c r="I70" i="1"/>
  <c r="I74" i="1"/>
  <c r="I76" i="1"/>
  <c r="D76" i="1"/>
  <c r="C76" i="1"/>
  <c r="M72" i="1"/>
  <c r="L72" i="1"/>
  <c r="K72" i="1"/>
  <c r="J72" i="1"/>
  <c r="I72" i="1"/>
  <c r="H72" i="1"/>
  <c r="G72" i="1"/>
  <c r="F72" i="1"/>
  <c r="E72" i="1"/>
  <c r="D72" i="1"/>
  <c r="C72" i="1"/>
  <c r="M68" i="1"/>
  <c r="L68" i="1"/>
  <c r="K68" i="1"/>
  <c r="J68" i="1"/>
  <c r="I68" i="1"/>
  <c r="H68" i="1"/>
  <c r="G68" i="1"/>
  <c r="F68" i="1"/>
  <c r="E68" i="1"/>
  <c r="D68" i="1"/>
  <c r="C68" i="1"/>
  <c r="M60" i="1"/>
  <c r="L60" i="1"/>
  <c r="K60" i="1"/>
  <c r="J60" i="1"/>
  <c r="I60" i="1"/>
  <c r="H60" i="1"/>
  <c r="G60" i="1"/>
  <c r="F60" i="1"/>
  <c r="E60" i="1"/>
  <c r="D60" i="1"/>
  <c r="C60" i="1"/>
  <c r="M45" i="1"/>
  <c r="M55" i="1"/>
  <c r="I41" i="1"/>
  <c r="J41" i="1"/>
  <c r="K41" i="1"/>
  <c r="L41" i="1"/>
  <c r="M41" i="1"/>
  <c r="M56" i="1"/>
  <c r="L45" i="1"/>
  <c r="L55" i="1"/>
  <c r="L56" i="1"/>
  <c r="K45" i="1"/>
  <c r="K55" i="1"/>
  <c r="K56" i="1"/>
  <c r="J45" i="1"/>
  <c r="J55" i="1"/>
  <c r="J56" i="1"/>
  <c r="I45" i="1"/>
  <c r="I55" i="1"/>
  <c r="I56" i="1"/>
  <c r="H45" i="1"/>
  <c r="H55" i="1"/>
  <c r="H56" i="1"/>
  <c r="G45" i="1"/>
  <c r="G55" i="1"/>
  <c r="G56" i="1"/>
  <c r="F45" i="1"/>
  <c r="F55" i="1"/>
  <c r="F56" i="1"/>
  <c r="E45" i="1"/>
  <c r="E55" i="1"/>
  <c r="E56" i="1"/>
  <c r="D45" i="1"/>
  <c r="D55" i="1"/>
  <c r="D41" i="1"/>
  <c r="D56" i="1"/>
  <c r="C45" i="1"/>
  <c r="C55" i="1"/>
  <c r="C41" i="1"/>
  <c r="C56" i="1"/>
  <c r="M43" i="1"/>
  <c r="M34" i="1"/>
  <c r="M54" i="1"/>
  <c r="L43" i="1"/>
  <c r="L34" i="1"/>
  <c r="L54" i="1"/>
  <c r="K43" i="1"/>
  <c r="K34" i="1"/>
  <c r="K54" i="1"/>
  <c r="J43" i="1"/>
  <c r="J34" i="1"/>
  <c r="J54" i="1"/>
  <c r="I43" i="1"/>
  <c r="I34" i="1"/>
  <c r="I54" i="1"/>
  <c r="H43" i="1"/>
  <c r="H34" i="1"/>
  <c r="H54" i="1"/>
  <c r="G43" i="1"/>
  <c r="G34" i="1"/>
  <c r="G54" i="1"/>
  <c r="F43" i="1"/>
  <c r="F34" i="1"/>
  <c r="F54" i="1"/>
  <c r="E43" i="1"/>
  <c r="E34" i="1"/>
  <c r="E54" i="1"/>
  <c r="D43" i="1"/>
  <c r="D34" i="1"/>
  <c r="D54" i="1"/>
  <c r="C43" i="1"/>
  <c r="C34" i="1"/>
  <c r="C54" i="1"/>
  <c r="N52" i="1"/>
  <c r="H52" i="1"/>
  <c r="N51" i="1"/>
  <c r="H51" i="1"/>
  <c r="N50" i="1"/>
  <c r="H50" i="1"/>
  <c r="N49" i="1"/>
  <c r="H49" i="1"/>
  <c r="N43" i="1"/>
  <c r="N34" i="1"/>
  <c r="N48" i="1"/>
  <c r="H48" i="1"/>
  <c r="M44" i="1"/>
  <c r="L44" i="1"/>
  <c r="K44" i="1"/>
  <c r="J44" i="1"/>
  <c r="I44" i="1"/>
  <c r="H44" i="1"/>
  <c r="G44" i="1"/>
  <c r="F44" i="1"/>
  <c r="E44" i="1"/>
  <c r="D44" i="1"/>
  <c r="C44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comments1.xml><?xml version="1.0" encoding="utf-8"?>
<comments xmlns="http://schemas.openxmlformats.org/spreadsheetml/2006/main">
  <authors>
    <author>Michael Lerch</author>
  </authors>
  <commentList>
    <comment ref="J24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Add Oaks at 5627+1500
</t>
        </r>
      </text>
    </comment>
    <comment ref="M28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1541 vs 1021 HDD 1st half
</t>
        </r>
      </text>
    </comment>
    <comment ref="M40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1541 vs 1021 HDD 1st half
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1/3 bldg 53, bldg 13, bldg 50
</t>
        </r>
      </text>
    </comment>
    <comment ref="N51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1/3 bldg 53, bldg 13, bldg 50
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bldg 41a + bldg 41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Michael Lerch:</t>
        </r>
        <r>
          <rPr>
            <sz val="8"/>
            <color indexed="81"/>
            <rFont val="Tahoma"/>
            <family val="2"/>
          </rPr>
          <t xml:space="preserve">
bldg 41a + bldg 41
</t>
        </r>
      </text>
    </comment>
  </commentList>
</comments>
</file>

<file path=xl/sharedStrings.xml><?xml version="1.0" encoding="utf-8"?>
<sst xmlns="http://schemas.openxmlformats.org/spreadsheetml/2006/main" count="220" uniqueCount="136">
  <si>
    <t>CSUMB Energy Usage:</t>
  </si>
  <si>
    <t>Main Campus: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</si>
  <si>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</si>
  <si>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</si>
  <si>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</si>
  <si>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</si>
  <si>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</si>
  <si>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</si>
  <si>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</si>
  <si>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</si>
  <si>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</si>
  <si>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</si>
  <si>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</si>
  <si>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</si>
  <si>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FTE's</t>
  </si>
  <si>
    <t>State FT2</t>
  </si>
  <si>
    <t>Corp FT2</t>
  </si>
  <si>
    <t>Total FT2</t>
  </si>
  <si>
    <t>Estimated</t>
  </si>
  <si>
    <t>Natural Gas Usage Therms</t>
  </si>
  <si>
    <t>Electricity Usage KWH</t>
  </si>
  <si>
    <t>REC's Owned</t>
  </si>
  <si>
    <t>Therms/ft2 yr (Benchmark .45)</t>
  </si>
  <si>
    <t>kwh/ft2 yr (Benchmark 12)</t>
  </si>
  <si>
    <t>BTU's</t>
  </si>
  <si>
    <t>BTU's/GSF</t>
  </si>
  <si>
    <t>CO2 Metric Tons</t>
  </si>
  <si>
    <t>Student Occupied East Campus:</t>
  </si>
  <si>
    <t>Kwh</t>
  </si>
  <si>
    <t>Therms</t>
  </si>
  <si>
    <t>GSF</t>
  </si>
  <si>
    <t>Grand Total:</t>
  </si>
  <si>
    <t>OP8</t>
  </si>
  <si>
    <t>MMBTU</t>
  </si>
  <si>
    <t>Grid Electricity MMBTU</t>
  </si>
  <si>
    <t>Lab GSF</t>
  </si>
  <si>
    <t>Other GSF</t>
  </si>
  <si>
    <t>HDD</t>
  </si>
  <si>
    <t>Grand Total BTU's/GSF</t>
  </si>
  <si>
    <t>CO2 Metric tons/gsf</t>
  </si>
  <si>
    <t>FTE X 1000</t>
  </si>
  <si>
    <t>CO2</t>
  </si>
  <si>
    <t>Main Campus</t>
  </si>
  <si>
    <t>Gas</t>
  </si>
  <si>
    <t>Elect</t>
  </si>
  <si>
    <t>Main Campus Subtotal</t>
  </si>
  <si>
    <t>East Campus</t>
  </si>
  <si>
    <t>East Campus Subtotal</t>
  </si>
  <si>
    <t>Total</t>
  </si>
  <si>
    <t>Grand Total Energy &amp; Utilities</t>
  </si>
  <si>
    <t>Other Reportable</t>
  </si>
  <si>
    <t>Mobile combustion</t>
  </si>
  <si>
    <t>fugitive</t>
  </si>
  <si>
    <t>travel&amp;solid</t>
  </si>
  <si>
    <t>Super Grand Total:</t>
  </si>
  <si>
    <t>Per FTE</t>
  </si>
  <si>
    <t>Per GSF</t>
  </si>
  <si>
    <t>Energy Efficiency Projects:</t>
  </si>
  <si>
    <t>East Campus Lighting Retrofit by Alliance (111,325 kwh in Frederick &amp; Schoonover I+II)</t>
  </si>
  <si>
    <t>MBCX 9 bldg</t>
  </si>
  <si>
    <t>kwh</t>
  </si>
  <si>
    <t>100% Complete</t>
  </si>
  <si>
    <t>therms</t>
  </si>
  <si>
    <t>Light retrofit I</t>
  </si>
  <si>
    <t>HVAC Retrofit 20 bldg</t>
  </si>
  <si>
    <t>Light retrofit II</t>
  </si>
  <si>
    <t>HVAC Retrofit 24 bldg</t>
  </si>
  <si>
    <t>HVAC Retrofit Late 2008 (Aircuity etc…)</t>
  </si>
  <si>
    <t>HVAC Retrofit 2009</t>
  </si>
  <si>
    <t>2K0917306</t>
  </si>
  <si>
    <t>Library Lights</t>
  </si>
  <si>
    <t>PC Power Management</t>
  </si>
  <si>
    <t>2K0916500</t>
  </si>
  <si>
    <t>Cumulative Kwh Savings</t>
  </si>
  <si>
    <t>Cumulative Therm Savings</t>
  </si>
  <si>
    <t>CO2- Mtons</t>
  </si>
  <si>
    <t>New Space</t>
  </si>
  <si>
    <t>Field House</t>
  </si>
  <si>
    <t>Library</t>
  </si>
  <si>
    <t>ACAD II</t>
  </si>
  <si>
    <t>Promontory</t>
  </si>
  <si>
    <t>FT2</t>
  </si>
  <si>
    <t>Cumulative Growth</t>
  </si>
  <si>
    <t>Savings net of growth</t>
  </si>
  <si>
    <t>MEASURED SAVINGS:</t>
  </si>
  <si>
    <t>Actual Kwh Saved:</t>
  </si>
  <si>
    <t>05-06+ metered growth - 08-09 actual</t>
  </si>
  <si>
    <t>Actual Therms saved:</t>
  </si>
  <si>
    <t>$ value of Savings:</t>
  </si>
  <si>
    <t>Natural Gas</t>
  </si>
  <si>
    <t>Electricity</t>
  </si>
  <si>
    <t>Gross Estimate</t>
  </si>
  <si>
    <t>Water Acre Ft</t>
  </si>
  <si>
    <t>Main Campus Electricity</t>
  </si>
  <si>
    <t>Main Campus Gas</t>
  </si>
  <si>
    <t>Main Campus Water + Sewer</t>
  </si>
  <si>
    <t>Total Purchased Utilities</t>
  </si>
  <si>
    <t>Electricity $/Kwh</t>
  </si>
  <si>
    <t>Gas $/Therm</t>
  </si>
  <si>
    <t>Water+Sewer $/Acre FT</t>
  </si>
  <si>
    <t>Decreasing Grid CO2 Content</t>
  </si>
  <si>
    <t>Main campus Grid constant 805lbs/MWh</t>
  </si>
  <si>
    <t>Main campus Grid Decreasing RECs valued at Grid</t>
  </si>
  <si>
    <t>Main campus Grid Decreasing, Solar Backed Out</t>
  </si>
  <si>
    <t>OP1 stationary combustion</t>
  </si>
  <si>
    <t>Tons from Gas</t>
  </si>
  <si>
    <t>OP1 purchased Elect</t>
  </si>
  <si>
    <t>Tons from Electricity</t>
  </si>
  <si>
    <t>SunEdison</t>
  </si>
  <si>
    <t>SunEdison MMBtu</t>
  </si>
  <si>
    <t>Total Kwh</t>
  </si>
  <si>
    <t>Total Therms</t>
  </si>
  <si>
    <t>2011 power content label</t>
  </si>
  <si>
    <t>2014 power content label</t>
  </si>
  <si>
    <t>Biomass</t>
  </si>
  <si>
    <t>geothermal</t>
  </si>
  <si>
    <t>small &amp; large Hydro</t>
  </si>
  <si>
    <t>solar</t>
  </si>
  <si>
    <t>wind</t>
  </si>
  <si>
    <t>coal</t>
  </si>
  <si>
    <t>gas</t>
  </si>
  <si>
    <t>nuc</t>
  </si>
  <si>
    <t>Unspecified</t>
  </si>
  <si>
    <t>This is FY10-11</t>
  </si>
  <si>
    <t>from Main campus water invoice spreadsheet</t>
  </si>
  <si>
    <t>Water main campus hcf</t>
  </si>
  <si>
    <t>from east campus water invoice spreadsheet</t>
  </si>
  <si>
    <t>water east campus student hcf</t>
  </si>
  <si>
    <t>Water main campus gals</t>
  </si>
  <si>
    <t>water east campus student gals</t>
  </si>
  <si>
    <t>OP26</t>
  </si>
  <si>
    <t>total gals</t>
  </si>
  <si>
    <t>main campus buildings hcf</t>
  </si>
  <si>
    <t>East campus student buildings Hcf</t>
  </si>
  <si>
    <t>OP28</t>
  </si>
  <si>
    <t>gals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</si>
</sst>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(&quot;$&quot;* #,##0.000_);_(&quot;$&quot;* \(#,##0.0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4">
    <xf numFmtId="0" fontId="0" fillId="0" borderId="0" xfId="0"/>
    <xf numFmtId="165" fontId="0" fillId="0" borderId="0" xfId="3" applyNumberFormat="1" applyFont="1"/>
    <xf numFmtId="0" fontId="2" fillId="0" borderId="0" xfId="4"/>
    <xf numFmtId="165" fontId="2" fillId="0" borderId="0" xfId="4" applyNumberFormat="1"/>
    <xf numFmtId="167" fontId="0" fillId="0" borderId="0" xfId="5" applyNumberFormat="1" applyFont="1"/>
    <xf numFmtId="0" fontId="3" fillId="0" borderId="0" xfId="4" applyFont="1"/>
    <xf numFmtId="0" fontId="2" fillId="2" borderId="0" xfId="4" applyFill="1"/>
    <xf numFmtId="0" fontId="0" fillId="3" borderId="0" xfId="0" applyFill="1"/>
    <xf numFmtId="0" fontId="2" fillId="2" borderId="0" xfId="4" applyFill="1" applyAlignment="1">
      <alignment horizontal="right"/>
    </xf>
    <xf numFmtId="0" fontId="2" fillId="0" borderId="1" xfId="4" quotePrefix="1" applyBorder="1" applyAlignment="1" applyProtection="1">
      <alignment horizontal="right"/>
      <protection hidden="1"/>
    </xf>
    <xf numFmtId="0" fontId="2" fillId="0" borderId="2" xfId="4" quotePrefix="1" applyBorder="1" applyAlignment="1" applyProtection="1">
      <alignment horizontal="right"/>
      <protection hidden="1"/>
    </xf>
    <xf numFmtId="0" fontId="2" fillId="2" borderId="2" xfId="4" quotePrefix="1" applyFill="1" applyBorder="1" applyAlignment="1" applyProtection="1">
      <alignment horizontal="right"/>
      <protection hidden="1"/>
    </xf>
    <xf numFmtId="0" fontId="2" fillId="0" borderId="2" xfId="4" quotePrefix="1" applyFill="1" applyBorder="1" applyAlignment="1">
      <alignment horizontal="right"/>
    </xf>
    <xf numFmtId="0" fontId="2" fillId="0" borderId="2" xfId="4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" fillId="0" borderId="0" xfId="4" applyAlignment="1">
      <alignment horizontal="right"/>
    </xf>
    <xf numFmtId="0" fontId="2" fillId="0" borderId="1" xfId="4" quotePrefix="1" applyBorder="1" applyAlignment="1">
      <alignment horizontal="right"/>
    </xf>
    <xf numFmtId="0" fontId="2" fillId="0" borderId="2" xfId="4" applyBorder="1" applyAlignment="1">
      <alignment horizontal="right"/>
    </xf>
    <xf numFmtId="0" fontId="2" fillId="0" borderId="1" xfId="4" applyBorder="1"/>
    <xf numFmtId="0" fontId="2" fillId="0" borderId="2" xfId="4" applyBorder="1"/>
    <xf numFmtId="0" fontId="2" fillId="2" borderId="2" xfId="4" applyFill="1" applyBorder="1"/>
    <xf numFmtId="0" fontId="0" fillId="3" borderId="2" xfId="0" applyFill="1" applyBorder="1"/>
    <xf numFmtId="167" fontId="2" fillId="0" borderId="1" xfId="5" applyNumberFormat="1" applyBorder="1"/>
    <xf numFmtId="167" fontId="2" fillId="0" borderId="2" xfId="5" applyNumberFormat="1" applyBorder="1"/>
    <xf numFmtId="167" fontId="2" fillId="2" borderId="2" xfId="5" applyNumberFormat="1" applyFill="1" applyBorder="1"/>
    <xf numFmtId="167" fontId="2" fillId="0" borderId="2" xfId="5" applyNumberFormat="1" applyFont="1" applyFill="1" applyBorder="1"/>
    <xf numFmtId="167" fontId="4" fillId="3" borderId="2" xfId="5" applyNumberFormat="1" applyFont="1" applyFill="1" applyBorder="1"/>
    <xf numFmtId="167" fontId="4" fillId="0" borderId="2" xfId="5" applyNumberFormat="1" applyFont="1" applyBorder="1"/>
    <xf numFmtId="167" fontId="4" fillId="3" borderId="0" xfId="0" applyNumberFormat="1" applyFont="1" applyFill="1"/>
    <xf numFmtId="167" fontId="2" fillId="0" borderId="1" xfId="4" applyNumberFormat="1" applyBorder="1"/>
    <xf numFmtId="167" fontId="2" fillId="0" borderId="2" xfId="4" applyNumberFormat="1" applyBorder="1"/>
    <xf numFmtId="167" fontId="2" fillId="2" borderId="2" xfId="4" applyNumberFormat="1" applyFill="1" applyBorder="1"/>
    <xf numFmtId="167" fontId="0" fillId="3" borderId="2" xfId="0" applyNumberFormat="1" applyFill="1" applyBorder="1"/>
    <xf numFmtId="0" fontId="4" fillId="3" borderId="0" xfId="0" applyFont="1" applyFill="1" applyAlignment="1">
      <alignment horizontal="center"/>
    </xf>
    <xf numFmtId="167" fontId="0" fillId="0" borderId="1" xfId="5" applyNumberFormat="1" applyFont="1" applyBorder="1"/>
    <xf numFmtId="167" fontId="0" fillId="0" borderId="2" xfId="5" applyNumberFormat="1" applyFont="1" applyBorder="1"/>
    <xf numFmtId="167" fontId="0" fillId="2" borderId="2" xfId="5" applyNumberFormat="1" applyFont="1" applyFill="1" applyBorder="1"/>
    <xf numFmtId="167" fontId="4" fillId="3" borderId="0" xfId="5" applyNumberFormat="1" applyFont="1" applyFill="1"/>
    <xf numFmtId="167" fontId="0" fillId="3" borderId="2" xfId="5" applyNumberFormat="1" applyFont="1" applyFill="1" applyBorder="1"/>
    <xf numFmtId="166" fontId="2" fillId="0" borderId="1" xfId="4" applyNumberFormat="1" applyBorder="1"/>
    <xf numFmtId="166" fontId="2" fillId="0" borderId="2" xfId="4" applyNumberFormat="1" applyBorder="1"/>
    <xf numFmtId="166" fontId="2" fillId="2" borderId="2" xfId="4" applyNumberFormat="1" applyFill="1" applyBorder="1"/>
    <xf numFmtId="166" fontId="0" fillId="3" borderId="2" xfId="0" applyNumberFormat="1" applyFill="1" applyBorder="1"/>
    <xf numFmtId="167" fontId="2" fillId="4" borderId="2" xfId="4" applyNumberFormat="1" applyFill="1" applyBorder="1"/>
    <xf numFmtId="167" fontId="2" fillId="3" borderId="1" xfId="4" applyNumberFormat="1" applyFill="1" applyBorder="1"/>
    <xf numFmtId="167" fontId="2" fillId="2" borderId="1" xfId="4" applyNumberFormat="1" applyFill="1" applyBorder="1"/>
    <xf numFmtId="167" fontId="2" fillId="3" borderId="2" xfId="4" applyNumberFormat="1" applyFill="1" applyBorder="1"/>
    <xf numFmtId="0" fontId="2" fillId="0" borderId="0" xfId="4" applyFont="1"/>
    <xf numFmtId="167" fontId="0" fillId="3" borderId="1" xfId="0" applyNumberFormat="1" applyFill="1" applyBorder="1"/>
    <xf numFmtId="166" fontId="2" fillId="2" borderId="1" xfId="4" applyNumberFormat="1" applyFill="1" applyBorder="1"/>
    <xf numFmtId="166" fontId="0" fillId="3" borderId="1" xfId="0" applyNumberFormat="1" applyFill="1" applyBorder="1"/>
    <xf numFmtId="167" fontId="2" fillId="3" borderId="2" xfId="5" applyNumberFormat="1" applyFill="1" applyBorder="1"/>
    <xf numFmtId="167" fontId="0" fillId="5" borderId="0" xfId="5" applyNumberFormat="1" applyFont="1" applyFill="1"/>
    <xf numFmtId="167" fontId="0" fillId="2" borderId="0" xfId="5" applyNumberFormat="1" applyFont="1" applyFill="1"/>
    <xf numFmtId="167" fontId="0" fillId="3" borderId="0" xfId="5" applyNumberFormat="1" applyFont="1" applyFill="1"/>
    <xf numFmtId="167" fontId="2" fillId="0" borderId="0" xfId="4" applyNumberFormat="1"/>
    <xf numFmtId="167" fontId="2" fillId="2" borderId="0" xfId="4" applyNumberFormat="1" applyFill="1"/>
    <xf numFmtId="166" fontId="2" fillId="0" borderId="0" xfId="4" applyNumberFormat="1"/>
    <xf numFmtId="166" fontId="2" fillId="2" borderId="0" xfId="4" applyNumberFormat="1" applyFill="1"/>
    <xf numFmtId="9" fontId="0" fillId="0" borderId="0" xfId="6" applyFont="1"/>
    <xf numFmtId="167" fontId="0" fillId="0" borderId="0" xfId="5" applyNumberFormat="1" applyFont="1" applyFill="1"/>
    <xf numFmtId="167" fontId="0" fillId="3" borderId="0" xfId="0" applyNumberFormat="1" applyFill="1"/>
    <xf numFmtId="168" fontId="0" fillId="0" borderId="0" xfId="6" applyNumberFormat="1" applyFont="1"/>
    <xf numFmtId="168" fontId="0" fillId="2" borderId="0" xfId="6" applyNumberFormat="1" applyFont="1" applyFill="1"/>
    <xf numFmtId="0" fontId="2" fillId="3" borderId="0" xfId="0" applyFont="1" applyFill="1"/>
    <xf numFmtId="167" fontId="2" fillId="0" borderId="0" xfId="5" applyNumberFormat="1"/>
    <xf numFmtId="0" fontId="5" fillId="0" borderId="0" xfId="4" applyFont="1"/>
    <xf numFmtId="0" fontId="6" fillId="3" borderId="0" xfId="0" applyFont="1" applyFill="1"/>
    <xf numFmtId="0" fontId="2" fillId="0" borderId="2" xfId="4" quotePrefix="1" applyFont="1" applyFill="1" applyBorder="1" applyAlignment="1">
      <alignment horizontal="right"/>
    </xf>
    <xf numFmtId="0" fontId="6" fillId="3" borderId="2" xfId="0" quotePrefix="1" applyFont="1" applyFill="1" applyBorder="1" applyAlignment="1">
      <alignment horizontal="right"/>
    </xf>
    <xf numFmtId="167" fontId="2" fillId="2" borderId="1" xfId="5" applyNumberFormat="1" applyFill="1" applyBorder="1"/>
    <xf numFmtId="167" fontId="2" fillId="0" borderId="1" xfId="5" applyNumberFormat="1" applyFont="1" applyBorder="1"/>
    <xf numFmtId="167" fontId="6" fillId="3" borderId="1" xfId="5" applyNumberFormat="1" applyFont="1" applyFill="1" applyBorder="1"/>
    <xf numFmtId="167" fontId="2" fillId="0" borderId="1" xfId="4" applyNumberFormat="1" applyFont="1" applyBorder="1"/>
    <xf numFmtId="167" fontId="6" fillId="3" borderId="1" xfId="0" applyNumberFormat="1" applyFont="1" applyFill="1" applyBorder="1"/>
    <xf numFmtId="0" fontId="2" fillId="2" borderId="1" xfId="4" applyFill="1" applyBorder="1"/>
    <xf numFmtId="0" fontId="2" fillId="0" borderId="1" xfId="4" applyFont="1" applyBorder="1"/>
    <xf numFmtId="0" fontId="6" fillId="3" borderId="1" xfId="0" applyFont="1" applyFill="1" applyBorder="1"/>
    <xf numFmtId="167" fontId="0" fillId="2" borderId="1" xfId="5" applyNumberFormat="1" applyFont="1" applyFill="1" applyBorder="1"/>
    <xf numFmtId="1" fontId="2" fillId="0" borderId="1" xfId="4" applyNumberFormat="1" applyBorder="1"/>
    <xf numFmtId="1" fontId="2" fillId="2" borderId="1" xfId="4" applyNumberFormat="1" applyFill="1" applyBorder="1"/>
    <xf numFmtId="1" fontId="2" fillId="0" borderId="1" xfId="4" applyNumberFormat="1" applyFont="1" applyBorder="1"/>
    <xf numFmtId="1" fontId="2" fillId="3" borderId="1" xfId="0" applyNumberFormat="1" applyFont="1" applyFill="1" applyBorder="1"/>
    <xf numFmtId="166" fontId="2" fillId="0" borderId="1" xfId="4" applyNumberFormat="1" applyFont="1" applyBorder="1"/>
    <xf numFmtId="166" fontId="6" fillId="3" borderId="1" xfId="0" applyNumberFormat="1" applyFont="1" applyFill="1" applyBorder="1"/>
    <xf numFmtId="1" fontId="2" fillId="0" borderId="0" xfId="4" applyNumberFormat="1"/>
    <xf numFmtId="1" fontId="2" fillId="2" borderId="0" xfId="4" applyNumberFormat="1" applyFill="1"/>
    <xf numFmtId="1" fontId="2" fillId="0" borderId="0" xfId="4" applyNumberFormat="1" applyFont="1"/>
    <xf numFmtId="165" fontId="0" fillId="2" borderId="0" xfId="3" applyNumberFormat="1" applyFont="1" applyFill="1"/>
    <xf numFmtId="165" fontId="2" fillId="2" borderId="0" xfId="4" applyNumberFormat="1" applyFill="1"/>
    <xf numFmtId="169" fontId="0" fillId="0" borderId="0" xfId="3" applyNumberFormat="1" applyFont="1"/>
    <xf numFmtId="169" fontId="0" fillId="2" borderId="0" xfId="3" applyNumberFormat="1" applyFont="1" applyFill="1"/>
    <xf numFmtId="1" fontId="2" fillId="6" borderId="0" xfId="4" applyNumberFormat="1" applyFill="1"/>
    <xf numFmtId="1" fontId="0" fillId="3" borderId="0" xfId="0" applyNumberFormat="1" applyFill="1"/>
    <xf numFmtId="1" fontId="6" fillId="6" borderId="0" xfId="4" applyNumberFormat="1" applyFont="1" applyFill="1"/>
    <xf numFmtId="0" fontId="6" fillId="6" borderId="0" xfId="4" applyFont="1" applyFill="1"/>
    <xf numFmtId="9" fontId="0" fillId="2" borderId="0" xfId="6" applyFont="1" applyFill="1"/>
    <xf numFmtId="9" fontId="0" fillId="3" borderId="0" xfId="6" applyFont="1" applyFill="1"/>
    <xf numFmtId="167" fontId="2" fillId="2" borderId="0" xfId="1" applyNumberFormat="1" applyFont="1" applyFill="1"/>
    <xf numFmtId="167" fontId="2" fillId="3" borderId="0" xfId="4" applyNumberFormat="1" applyFill="1"/>
    <xf numFmtId="9" fontId="2" fillId="0" borderId="0" xfId="2" applyFont="1"/>
    <xf numFmtId="0" fontId="2" fillId="2" borderId="0" xfId="4" applyFont="1" applyFill="1"/>
    <xf numFmtId="167" fontId="2" fillId="0" borderId="0" xfId="1" applyNumberFormat="1" applyFont="1"/>
    <xf numFmtId="167" fontId="0" fillId="3" borderId="0" xfId="1" applyNumberFormat="1" applyFont="1" applyFill="1"/>
  </cellXfs>
  <cellStyles count="7">
    <cellStyle name="Comma" xfId="1" builtinId="3"/>
    <cellStyle name="Comma 2" xfId="5"/>
    <cellStyle name="Currency 2" xfId="3"/>
    <cellStyle name="Normal" xfId="0" builtinId="0"/>
    <cellStyle name="Normal 2" xfId="4"/>
    <cellStyle name="Percent" xfId="2" builtinId="5"/>
    <cellStyle name="Percent 2" xfId="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CSUMB Energy Intensity</a:t>
            </a:r>
          </a:p>
        </c:rich>
      </c:tx>
      <c:layout>
        <c:manualLayout>
          <c:xMode val="edge"/>
          <c:yMode val="edge"/>
          <c:x val="0.303907532542513"/>
          <c:y val="0.041131105398457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238936305176"/>
          <c:y val="0.218508997429306"/>
          <c:w val="0.632417234149751"/>
          <c:h val="0.529562982005141"/>
        </c:manualLayout>
      </c:layout>
      <c:lineChart>
        <c:grouping val="standard"/>
        <c:varyColors val="0"/>
        <c:ser>
          <c:idx val="0"/>
          <c:order val="0"/>
          <c:tx>
            <c:v>Therms/ft2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'[1]energy &amp; water'!$C$21:$N$21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water'!$C$31:$N$31</c:f>
              <c:numCache>
                <c:formatCode>_(* #,##0.00_);_(* \(#,##0.00\);_(* "-"??_);_(@_)</c:formatCode>
                <c:ptCount val="12"/>
                <c:pt idx="0">
                  <c:v>0.528221578623035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0.414668353175451</c:v>
                </c:pt>
                <c:pt idx="9">
                  <c:v>0.369506636776743</c:v>
                </c:pt>
                <c:pt idx="10">
                  <c:v>0.331264229893545</c:v>
                </c:pt>
                <c:pt idx="11">
                  <c:v>0.329935925991673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861880"/>
        <c:axId val="2110869896"/>
      </c:lineChart>
      <c:lineChart>
        <c:grouping val="standard"/>
        <c:varyColors val="0"/>
        <c:ser>
          <c:idx val="1"/>
          <c:order val="1"/>
          <c:tx>
            <c:v>Kwh/ft2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'[1]energy &amp; water'!$C$21:$K$21</c:f>
              <c:strCache>
                <c:ptCount val="9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</c:strCache>
            </c:strRef>
          </c:cat>
          <c:val>
            <c:numRef>
              <c:f>'[1]energy &amp; water'!$C$32:$N$32</c:f>
              <c:numCache>
                <c:formatCode>_(* #,##0.00_);_(* \(#,##0.00\);_(* "-"??_);_(@_)</c:formatCode>
                <c:ptCount val="12"/>
                <c:pt idx="0">
                  <c:v>11.95047313252637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9.087109053304502</c:v>
                </c:pt>
                <c:pt idx="9">
                  <c:v>8.96570522387103</c:v>
                </c:pt>
                <c:pt idx="10">
                  <c:v>9.504128389705935</c:v>
                </c:pt>
                <c:pt idx="11">
                  <c:v>7.954841265938953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876360"/>
        <c:axId val="2110879416"/>
      </c:lineChart>
      <c:catAx>
        <c:axId val="2110861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16787568702971"/>
              <c:y val="0.8611825192802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69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0869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Therms/FT2</a:t>
                </a:r>
              </a:p>
            </c:rich>
          </c:tx>
          <c:layout>
            <c:manualLayout>
              <c:xMode val="edge"/>
              <c:yMode val="edge"/>
              <c:x val="0.0347322720694646"/>
              <c:y val="0.33161953727506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61880"/>
        <c:crosses val="autoZero"/>
        <c:crossBetween val="between"/>
      </c:valAx>
      <c:catAx>
        <c:axId val="2110876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10879416"/>
        <c:crosses val="autoZero"/>
        <c:auto val="1"/>
        <c:lblAlgn val="ctr"/>
        <c:lblOffset val="100"/>
        <c:noMultiLvlLbl val="0"/>
      </c:catAx>
      <c:valAx>
        <c:axId val="21108794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Kwh/FT2</a:t>
                </a:r>
              </a:p>
            </c:rich>
          </c:tx>
          <c:layout>
            <c:manualLayout>
              <c:xMode val="edge"/>
              <c:yMode val="edge"/>
              <c:x val="0.926194529591182"/>
              <c:y val="0.40874035989717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763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932134568562"/>
          <c:y val="0.506426735218509"/>
          <c:w val="0.340164621245789"/>
          <c:h val="0.1769827743254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CSUMB Main Campus Energy Usage</a:t>
            </a:r>
          </a:p>
        </c:rich>
      </c:tx>
      <c:layout>
        <c:manualLayout>
          <c:xMode val="edge"/>
          <c:yMode val="edge"/>
          <c:x val="0.206696084386832"/>
          <c:y val="0.03930131004366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383039061134"/>
          <c:y val="0.179039301310044"/>
          <c:w val="0.698690949512926"/>
          <c:h val="0.670305676855895"/>
        </c:manualLayout>
      </c:layout>
      <c:lineChart>
        <c:grouping val="standard"/>
        <c:varyColors val="0"/>
        <c:ser>
          <c:idx val="2"/>
          <c:order val="1"/>
          <c:tx>
            <c:v>Building Square Feet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'[1]energy &amp; water'!$C$21:$N$21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water'!$C$26:$N$26</c:f>
              <c:numCache>
                <c:formatCode>_(* #,##0_);_(* \(#,##0\);_(* "-"??_);_(@_)</c:formatCode>
                <c:ptCount val="12"/>
                <c:pt idx="0">
                  <c:v>994753.0</c:v>
                </c:pt>
                <c:pt idx="1">
                  <c:v>983499.0</c:v>
                </c:pt>
                <c:pt idx="2">
                  <c:v>983499.0</c:v>
                </c:pt>
                <c:pt idx="3">
                  <c:v>994126.0</c:v>
                </c:pt>
                <c:pt idx="4">
                  <c:v>1.162942E6</c:v>
                </c:pt>
                <c:pt idx="5">
                  <c:v>1.162942E6</c:v>
                </c:pt>
                <c:pt idx="6">
                  <c:v>1.162942E6</c:v>
                </c:pt>
                <c:pt idx="7">
                  <c:v>1.170069E6</c:v>
                </c:pt>
                <c:pt idx="8">
                  <c:v>1.17007E6</c:v>
                </c:pt>
                <c:pt idx="9">
                  <c:v>1.170071E6</c:v>
                </c:pt>
                <c:pt idx="10">
                  <c:v>1.170072E6</c:v>
                </c:pt>
                <c:pt idx="11">
                  <c:v>1.492805E6</c:v>
                </c:pt>
              </c:numCache>
            </c:numRef>
          </c:val>
          <c:smooth val="0"/>
        </c:ser>
        <c:ser>
          <c:idx val="0"/>
          <c:order val="2"/>
          <c:tx>
            <c:v>Gas Therms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'[1]energy &amp; water'!$C$21:$N$21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water'!$C$28:$N$28</c:f>
              <c:numCache>
                <c:formatCode>_(* #,##0_);_(* \(#,##0\);_(* "-"??_);_(@_)</c:formatCode>
                <c:ptCount val="12"/>
                <c:pt idx="0">
                  <c:v>525450.0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485191.0</c:v>
                </c:pt>
                <c:pt idx="9">
                  <c:v>432349.0</c:v>
                </c:pt>
                <c:pt idx="10">
                  <c:v>387603.0</c:v>
                </c:pt>
                <c:pt idx="11">
                  <c:v>492530.0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405032"/>
        <c:axId val="2109393432"/>
      </c:lineChart>
      <c:lineChart>
        <c:grouping val="standard"/>
        <c:varyColors val="0"/>
        <c:ser>
          <c:idx val="1"/>
          <c:order val="0"/>
          <c:tx>
            <c:v>Electricity Kwh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'[1]energy &amp; water'!$C$29:$N$29</c:f>
              <c:numCache>
                <c:formatCode>_(* #,##0_);_(* \(#,##0\);_(* "-"??_);_(@_)</c:formatCode>
                <c:ptCount val="12"/>
                <c:pt idx="0">
                  <c:v>1.1887769E7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1.063255369E7</c:v>
                </c:pt>
                <c:pt idx="9">
                  <c:v>1.0490511677E7</c:v>
                </c:pt>
                <c:pt idx="10">
                  <c:v>1.11205145132E7</c:v>
                </c:pt>
                <c:pt idx="11">
                  <c:v>1.1875026816E7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'[1]energy &amp; water'!$B$59</c:f>
              <c:strCache>
                <c:ptCount val="1"/>
                <c:pt idx="0">
                  <c:v>FTE X 1000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val>
            <c:numRef>
              <c:f>'[1]energy &amp; water'!$C$60:$N$60</c:f>
              <c:numCache>
                <c:formatCode>_(* #,##0_);_(* \(#,##0\);_(* "-"??_);_(@_)</c:formatCode>
                <c:ptCount val="12"/>
                <c:pt idx="0">
                  <c:v>3.578E6</c:v>
                </c:pt>
                <c:pt idx="1">
                  <c:v>3.504E6</c:v>
                </c:pt>
                <c:pt idx="2">
                  <c:v>3.5185E6</c:v>
                </c:pt>
                <c:pt idx="3">
                  <c:v>3.7475E6</c:v>
                </c:pt>
                <c:pt idx="4">
                  <c:v>4.129E6</c:v>
                </c:pt>
                <c:pt idx="5">
                  <c:v>4.688E6</c:v>
                </c:pt>
                <c:pt idx="6">
                  <c:v>4.79E6</c:v>
                </c:pt>
                <c:pt idx="7">
                  <c:v>5.173E6</c:v>
                </c:pt>
                <c:pt idx="8">
                  <c:v>5.609E6</c:v>
                </c:pt>
                <c:pt idx="9">
                  <c:v>5.732E6</c:v>
                </c:pt>
                <c:pt idx="10">
                  <c:v>6.631E6</c:v>
                </c:pt>
                <c:pt idx="11">
                  <c:v>6.769E6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365352"/>
        <c:axId val="2109377992"/>
      </c:lineChart>
      <c:catAx>
        <c:axId val="2109405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36681833984726"/>
              <c:y val="0.9192139737991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39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9393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Therms &amp; FT2</a:t>
                </a:r>
              </a:p>
            </c:rich>
          </c:tx>
          <c:layout>
            <c:manualLayout>
              <c:xMode val="edge"/>
              <c:yMode val="edge"/>
              <c:x val="0.00727802037845706"/>
              <c:y val="0.42576419213973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405032"/>
        <c:crosses val="autoZero"/>
        <c:crossBetween val="between"/>
      </c:valAx>
      <c:catAx>
        <c:axId val="2109365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09377992"/>
        <c:crosses val="autoZero"/>
        <c:auto val="1"/>
        <c:lblAlgn val="ctr"/>
        <c:lblOffset val="100"/>
        <c:noMultiLvlLbl val="0"/>
      </c:catAx>
      <c:valAx>
        <c:axId val="2109377992"/>
        <c:scaling>
          <c:orientation val="minMax"/>
          <c:max val="1.6E7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 &amp; FTEx1000</a:t>
                </a:r>
              </a:p>
            </c:rich>
          </c:tx>
          <c:layout>
            <c:manualLayout>
              <c:xMode val="edge"/>
              <c:yMode val="edge"/>
              <c:x val="0.957788857178879"/>
              <c:y val="0.33842794759825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365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8564109617302"/>
          <c:y val="0.109170305676856"/>
          <c:w val="0.273324087764139"/>
          <c:h val="0.2131747068734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CSUMB CO2 Mte/yr from Energy</a:t>
            </a:r>
          </a:p>
        </c:rich>
      </c:tx>
      <c:layout>
        <c:manualLayout>
          <c:xMode val="edge"/>
          <c:yMode val="edge"/>
          <c:x val="0.18867914237993"/>
          <c:y val="0.0322580645161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02031930334"/>
          <c:y val="0.225806725203945"/>
          <c:w val="0.818577648766328"/>
          <c:h val="0.662531820103884"/>
        </c:manualLayout>
      </c:layout>
      <c:lineChart>
        <c:grouping val="standard"/>
        <c:varyColors val="0"/>
        <c:ser>
          <c:idx val="0"/>
          <c:order val="0"/>
          <c:tx>
            <c:v>Main Campus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'[1]energy &amp; water'!$C$20:$N$20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water'!$C$68:$N$68</c:f>
              <c:numCache>
                <c:formatCode>_(* #,##0_);_(* \(#,##0\);_(* "-"??_);_(@_)</c:formatCode>
                <c:ptCount val="12"/>
                <c:pt idx="0">
                  <c:v>7133.548633328156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5784.389322876223</c:v>
                </c:pt>
                <c:pt idx="9">
                  <c:v>5455.541857345861</c:v>
                </c:pt>
                <c:pt idx="10">
                  <c:v>5433.406958537041</c:v>
                </c:pt>
                <c:pt idx="11">
                  <c:v>6283.236248889578</c:v>
                </c:pt>
              </c:numCache>
            </c:numRef>
          </c:val>
          <c:smooth val="0"/>
        </c:ser>
        <c:ser>
          <c:idx val="1"/>
          <c:order val="1"/>
          <c:tx>
            <c:v>East Campus Student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'[1]energy &amp; water'!$C$20:$N$20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water'!$C$72:$N$72</c:f>
              <c:numCache>
                <c:formatCode>_(* #,##0_);_(* \(#,##0\);_(* "-"??_);_(@_)</c:formatCode>
                <c:ptCount val="12"/>
                <c:pt idx="0">
                  <c:v>1800.383033079671</c:v>
                </c:pt>
                <c:pt idx="1">
                  <c:v>2028.978583630999</c:v>
                </c:pt>
                <c:pt idx="2">
                  <c:v>2026.350809908371</c:v>
                </c:pt>
                <c:pt idx="3">
                  <c:v>1894.510031448983</c:v>
                </c:pt>
                <c:pt idx="4">
                  <c:v>1754.501121292126</c:v>
                </c:pt>
                <c:pt idx="5">
                  <c:v>1736.958280788942</c:v>
                </c:pt>
                <c:pt idx="6">
                  <c:v>1685.967008464047</c:v>
                </c:pt>
                <c:pt idx="7">
                  <c:v>1685.012567557074</c:v>
                </c:pt>
                <c:pt idx="8">
                  <c:v>1602.782293446187</c:v>
                </c:pt>
                <c:pt idx="9">
                  <c:v>1314.56926308433</c:v>
                </c:pt>
                <c:pt idx="10">
                  <c:v>1278.059477403324</c:v>
                </c:pt>
                <c:pt idx="11">
                  <c:v>1292.275481829477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'[1]energy &amp; water'!$C$20:$N$20</c:f>
              <c:strCache>
                <c:ptCount val="12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  <c:pt idx="11">
                  <c:v>15-16</c:v>
                </c:pt>
              </c:strCache>
            </c:strRef>
          </c:cat>
          <c:val>
            <c:numRef>
              <c:f>'[1]energy &amp; water'!$C$76:$N$76</c:f>
              <c:numCache>
                <c:formatCode>_(* #,##0_);_(* \(#,##0\);_(* "-"??_);_(@_)</c:formatCode>
                <c:ptCount val="12"/>
                <c:pt idx="0">
                  <c:v>8933.931666407827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7387.17161632241</c:v>
                </c:pt>
                <c:pt idx="9">
                  <c:v>6770.11112043019</c:v>
                </c:pt>
                <c:pt idx="10">
                  <c:v>6711.466435940365</c:v>
                </c:pt>
                <c:pt idx="11">
                  <c:v>7575.511730719055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836760"/>
        <c:axId val="2110890040"/>
      </c:lineChart>
      <c:catAx>
        <c:axId val="2110836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9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0890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36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978328466517"/>
          <c:y val="0.481390099190455"/>
          <c:w val="0.266212481015631"/>
          <c:h val="0.239867919735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CSUMB 09-10  Carbon Impact Mte</a:t>
            </a:r>
          </a:p>
        </c:rich>
      </c:tx>
      <c:layout>
        <c:manualLayout>
          <c:xMode val="edge"/>
          <c:yMode val="edge"/>
          <c:x val="0.148247978436658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501347708895"/>
          <c:y val="0.395557272383995"/>
          <c:w val="0.231805929919137"/>
          <c:h val="0.3822238811800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'[1]energy &amp; water'!$B$164:$B$169</c:f>
              <c:strCache>
                <c:ptCount val="6"/>
                <c:pt idx="0">
                  <c:v>Natural Gas</c:v>
                </c:pt>
                <c:pt idx="1">
                  <c:v>Electricity</c:v>
                </c:pt>
                <c:pt idx="2">
                  <c:v>Other Reportable</c:v>
                </c:pt>
                <c:pt idx="3">
                  <c:v>Mobile combustion</c:v>
                </c:pt>
                <c:pt idx="4">
                  <c:v>fugitive</c:v>
                </c:pt>
                <c:pt idx="5">
                  <c:v>travel&amp;solid</c:v>
                </c:pt>
              </c:strCache>
            </c:strRef>
          </c:cat>
          <c:val>
            <c:numRef>
              <c:f>'[1]energy &amp; water'!$H$164:$H$169</c:f>
              <c:numCache>
                <c:formatCode>_(* #,##0_);_(* \(#,##0\);_(* "-"??_);_(@_)</c:formatCode>
                <c:ptCount val="6"/>
                <c:pt idx="0">
                  <c:v>0.0</c:v>
                </c:pt>
                <c:pt idx="1">
                  <c:v>0.0</c:v>
                </c:pt>
                <c:pt idx="2" formatCode="General">
                  <c:v>0.0</c:v>
                </c:pt>
                <c:pt idx="3" formatCode="General">
                  <c:v>40.0</c:v>
                </c:pt>
                <c:pt idx="4" formatCode="General">
                  <c:v>87.0</c:v>
                </c:pt>
                <c:pt idx="5" formatCode="General">
                  <c:v>9129.0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722371967655"/>
          <c:y val="0.328890288713911"/>
          <c:w val="0.285714285714286"/>
          <c:h val="0.5111134441528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'[1]energy &amp; water'!$B$191</c:f>
              <c:strCache>
                <c:ptCount val="1"/>
                <c:pt idx="0">
                  <c:v>Main Campus Electricity</c:v>
                </c:pt>
              </c:strCache>
            </c:strRef>
          </c:tx>
          <c:cat>
            <c:strRef>
              <c:f>'[1]energy &amp; water'!$C$176:$M$176</c:f>
              <c:strCache>
                <c:ptCount val="11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</c:strCache>
            </c:strRef>
          </c:cat>
          <c:val>
            <c:numRef>
              <c:f>'[1]energy &amp; water'!$C$191:$M$191</c:f>
              <c:numCache>
                <c:formatCode>_(* #,##0_);_(* \(#,##0\);_(* "-"??_);_(@_)</c:formatCode>
                <c:ptCount val="11"/>
                <c:pt idx="2" formatCode="_(&quot;$&quot;* #,##0_);_(&quot;$&quot;* \(#,##0\);_(&quot;$&quot;* &quot;-&quot;??_);_(@_)">
                  <c:v>0.0</c:v>
                </c:pt>
                <c:pt idx="3" formatCode="_(&quot;$&quot;* #,##0_);_(&quot;$&quot;* \(#,##0\);_(&quot;$&quot;* &quot;-&quot;??_);_(@_)">
                  <c:v>0.0</c:v>
                </c:pt>
                <c:pt idx="4" formatCode="_(&quot;$&quot;* #,##0_);_(&quot;$&quot;* \(#,##0\);_(&quot;$&quot;* &quot;-&quot;??_);_(@_)">
                  <c:v>0.0</c:v>
                </c:pt>
                <c:pt idx="5" formatCode="_(&quot;$&quot;* #,##0_);_(&quot;$&quot;* \(#,##0\);_(&quot;$&quot;* &quot;-&quot;??_);_(@_)">
                  <c:v>0.0</c:v>
                </c:pt>
                <c:pt idx="6" formatCode="_(&quot;$&quot;* #,##0_);_(&quot;$&quot;* \(#,##0\);_(&quot;$&quot;* &quot;-&quot;??_);_(@_)">
                  <c:v>0.0</c:v>
                </c:pt>
                <c:pt idx="7" formatCode="_(&quot;$&quot;* #,##0_);_(&quot;$&quot;* \(#,##0\);_(&quot;$&quot;* &quot;-&quot;??_);_(@_)">
                  <c:v>0.0</c:v>
                </c:pt>
                <c:pt idx="8" formatCode="_(&quot;$&quot;* #,##0_);_(&quot;$&quot;* \(#,##0\);_(&quot;$&quot;* &quot;-&quot;??_);_(@_)">
                  <c:v>0.0</c:v>
                </c:pt>
                <c:pt idx="9" formatCode="_(&quot;$&quot;* #,##0_);_(&quot;$&quot;* \(#,##0\);_(&quot;$&quot;* &quot;-&quot;??_);_(@_)">
                  <c:v>0.0</c:v>
                </c:pt>
                <c:pt idx="10" formatCode="_(&quot;$&quot;* #,##0_);_(&quot;$&quot;* \(#,##0\);_(&quot;$&quot;* &quot;-&quot;??_);_(@_)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'[1]energy &amp; water'!$B$192</c:f>
              <c:strCache>
                <c:ptCount val="1"/>
                <c:pt idx="0">
                  <c:v>Main Campus Gas</c:v>
                </c:pt>
              </c:strCache>
            </c:strRef>
          </c:tx>
          <c:cat>
            <c:strRef>
              <c:f>'[1]energy &amp; water'!$C$176:$M$176</c:f>
              <c:strCache>
                <c:ptCount val="11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</c:strCache>
            </c:strRef>
          </c:cat>
          <c:val>
            <c:numRef>
              <c:f>'[1]energy &amp; water'!$C$192:$M$192</c:f>
              <c:numCache>
                <c:formatCode>General</c:formatCode>
                <c:ptCount val="11"/>
                <c:pt idx="2" formatCode="_(&quot;$&quot;* #,##0_);_(&quot;$&quot;* \(#,##0\);_(&quot;$&quot;* &quot;-&quot;??_);_(@_)">
                  <c:v>0.0</c:v>
                </c:pt>
                <c:pt idx="3" formatCode="_(&quot;$&quot;* #,##0_);_(&quot;$&quot;* \(#,##0\);_(&quot;$&quot;* &quot;-&quot;??_);_(@_)">
                  <c:v>0.0</c:v>
                </c:pt>
                <c:pt idx="4" formatCode="_(&quot;$&quot;* #,##0_);_(&quot;$&quot;* \(#,##0\);_(&quot;$&quot;* &quot;-&quot;??_);_(@_)">
                  <c:v>0.0</c:v>
                </c:pt>
                <c:pt idx="5" formatCode="_(&quot;$&quot;* #,##0_);_(&quot;$&quot;* \(#,##0\);_(&quot;$&quot;* &quot;-&quot;??_);_(@_)">
                  <c:v>0.0</c:v>
                </c:pt>
                <c:pt idx="6" formatCode="_(&quot;$&quot;* #,##0_);_(&quot;$&quot;* \(#,##0\);_(&quot;$&quot;* &quot;-&quot;??_);_(@_)">
                  <c:v>0.0</c:v>
                </c:pt>
                <c:pt idx="7" formatCode="_(&quot;$&quot;* #,##0_);_(&quot;$&quot;* \(#,##0\);_(&quot;$&quot;* &quot;-&quot;??_);_(@_)">
                  <c:v>0.0</c:v>
                </c:pt>
                <c:pt idx="8" formatCode="_(&quot;$&quot;* #,##0_);_(&quot;$&quot;* \(#,##0\);_(&quot;$&quot;* &quot;-&quot;??_);_(@_)">
                  <c:v>0.0</c:v>
                </c:pt>
                <c:pt idx="9" formatCode="_(&quot;$&quot;* #,##0_);_(&quot;$&quot;* \(#,##0\);_(&quot;$&quot;* &quot;-&quot;??_);_(@_)">
                  <c:v>0.0</c:v>
                </c:pt>
                <c:pt idx="10" formatCode="_(&quot;$&quot;* #,##0_);_(&quot;$&quot;* \(#,##0\);_(&quot;$&quot;* &quot;-&quot;??_);_(@_)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'[1]energy &amp; water'!$B$193</c:f>
              <c:strCache>
                <c:ptCount val="1"/>
                <c:pt idx="0">
                  <c:v>Main Campus Water + Sewer</c:v>
                </c:pt>
              </c:strCache>
            </c:strRef>
          </c:tx>
          <c:cat>
            <c:strRef>
              <c:f>'[1]energy &amp; water'!$C$176:$M$176</c:f>
              <c:strCache>
                <c:ptCount val="11"/>
                <c:pt idx="0">
                  <c:v>04-05</c:v>
                </c:pt>
                <c:pt idx="1">
                  <c:v>05-06</c:v>
                </c:pt>
                <c:pt idx="2">
                  <c:v>06-07</c:v>
                </c:pt>
                <c:pt idx="3">
                  <c:v>07-08</c:v>
                </c:pt>
                <c:pt idx="4">
                  <c:v>08-09</c:v>
                </c:pt>
                <c:pt idx="5">
                  <c:v>09-10</c:v>
                </c:pt>
                <c:pt idx="6">
                  <c:v>10-11</c:v>
                </c:pt>
                <c:pt idx="7">
                  <c:v>11-12</c:v>
                </c:pt>
                <c:pt idx="8">
                  <c:v>12-13</c:v>
                </c:pt>
                <c:pt idx="9">
                  <c:v>13-14</c:v>
                </c:pt>
                <c:pt idx="10">
                  <c:v>14-15</c:v>
                </c:pt>
              </c:strCache>
            </c:strRef>
          </c:cat>
          <c:val>
            <c:numRef>
              <c:f>'[1]energy &amp; water'!$C$193:$M$193</c:f>
              <c:numCache>
                <c:formatCode>General</c:formatCode>
                <c:ptCount val="11"/>
                <c:pt idx="2" formatCode="_(&quot;$&quot;* #,##0_);_(&quot;$&quot;* \(#,##0\);_(&quot;$&quot;* &quot;-&quot;??_);_(@_)">
                  <c:v>292670.0</c:v>
                </c:pt>
                <c:pt idx="3" formatCode="_(&quot;$&quot;* #,##0_);_(&quot;$&quot;* \(#,##0\);_(&quot;$&quot;* &quot;-&quot;??_);_(@_)">
                  <c:v>333905.0</c:v>
                </c:pt>
                <c:pt idx="4" formatCode="_(&quot;$&quot;* #,##0_);_(&quot;$&quot;* \(#,##0\);_(&quot;$&quot;* &quot;-&quot;??_);_(@_)">
                  <c:v>382647.0</c:v>
                </c:pt>
                <c:pt idx="5" formatCode="_(&quot;$&quot;* #,##0_);_(&quot;$&quot;* \(#,##0\);_(&quot;$&quot;* &quot;-&quot;??_);_(@_)">
                  <c:v>445940.0</c:v>
                </c:pt>
                <c:pt idx="6" formatCode="_(&quot;$&quot;* #,##0_);_(&quot;$&quot;* \(#,##0\);_(&quot;$&quot;* &quot;-&quot;??_);_(@_)">
                  <c:v>471525.0</c:v>
                </c:pt>
                <c:pt idx="7" formatCode="_(&quot;$&quot;* #,##0_);_(&quot;$&quot;* \(#,##0\);_(&quot;$&quot;* &quot;-&quot;??_);_(@_)">
                  <c:v>534446.0</c:v>
                </c:pt>
                <c:pt idx="8" formatCode="_(&quot;$&quot;* #,##0_);_(&quot;$&quot;* \(#,##0\);_(&quot;$&quot;* &quot;-&quot;??_);_(@_)">
                  <c:v>561285.0</c:v>
                </c:pt>
                <c:pt idx="9" formatCode="_(&quot;$&quot;* #,##0_);_(&quot;$&quot;* \(#,##0\);_(&quot;$&quot;* &quot;-&quot;??_);_(@_)">
                  <c:v>553568.0</c:v>
                </c:pt>
                <c:pt idx="10" formatCode="_(&quot;$&quot;* #,##0_);_(&quot;$&quot;* \(#,##0\);_(&quot;$&quot;* &quot;-&quot;??_);_(@_)">
                  <c:v>561727.0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'[1]energy &amp; water'!$B$194</c:f>
              <c:strCache>
                <c:ptCount val="1"/>
                <c:pt idx="0">
                  <c:v>Total Purchased Utilities</c:v>
                </c:pt>
              </c:strCache>
            </c:strRef>
          </c:tx>
          <c:val>
            <c:numRef>
              <c:f>'[1]energy &amp; water'!$C$194:$M$194</c:f>
              <c:numCache>
                <c:formatCode>General</c:formatCode>
                <c:ptCount val="11"/>
                <c:pt idx="2" formatCode="_(&quot;$&quot;* #,##0_);_(&quot;$&quot;* \(#,##0\);_(&quot;$&quot;* &quot;-&quot;??_);_(@_)">
                  <c:v>0.0</c:v>
                </c:pt>
                <c:pt idx="3" formatCode="_(&quot;$&quot;* #,##0_);_(&quot;$&quot;* \(#,##0\);_(&quot;$&quot;* &quot;-&quot;??_);_(@_)">
                  <c:v>0.0</c:v>
                </c:pt>
                <c:pt idx="4" formatCode="_(&quot;$&quot;* #,##0_);_(&quot;$&quot;* \(#,##0\);_(&quot;$&quot;* &quot;-&quot;??_);_(@_)">
                  <c:v>0.0</c:v>
                </c:pt>
                <c:pt idx="5" formatCode="_(&quot;$&quot;* #,##0_);_(&quot;$&quot;* \(#,##0\);_(&quot;$&quot;* &quot;-&quot;??_);_(@_)">
                  <c:v>0.0</c:v>
                </c:pt>
                <c:pt idx="6" formatCode="_(&quot;$&quot;* #,##0_);_(&quot;$&quot;* \(#,##0\);_(&quot;$&quot;* &quot;-&quot;??_);_(@_)">
                  <c:v>0.0</c:v>
                </c:pt>
                <c:pt idx="7" formatCode="_(&quot;$&quot;* #,##0_);_(&quot;$&quot;* \(#,##0\);_(&quot;$&quot;* &quot;-&quot;??_);_(@_)">
                  <c:v>0.0</c:v>
                </c:pt>
                <c:pt idx="8" formatCode="_(&quot;$&quot;* #,##0_);_(&quot;$&quot;* \(#,##0\);_(&quot;$&quot;* &quot;-&quot;??_);_(@_)">
                  <c:v>0.0</c:v>
                </c:pt>
                <c:pt idx="9" formatCode="_(&quot;$&quot;* #,##0_);_(&quot;$&quot;* \(#,##0\);_(&quot;$&quot;* &quot;-&quot;??_);_(@_)">
                  <c:v>0.0</c:v>
                </c:pt>
                <c:pt idx="10" formatCode="_(&quot;$&quot;* #,##0_);_(&quot;$&quot;* \(#,##0\);_(&quot;$&quot;* &quot;-&quot;??_);_(@_)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931016"/>
        <c:axId val="2110934216"/>
      </c:lineChart>
      <c:catAx>
        <c:axId val="211093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0934216"/>
        <c:crosses val="autoZero"/>
        <c:auto val="1"/>
        <c:lblAlgn val="ctr"/>
        <c:lblOffset val="100"/>
        <c:noMultiLvlLbl val="0"/>
      </c:catAx>
      <c:valAx>
        <c:axId val="2110934216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0931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25</xdr:row>
      <xdr:rowOff>152400</xdr:rowOff>
    </xdr:from>
    <xdr:to>
      <xdr:col>26</xdr:col>
      <xdr:colOff>228600</xdr:colOff>
      <xdr:row>54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371475</xdr:colOff>
      <xdr:row>55</xdr:row>
      <xdr:rowOff>133350</xdr:rowOff>
    </xdr:from>
    <xdr:to>
      <xdr:col>26</xdr:col>
      <xdr:colOff>209550</xdr:colOff>
      <xdr:row>82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257175</xdr:colOff>
      <xdr:row>83</xdr:row>
      <xdr:rowOff>114300</xdr:rowOff>
    </xdr:from>
    <xdr:to>
      <xdr:col>26</xdr:col>
      <xdr:colOff>152400</xdr:colOff>
      <xdr:row>107</xdr:row>
      <xdr:rowOff>66675</xdr:rowOff>
    </xdr:to>
    <xdr:graphicFrame macro="">
      <xdr:nvGraphicFramePr>
        <xdr:cNvPr id="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695325</xdr:colOff>
      <xdr:row>155</xdr:row>
      <xdr:rowOff>95250</xdr:rowOff>
    </xdr:from>
    <xdr:to>
      <xdr:col>8</xdr:col>
      <xdr:colOff>47625</xdr:colOff>
      <xdr:row>168</xdr:row>
      <xdr:rowOff>133350</xdr:rowOff>
    </xdr:to>
    <xdr:graphicFrame macro="">
      <xdr:nvGraphicFramePr>
        <xdr:cNvPr id="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447675</xdr:colOff>
      <xdr:row>195</xdr:row>
      <xdr:rowOff>66675</xdr:rowOff>
    </xdr:from>
    <xdr:to>
      <xdr:col>25</xdr:col>
      <xdr:colOff>323850</xdr:colOff>
      <xdr:row>220</xdr:row>
      <xdr:rowOff>57150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ak2461/Downloads/energy%20cal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voiced%20Actuals%20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O 18 2015 Inventory"/>
      <sheetName val="energy &amp; water"/>
    </sheetNames>
    <sheetDataSet>
      <sheetData sheetId="0"/>
      <sheetData sheetId="1">
        <row r="20">
          <cell r="C20" t="str">
            <v>04-05</v>
          </cell>
          <cell r="D20" t="str">
            <v>05-06</v>
          </cell>
          <cell r="E20" t="str">
            <v>06-07</v>
          </cell>
          <cell r="F20" t="str">
            <v>07-08</v>
          </cell>
          <cell r="G20" t="str">
            <v>08-09</v>
          </cell>
          <cell r="H20" t="str">
            <v>09-10</v>
          </cell>
          <cell r="I20" t="str">
            <v>10-11</v>
          </cell>
          <cell r="J20" t="str">
            <v>11-12</v>
          </cell>
          <cell r="K20" t="str">
            <v>12-13</v>
          </cell>
          <cell r="L20" t="str">
            <v>13-14</v>
          </cell>
          <cell r="M20" t="str">
            <v>14-15</v>
          </cell>
          <cell r="N20" t="str">
            <v>15-16</v>
          </cell>
        </row>
        <row r="21">
          <cell r="C21" t="str">
            <v>04-05</v>
          </cell>
          <cell r="D21" t="str">
            <v>05-06</v>
          </cell>
          <cell r="E21" t="str">
            <v>06-07</v>
          </cell>
          <cell r="F21" t="str">
            <v>07-08</v>
          </cell>
          <cell r="G21" t="str">
            <v>08-09</v>
          </cell>
          <cell r="H21" t="str">
            <v>09-10</v>
          </cell>
          <cell r="I21" t="str">
            <v>10-11</v>
          </cell>
          <cell r="J21" t="str">
            <v>11-12</v>
          </cell>
          <cell r="K21" t="str">
            <v>12-13</v>
          </cell>
          <cell r="L21" t="str">
            <v>13-14</v>
          </cell>
          <cell r="M21" t="str">
            <v>14-15</v>
          </cell>
          <cell r="N21" t="str">
            <v>15-16</v>
          </cell>
        </row>
        <row r="26">
          <cell r="C26">
            <v>994753</v>
          </cell>
          <cell r="D26">
            <v>983499</v>
          </cell>
          <cell r="E26">
            <v>983499</v>
          </cell>
          <cell r="F26">
            <v>994126</v>
          </cell>
          <cell r="G26">
            <v>1162942</v>
          </cell>
          <cell r="H26">
            <v>1162942</v>
          </cell>
          <cell r="I26">
            <v>1162942</v>
          </cell>
          <cell r="J26">
            <v>1170069</v>
          </cell>
          <cell r="K26">
            <v>1170070</v>
          </cell>
          <cell r="L26">
            <v>1170071</v>
          </cell>
          <cell r="M26">
            <v>1170072</v>
          </cell>
          <cell r="N26">
            <v>1492805</v>
          </cell>
        </row>
        <row r="28">
          <cell r="C28">
            <v>525450</v>
          </cell>
          <cell r="D28" t="e">
            <v>#VALUE!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J28" t="e">
            <v>#VALUE!</v>
          </cell>
          <cell r="K28">
            <v>485191</v>
          </cell>
          <cell r="L28">
            <v>432349</v>
          </cell>
          <cell r="M28">
            <v>387603</v>
          </cell>
          <cell r="N28">
            <v>492530</v>
          </cell>
        </row>
        <row r="29">
          <cell r="C29">
            <v>11887769</v>
          </cell>
          <cell r="D29" t="e">
            <v>#VALUE!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J29" t="e">
            <v>#VALUE!</v>
          </cell>
          <cell r="K29">
            <v>10632553.689999999</v>
          </cell>
          <cell r="L29">
            <v>10490511.676999999</v>
          </cell>
          <cell r="M29">
            <v>11120514.513200002</v>
          </cell>
          <cell r="N29">
            <v>11875026.815999998</v>
          </cell>
        </row>
        <row r="31">
          <cell r="C31">
            <v>0.52822157862303509</v>
          </cell>
          <cell r="D31" t="e">
            <v>#VALUE!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J31" t="e">
            <v>#VALUE!</v>
          </cell>
          <cell r="K31">
            <v>0.41466835317545103</v>
          </cell>
          <cell r="L31">
            <v>0.36950663677674261</v>
          </cell>
          <cell r="M31">
            <v>0.33126422989354504</v>
          </cell>
          <cell r="N31">
            <v>0.32993592599167337</v>
          </cell>
        </row>
        <row r="32">
          <cell r="C32">
            <v>11.950473132526366</v>
          </cell>
          <cell r="D32" t="e">
            <v>#VALUE!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J32" t="e">
            <v>#VALUE!</v>
          </cell>
          <cell r="K32">
            <v>9.087109053304502</v>
          </cell>
          <cell r="L32">
            <v>8.96570522387103</v>
          </cell>
          <cell r="M32">
            <v>9.5041283897059348</v>
          </cell>
          <cell r="N32">
            <v>7.9548412659389527</v>
          </cell>
        </row>
        <row r="59">
          <cell r="B59" t="str">
            <v>FTE X 1000</v>
          </cell>
        </row>
        <row r="60">
          <cell r="C60">
            <v>3578000</v>
          </cell>
          <cell r="D60">
            <v>3504000</v>
          </cell>
          <cell r="E60">
            <v>3518500</v>
          </cell>
          <cell r="F60">
            <v>3747500</v>
          </cell>
          <cell r="G60">
            <v>4129000</v>
          </cell>
          <cell r="H60">
            <v>4688000</v>
          </cell>
          <cell r="I60">
            <v>4790000</v>
          </cell>
          <cell r="J60">
            <v>5173000</v>
          </cell>
          <cell r="K60">
            <v>5609000</v>
          </cell>
          <cell r="L60">
            <v>5732000</v>
          </cell>
          <cell r="M60">
            <v>6631000</v>
          </cell>
          <cell r="N60">
            <v>6769000</v>
          </cell>
        </row>
        <row r="68">
          <cell r="C68">
            <v>7133.548633328156</v>
          </cell>
          <cell r="D68" t="e">
            <v>#VALUE!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J68" t="e">
            <v>#VALUE!</v>
          </cell>
          <cell r="K68">
            <v>5784.3893228762226</v>
          </cell>
          <cell r="L68">
            <v>5455.541857345861</v>
          </cell>
          <cell r="M68">
            <v>5433.4069585370407</v>
          </cell>
          <cell r="N68">
            <v>6283.2362488895787</v>
          </cell>
        </row>
        <row r="72">
          <cell r="C72">
            <v>1800.3830330796707</v>
          </cell>
          <cell r="D72">
            <v>2028.9785836309986</v>
          </cell>
          <cell r="E72">
            <v>2026.350809908371</v>
          </cell>
          <cell r="F72">
            <v>1894.5100314489828</v>
          </cell>
          <cell r="G72">
            <v>1754.5011212921261</v>
          </cell>
          <cell r="H72">
            <v>1736.9582807889424</v>
          </cell>
          <cell r="I72">
            <v>1685.9670084640472</v>
          </cell>
          <cell r="J72">
            <v>1685.0125675570741</v>
          </cell>
          <cell r="K72">
            <v>1602.7822934461874</v>
          </cell>
          <cell r="L72">
            <v>1314.5692630843298</v>
          </cell>
          <cell r="M72">
            <v>1278.0594774033236</v>
          </cell>
          <cell r="N72">
            <v>1292.2754818294766</v>
          </cell>
        </row>
        <row r="76">
          <cell r="C76">
            <v>8933.9316664078269</v>
          </cell>
          <cell r="D76" t="e">
            <v>#VALUE!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J76" t="e">
            <v>#VALUE!</v>
          </cell>
          <cell r="K76">
            <v>7387.17161632241</v>
          </cell>
          <cell r="L76">
            <v>6770.1111204301906</v>
          </cell>
          <cell r="M76">
            <v>6711.466435940365</v>
          </cell>
          <cell r="N76">
            <v>7575.5117307190549</v>
          </cell>
        </row>
        <row r="164">
          <cell r="B164" t="str">
            <v>Natural Gas</v>
          </cell>
          <cell r="H164" t="e">
            <v>#VALUE!</v>
          </cell>
        </row>
        <row r="165">
          <cell r="B165" t="str">
            <v>Electricity</v>
          </cell>
          <cell r="H165" t="e">
            <v>#VALUE!</v>
          </cell>
        </row>
        <row r="166">
          <cell r="B166" t="str">
            <v>Other Reportable</v>
          </cell>
          <cell r="H166">
            <v>0</v>
          </cell>
        </row>
        <row r="167">
          <cell r="B167" t="str">
            <v>Mobile combustion</v>
          </cell>
          <cell r="H167">
            <v>40</v>
          </cell>
        </row>
        <row r="168">
          <cell r="B168" t="str">
            <v>fugitive</v>
          </cell>
          <cell r="H168">
            <v>87</v>
          </cell>
        </row>
        <row r="169">
          <cell r="B169" t="str">
            <v>travel&amp;solid</v>
          </cell>
          <cell r="H169">
            <v>9129</v>
          </cell>
        </row>
        <row r="176">
          <cell r="C176" t="str">
            <v>04-05</v>
          </cell>
          <cell r="D176" t="str">
            <v>05-06</v>
          </cell>
          <cell r="E176" t="str">
            <v>06-07</v>
          </cell>
          <cell r="F176" t="str">
            <v>07-08</v>
          </cell>
          <cell r="G176" t="str">
            <v>08-09</v>
          </cell>
          <cell r="H176" t="str">
            <v>09-10</v>
          </cell>
          <cell r="I176" t="str">
            <v>10-11</v>
          </cell>
          <cell r="J176" t="str">
            <v>11-12</v>
          </cell>
          <cell r="K176" t="str">
            <v>12-13</v>
          </cell>
          <cell r="L176" t="str">
            <v>13-14</v>
          </cell>
          <cell r="M176" t="str">
            <v>14-15</v>
          </cell>
        </row>
        <row r="191">
          <cell r="B191" t="str">
            <v>Main Campus Electricity</v>
          </cell>
          <cell r="E191" t="e">
            <v>#VALUE!</v>
          </cell>
          <cell r="F191" t="e">
            <v>#VALUE!</v>
          </cell>
          <cell r="G191" t="e">
            <v>#VALUE!</v>
          </cell>
          <cell r="H191" t="e">
            <v>#VALUE!</v>
          </cell>
          <cell r="I191" t="e">
            <v>#VALUE!</v>
          </cell>
          <cell r="J191" t="e">
            <v>#VALUE!</v>
          </cell>
          <cell r="K191" t="e">
            <v>#VALUE!</v>
          </cell>
          <cell r="L191" t="e">
            <v>#VALUE!</v>
          </cell>
          <cell r="M191" t="e">
            <v>#VALUE!</v>
          </cell>
        </row>
        <row r="192">
          <cell r="B192" t="str">
            <v>Main Campus Gas</v>
          </cell>
          <cell r="E192" t="e">
            <v>#VALUE!</v>
          </cell>
          <cell r="F192" t="e">
            <v>#VALUE!</v>
          </cell>
          <cell r="G192" t="e">
            <v>#VALUE!</v>
          </cell>
          <cell r="H192" t="e">
            <v>#VALUE!</v>
          </cell>
          <cell r="I192" t="e">
            <v>#VALUE!</v>
          </cell>
          <cell r="J192" t="e">
            <v>#VALUE!</v>
          </cell>
          <cell r="K192" t="e">
            <v>#VALUE!</v>
          </cell>
          <cell r="L192" t="e">
            <v>#VALUE!</v>
          </cell>
          <cell r="M192" t="e">
            <v>#VALUE!</v>
          </cell>
        </row>
        <row r="193">
          <cell r="B193" t="str">
            <v>Main Campus Water + Sewer</v>
          </cell>
          <cell r="E193">
            <v>292670</v>
          </cell>
          <cell r="F193">
            <v>333905</v>
          </cell>
          <cell r="G193">
            <v>382647</v>
          </cell>
          <cell r="H193">
            <v>445940</v>
          </cell>
          <cell r="I193">
            <v>471525</v>
          </cell>
          <cell r="J193">
            <v>534446</v>
          </cell>
          <cell r="K193">
            <v>561285</v>
          </cell>
          <cell r="L193">
            <v>553568</v>
          </cell>
          <cell r="M193">
            <v>561727</v>
          </cell>
        </row>
        <row r="194">
          <cell r="B194" t="str">
            <v>Total Purchased Utilities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 t="e">
            <v>#VALUE!</v>
          </cell>
          <cell r="M194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ear by Year Recap"/>
      <sheetName val="Gas Use"/>
      <sheetName val="Elect Use"/>
      <sheetName val="Chart1"/>
      <sheetName val="Electrical Invoices"/>
      <sheetName val="Gas Invoices"/>
      <sheetName val="Water Sewer Invoices"/>
      <sheetName val="Sheet1"/>
      <sheetName val="Water Sewer Invoices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F2" t="str">
            <v>05-06</v>
          </cell>
          <cell r="G2" t="str">
            <v>05-06</v>
          </cell>
          <cell r="H2" t="str">
            <v>05-06</v>
          </cell>
          <cell r="I2" t="str">
            <v>05-06</v>
          </cell>
          <cell r="J2" t="str">
            <v>05-06</v>
          </cell>
          <cell r="K2" t="str">
            <v>05-06</v>
          </cell>
          <cell r="L2" t="str">
            <v>05-06</v>
          </cell>
          <cell r="M2" t="str">
            <v>05-06</v>
          </cell>
          <cell r="N2" t="str">
            <v>05-06</v>
          </cell>
          <cell r="O2" t="str">
            <v>05-06</v>
          </cell>
          <cell r="P2" t="str">
            <v>05-06</v>
          </cell>
          <cell r="Q2" t="str">
            <v>05-06</v>
          </cell>
          <cell r="R2" t="str">
            <v>06-07</v>
          </cell>
          <cell r="S2" t="str">
            <v>06-07</v>
          </cell>
          <cell r="T2" t="str">
            <v>06-07</v>
          </cell>
          <cell r="U2" t="str">
            <v>06-07</v>
          </cell>
          <cell r="V2" t="str">
            <v>06-07</v>
          </cell>
          <cell r="W2" t="str">
            <v>06-07</v>
          </cell>
          <cell r="X2" t="str">
            <v>06-07</v>
          </cell>
          <cell r="Y2" t="str">
            <v>06-07</v>
          </cell>
          <cell r="Z2" t="str">
            <v>06-07</v>
          </cell>
          <cell r="AA2" t="str">
            <v>06-07</v>
          </cell>
          <cell r="AB2" t="str">
            <v>06-07</v>
          </cell>
          <cell r="AC2" t="str">
            <v>06-07</v>
          </cell>
          <cell r="AD2" t="str">
            <v>07-08</v>
          </cell>
          <cell r="AE2" t="str">
            <v>07-08</v>
          </cell>
          <cell r="AF2" t="str">
            <v>07-08</v>
          </cell>
          <cell r="AG2" t="str">
            <v>07-08</v>
          </cell>
          <cell r="AH2" t="str">
            <v>07-08</v>
          </cell>
          <cell r="AI2" t="str">
            <v>07-08</v>
          </cell>
          <cell r="AJ2" t="str">
            <v>07-08</v>
          </cell>
          <cell r="AK2" t="str">
            <v>07-08</v>
          </cell>
          <cell r="AL2" t="str">
            <v>07-08</v>
          </cell>
          <cell r="AM2" t="str">
            <v>07-08</v>
          </cell>
          <cell r="AN2" t="str">
            <v>07-08</v>
          </cell>
          <cell r="AO2" t="str">
            <v>07-08</v>
          </cell>
          <cell r="AP2" t="str">
            <v>08-09</v>
          </cell>
          <cell r="AQ2" t="str">
            <v>08-09</v>
          </cell>
          <cell r="AR2" t="str">
            <v>08-09</v>
          </cell>
          <cell r="AS2" t="str">
            <v>08-09</v>
          </cell>
          <cell r="AT2" t="str">
            <v>08-09</v>
          </cell>
          <cell r="AU2" t="str">
            <v>08-09</v>
          </cell>
          <cell r="AV2" t="str">
            <v>08-09</v>
          </cell>
          <cell r="AW2" t="str">
            <v>08-09</v>
          </cell>
          <cell r="AX2" t="str">
            <v>08-09</v>
          </cell>
          <cell r="AY2" t="str">
            <v>08-09</v>
          </cell>
          <cell r="AZ2" t="str">
            <v>08-09</v>
          </cell>
          <cell r="BA2" t="str">
            <v>08-09</v>
          </cell>
          <cell r="BB2" t="str">
            <v>09-10</v>
          </cell>
          <cell r="BC2" t="str">
            <v>09-10</v>
          </cell>
          <cell r="BD2" t="str">
            <v>09-10</v>
          </cell>
          <cell r="BE2" t="str">
            <v>09-10</v>
          </cell>
          <cell r="BF2" t="str">
            <v>09-10</v>
          </cell>
          <cell r="BG2" t="str">
            <v>09-10</v>
          </cell>
          <cell r="BH2" t="str">
            <v>09-10</v>
          </cell>
          <cell r="BI2" t="str">
            <v>09-10</v>
          </cell>
          <cell r="BJ2" t="str">
            <v>09-10</v>
          </cell>
          <cell r="BK2" t="str">
            <v>09-10</v>
          </cell>
          <cell r="BL2" t="str">
            <v>09-10</v>
          </cell>
          <cell r="BM2" t="str">
            <v>09-10</v>
          </cell>
          <cell r="BN2" t="str">
            <v>10-11</v>
          </cell>
          <cell r="BO2" t="str">
            <v>10-11</v>
          </cell>
          <cell r="BP2" t="str">
            <v>10-11</v>
          </cell>
          <cell r="BQ2" t="str">
            <v>10-11</v>
          </cell>
          <cell r="BR2" t="str">
            <v>10-11</v>
          </cell>
          <cell r="BS2" t="str">
            <v>10-11</v>
          </cell>
          <cell r="BT2" t="str">
            <v>10-11</v>
          </cell>
          <cell r="BU2" t="str">
            <v>10-11</v>
          </cell>
          <cell r="BV2" t="str">
            <v>10-11</v>
          </cell>
          <cell r="BW2" t="str">
            <v>10-11</v>
          </cell>
          <cell r="BX2" t="str">
            <v>10-11</v>
          </cell>
          <cell r="BY2" t="str">
            <v>10-11</v>
          </cell>
          <cell r="BZ2" t="str">
            <v>11-12</v>
          </cell>
          <cell r="CA2" t="str">
            <v>11-12</v>
          </cell>
          <cell r="CB2" t="str">
            <v>11-12</v>
          </cell>
          <cell r="CC2" t="str">
            <v>11-12</v>
          </cell>
          <cell r="CD2" t="str">
            <v>11-12</v>
          </cell>
          <cell r="CE2" t="str">
            <v>11-12</v>
          </cell>
          <cell r="CF2" t="str">
            <v>11-12</v>
          </cell>
          <cell r="CG2" t="str">
            <v>11-12</v>
          </cell>
          <cell r="CH2" t="str">
            <v>11-12</v>
          </cell>
          <cell r="CI2" t="str">
            <v>11-12</v>
          </cell>
          <cell r="CJ2" t="str">
            <v>11-12</v>
          </cell>
          <cell r="CK2" t="str">
            <v>11-12</v>
          </cell>
          <cell r="CL2" t="str">
            <v>12-13</v>
          </cell>
          <cell r="CM2" t="str">
            <v>12-13</v>
          </cell>
          <cell r="CN2" t="str">
            <v>12-13</v>
          </cell>
          <cell r="CO2" t="str">
            <v>12-13</v>
          </cell>
          <cell r="CP2" t="str">
            <v>12-13</v>
          </cell>
          <cell r="CQ2" t="str">
            <v>12-13</v>
          </cell>
          <cell r="CR2" t="str">
            <v>12-13</v>
          </cell>
          <cell r="CS2" t="str">
            <v>12-13</v>
          </cell>
          <cell r="CT2" t="str">
            <v>12-13</v>
          </cell>
          <cell r="CU2" t="str">
            <v>12-13</v>
          </cell>
          <cell r="CV2" t="str">
            <v>12-13</v>
          </cell>
          <cell r="CW2" t="str">
            <v>12-13</v>
          </cell>
          <cell r="CX2" t="str">
            <v>13-14</v>
          </cell>
          <cell r="CY2" t="str">
            <v>13-14</v>
          </cell>
          <cell r="CZ2" t="str">
            <v>13-14</v>
          </cell>
          <cell r="DA2" t="str">
            <v>13-14</v>
          </cell>
          <cell r="DB2" t="str">
            <v>13-14</v>
          </cell>
          <cell r="DC2" t="str">
            <v>13-14</v>
          </cell>
          <cell r="DD2" t="str">
            <v>13-14</v>
          </cell>
          <cell r="DE2" t="str">
            <v>13-14</v>
          </cell>
          <cell r="DF2" t="str">
            <v>13-14</v>
          </cell>
          <cell r="DG2" t="str">
            <v>13-14</v>
          </cell>
          <cell r="DH2" t="str">
            <v>13-14</v>
          </cell>
          <cell r="DI2" t="str">
            <v>13-14</v>
          </cell>
          <cell r="DJ2" t="str">
            <v>14-15</v>
          </cell>
          <cell r="DK2" t="str">
            <v>14-15</v>
          </cell>
          <cell r="DL2" t="str">
            <v>14-15</v>
          </cell>
          <cell r="DM2" t="str">
            <v>14-15</v>
          </cell>
          <cell r="DN2" t="str">
            <v>14-15</v>
          </cell>
          <cell r="DO2" t="str">
            <v>14-15</v>
          </cell>
          <cell r="DP2" t="str">
            <v>14-15</v>
          </cell>
          <cell r="DQ2" t="str">
            <v>14-15</v>
          </cell>
          <cell r="DR2" t="str">
            <v>14-15</v>
          </cell>
          <cell r="DS2" t="str">
            <v>14-15</v>
          </cell>
          <cell r="DT2" t="str">
            <v>14-15</v>
          </cell>
          <cell r="DU2" t="str">
            <v>14-15</v>
          </cell>
          <cell r="DV2" t="str">
            <v>15-16</v>
          </cell>
          <cell r="DW2" t="str">
            <v>15-16</v>
          </cell>
          <cell r="DX2" t="str">
            <v>15-16</v>
          </cell>
          <cell r="DY2" t="str">
            <v>15-16</v>
          </cell>
          <cell r="DZ2" t="str">
            <v>15-16</v>
          </cell>
          <cell r="EA2" t="str">
            <v>15-16</v>
          </cell>
          <cell r="EB2" t="str">
            <v>15-16</v>
          </cell>
        </row>
        <row r="68">
          <cell r="BN68">
            <v>169911</v>
          </cell>
          <cell r="BO68">
            <v>162806</v>
          </cell>
          <cell r="BP68">
            <v>170959.04</v>
          </cell>
          <cell r="BQ68">
            <v>121384.76</v>
          </cell>
          <cell r="BR68">
            <v>101455</v>
          </cell>
          <cell r="BS68">
            <v>61978</v>
          </cell>
          <cell r="BT68">
            <v>97106</v>
          </cell>
          <cell r="BU68">
            <v>111404</v>
          </cell>
          <cell r="BV68">
            <v>141904</v>
          </cell>
          <cell r="BW68">
            <v>206548</v>
          </cell>
          <cell r="BX68">
            <v>225950</v>
          </cell>
          <cell r="BY68">
            <v>186519</v>
          </cell>
          <cell r="BZ68">
            <v>188187</v>
          </cell>
          <cell r="CL68">
            <v>177087</v>
          </cell>
          <cell r="CM68">
            <v>166659</v>
          </cell>
          <cell r="CN68">
            <v>155805</v>
          </cell>
          <cell r="CO68">
            <v>136317</v>
          </cell>
          <cell r="CP68">
            <v>94307</v>
          </cell>
          <cell r="CQ68">
            <v>71734</v>
          </cell>
          <cell r="CR68">
            <v>105277</v>
          </cell>
          <cell r="CS68">
            <v>125670</v>
          </cell>
          <cell r="CT68">
            <v>164413</v>
          </cell>
          <cell r="CU68">
            <v>214053</v>
          </cell>
          <cell r="CV68">
            <v>230061</v>
          </cell>
          <cell r="CW68">
            <v>213344.69</v>
          </cell>
          <cell r="CX68">
            <v>165943</v>
          </cell>
          <cell r="CY68">
            <v>175403</v>
          </cell>
          <cell r="CZ68">
            <v>183365</v>
          </cell>
          <cell r="DA68">
            <v>143785</v>
          </cell>
          <cell r="DB68">
            <v>105275</v>
          </cell>
          <cell r="DC68">
            <v>102516</v>
          </cell>
          <cell r="DD68">
            <v>99494</v>
          </cell>
          <cell r="DE68">
            <v>94603</v>
          </cell>
          <cell r="DF68">
            <v>167564</v>
          </cell>
          <cell r="DG68">
            <v>200275</v>
          </cell>
          <cell r="DH68">
            <v>231807</v>
          </cell>
          <cell r="DI68">
            <v>212057</v>
          </cell>
          <cell r="EQ68">
            <v>42384</v>
          </cell>
          <cell r="ER68">
            <v>1757924.8</v>
          </cell>
          <cell r="ES68">
            <v>1862081</v>
          </cell>
          <cell r="ET68">
            <v>1854727.69</v>
          </cell>
          <cell r="EU68">
            <v>1882087</v>
          </cell>
          <cell r="EV68">
            <v>1816560</v>
          </cell>
        </row>
        <row r="70">
          <cell r="R70">
            <v>3462</v>
          </cell>
          <cell r="S70">
            <v>3577</v>
          </cell>
          <cell r="T70">
            <v>3462</v>
          </cell>
          <cell r="U70">
            <v>3347</v>
          </cell>
          <cell r="V70">
            <v>3347</v>
          </cell>
          <cell r="W70">
            <v>3693</v>
          </cell>
          <cell r="X70">
            <v>3577</v>
          </cell>
          <cell r="Y70">
            <v>3692</v>
          </cell>
          <cell r="Z70">
            <v>3346</v>
          </cell>
          <cell r="AB70">
            <v>3693</v>
          </cell>
          <cell r="AC70">
            <v>3462</v>
          </cell>
          <cell r="AD70">
            <v>3462</v>
          </cell>
          <cell r="AF70">
            <v>3462</v>
          </cell>
          <cell r="AG70">
            <v>3347</v>
          </cell>
          <cell r="AH70">
            <v>3346</v>
          </cell>
          <cell r="AI70">
            <v>3693</v>
          </cell>
          <cell r="AJ70">
            <v>3462</v>
          </cell>
          <cell r="AK70">
            <v>3347</v>
          </cell>
          <cell r="AL70">
            <v>3693</v>
          </cell>
          <cell r="AM70">
            <v>3462</v>
          </cell>
          <cell r="AN70">
            <v>3347</v>
          </cell>
          <cell r="AO70">
            <v>3693</v>
          </cell>
        </row>
        <row r="72">
          <cell r="R72">
            <v>102146</v>
          </cell>
          <cell r="S72">
            <v>145426</v>
          </cell>
          <cell r="T72">
            <v>95409</v>
          </cell>
          <cell r="U72">
            <v>118919</v>
          </cell>
          <cell r="V72">
            <v>138219</v>
          </cell>
          <cell r="W72">
            <v>133514</v>
          </cell>
          <cell r="X72">
            <v>144445</v>
          </cell>
          <cell r="Y72">
            <v>149711</v>
          </cell>
          <cell r="Z72">
            <v>136454</v>
          </cell>
          <cell r="AA72">
            <v>138014</v>
          </cell>
          <cell r="AB72">
            <v>127818</v>
          </cell>
          <cell r="AC72">
            <v>98929</v>
          </cell>
          <cell r="AD72">
            <v>113819</v>
          </cell>
          <cell r="AE72">
            <v>102478</v>
          </cell>
          <cell r="AF72">
            <v>119960</v>
          </cell>
          <cell r="AG72">
            <v>118901</v>
          </cell>
          <cell r="AH72">
            <v>129714</v>
          </cell>
          <cell r="AI72">
            <v>122188</v>
          </cell>
          <cell r="AJ72">
            <v>119734</v>
          </cell>
          <cell r="AK72">
            <v>246286</v>
          </cell>
          <cell r="AL72">
            <v>212420</v>
          </cell>
          <cell r="AM72">
            <v>211760</v>
          </cell>
          <cell r="AN72">
            <v>206860</v>
          </cell>
          <cell r="AO72">
            <v>179597</v>
          </cell>
          <cell r="AP72">
            <v>177809</v>
          </cell>
          <cell r="AQ72">
            <v>172166</v>
          </cell>
          <cell r="AR72">
            <v>193619</v>
          </cell>
          <cell r="AS72">
            <v>201884</v>
          </cell>
          <cell r="AT72">
            <v>202056</v>
          </cell>
          <cell r="AU72">
            <v>226776</v>
          </cell>
          <cell r="AV72">
            <v>221653</v>
          </cell>
          <cell r="AW72">
            <v>223758</v>
          </cell>
          <cell r="AX72">
            <v>196844</v>
          </cell>
          <cell r="AY72">
            <v>217538</v>
          </cell>
          <cell r="AZ72">
            <v>186270</v>
          </cell>
          <cell r="BA72">
            <v>163549</v>
          </cell>
          <cell r="BB72">
            <v>143771</v>
          </cell>
          <cell r="BN72">
            <v>139590</v>
          </cell>
          <cell r="BO72">
            <v>136506</v>
          </cell>
          <cell r="BP72">
            <v>181863</v>
          </cell>
          <cell r="BQ72">
            <v>170221</v>
          </cell>
          <cell r="BR72">
            <v>183706</v>
          </cell>
          <cell r="BS72">
            <v>204622</v>
          </cell>
          <cell r="BT72">
            <v>165683</v>
          </cell>
          <cell r="BU72">
            <v>195386</v>
          </cell>
          <cell r="BV72">
            <v>215452</v>
          </cell>
          <cell r="BW72">
            <v>181474</v>
          </cell>
          <cell r="BX72">
            <v>167317</v>
          </cell>
          <cell r="BY72">
            <v>136926</v>
          </cell>
          <cell r="BZ72">
            <v>115692</v>
          </cell>
          <cell r="CA72">
            <v>121112</v>
          </cell>
          <cell r="CB72">
            <v>171477</v>
          </cell>
          <cell r="CC72">
            <v>161974</v>
          </cell>
          <cell r="CD72">
            <v>183370</v>
          </cell>
          <cell r="CE72">
            <v>198471</v>
          </cell>
          <cell r="CF72">
            <v>177852</v>
          </cell>
          <cell r="CG72">
            <v>195339</v>
          </cell>
          <cell r="CH72">
            <v>197187</v>
          </cell>
          <cell r="CI72">
            <v>180764</v>
          </cell>
          <cell r="CJ72">
            <v>160349</v>
          </cell>
          <cell r="CK72">
            <v>133424</v>
          </cell>
          <cell r="CL72">
            <v>111618</v>
          </cell>
          <cell r="CM72">
            <v>117996</v>
          </cell>
          <cell r="CN72">
            <v>166334</v>
          </cell>
          <cell r="CO72">
            <v>165071</v>
          </cell>
          <cell r="CP72">
            <v>178709</v>
          </cell>
          <cell r="CQ72">
            <v>204742</v>
          </cell>
          <cell r="CR72">
            <v>168794</v>
          </cell>
          <cell r="CS72">
            <v>209943</v>
          </cell>
          <cell r="CT72">
            <v>176700</v>
          </cell>
          <cell r="CU72">
            <v>157122</v>
          </cell>
          <cell r="CV72">
            <v>141508</v>
          </cell>
          <cell r="CW72">
            <v>88548</v>
          </cell>
        </row>
        <row r="73">
          <cell r="R73">
            <v>80770</v>
          </cell>
          <cell r="S73">
            <v>72295</v>
          </cell>
          <cell r="T73">
            <v>93132</v>
          </cell>
          <cell r="U73">
            <v>102799</v>
          </cell>
          <cell r="V73">
            <v>97014</v>
          </cell>
          <cell r="W73">
            <v>113899</v>
          </cell>
          <cell r="X73">
            <v>115523</v>
          </cell>
          <cell r="Y73">
            <v>114825</v>
          </cell>
          <cell r="Z73">
            <v>102402</v>
          </cell>
          <cell r="AA73">
            <v>106312</v>
          </cell>
          <cell r="AB73">
            <v>103629</v>
          </cell>
          <cell r="AC73">
            <v>93322</v>
          </cell>
          <cell r="AD73">
            <v>83771</v>
          </cell>
          <cell r="AE73">
            <v>74496</v>
          </cell>
          <cell r="AF73">
            <v>92625</v>
          </cell>
          <cell r="AG73">
            <v>89040</v>
          </cell>
          <cell r="AH73">
            <v>93121</v>
          </cell>
          <cell r="AI73">
            <v>103712</v>
          </cell>
          <cell r="AJ73">
            <v>89169</v>
          </cell>
          <cell r="AN73" t="str">
            <v>closed</v>
          </cell>
          <cell r="AO73" t="str">
            <v>closed</v>
          </cell>
        </row>
        <row r="74">
          <cell r="CL74">
            <v>307</v>
          </cell>
          <cell r="CM74">
            <v>533</v>
          </cell>
          <cell r="CN74">
            <v>280</v>
          </cell>
          <cell r="CO74">
            <v>493</v>
          </cell>
          <cell r="CP74">
            <v>563</v>
          </cell>
          <cell r="CQ74">
            <v>584</v>
          </cell>
          <cell r="CR74">
            <v>612</v>
          </cell>
          <cell r="CS74">
            <v>832</v>
          </cell>
          <cell r="CT74">
            <v>1174</v>
          </cell>
          <cell r="CU74">
            <v>684</v>
          </cell>
          <cell r="CV74">
            <v>703</v>
          </cell>
          <cell r="CW74">
            <v>614</v>
          </cell>
        </row>
        <row r="86">
          <cell r="F86">
            <v>904029</v>
          </cell>
          <cell r="G86">
            <v>985567</v>
          </cell>
          <cell r="H86">
            <v>1063563</v>
          </cell>
          <cell r="I86">
            <v>1107953</v>
          </cell>
          <cell r="J86">
            <v>1044728</v>
          </cell>
          <cell r="K86">
            <v>1027450</v>
          </cell>
          <cell r="L86">
            <v>981685</v>
          </cell>
          <cell r="M86">
            <v>1067116</v>
          </cell>
          <cell r="N86">
            <v>1013218</v>
          </cell>
          <cell r="O86">
            <v>1083693</v>
          </cell>
          <cell r="P86">
            <v>965923</v>
          </cell>
          <cell r="Q86">
            <v>843114</v>
          </cell>
          <cell r="R86">
            <v>874018</v>
          </cell>
          <cell r="S86">
            <v>808476</v>
          </cell>
          <cell r="T86">
            <v>988710</v>
          </cell>
          <cell r="U86">
            <v>1052867</v>
          </cell>
          <cell r="V86">
            <v>983168</v>
          </cell>
          <cell r="W86">
            <v>1011729</v>
          </cell>
          <cell r="X86">
            <v>1049707</v>
          </cell>
          <cell r="Y86">
            <v>1044206</v>
          </cell>
          <cell r="Z86">
            <v>1006177</v>
          </cell>
          <cell r="AA86">
            <v>925490</v>
          </cell>
          <cell r="AB86">
            <v>1123590</v>
          </cell>
          <cell r="AC86">
            <v>909511</v>
          </cell>
          <cell r="AD86">
            <v>874238</v>
          </cell>
          <cell r="AE86">
            <v>897224</v>
          </cell>
          <cell r="AF86">
            <v>1003847</v>
          </cell>
          <cell r="AG86">
            <v>1067823</v>
          </cell>
          <cell r="AH86">
            <v>975173</v>
          </cell>
          <cell r="AI86">
            <v>942637</v>
          </cell>
          <cell r="AJ86">
            <v>956176</v>
          </cell>
          <cell r="AK86">
            <v>977510</v>
          </cell>
          <cell r="AL86">
            <v>977818</v>
          </cell>
          <cell r="AM86">
            <v>880666</v>
          </cell>
          <cell r="AN86">
            <v>890805</v>
          </cell>
          <cell r="AO86">
            <v>783149</v>
          </cell>
          <cell r="AP86">
            <v>807693</v>
          </cell>
          <cell r="AQ86">
            <v>894426</v>
          </cell>
          <cell r="AR86">
            <v>1038612</v>
          </cell>
          <cell r="AS86">
            <v>1067780</v>
          </cell>
          <cell r="AT86">
            <v>948787</v>
          </cell>
          <cell r="AU86">
            <v>949631</v>
          </cell>
          <cell r="AV86">
            <v>926045</v>
          </cell>
          <cell r="AW86">
            <v>933903</v>
          </cell>
          <cell r="AX86">
            <v>969830</v>
          </cell>
          <cell r="AY86">
            <v>959306</v>
          </cell>
          <cell r="AZ86">
            <v>868800</v>
          </cell>
          <cell r="BA86">
            <v>764897</v>
          </cell>
          <cell r="BB86">
            <v>782592</v>
          </cell>
          <cell r="BC86">
            <v>847201</v>
          </cell>
          <cell r="BD86">
            <v>972723</v>
          </cell>
          <cell r="BE86">
            <v>1016853</v>
          </cell>
          <cell r="BF86">
            <v>926340</v>
          </cell>
          <cell r="BG86">
            <v>938539</v>
          </cell>
          <cell r="BH86">
            <v>885326</v>
          </cell>
          <cell r="BI86">
            <v>924479</v>
          </cell>
          <cell r="BJ86">
            <v>961428</v>
          </cell>
          <cell r="BK86">
            <v>969889</v>
          </cell>
          <cell r="BL86">
            <v>911887</v>
          </cell>
          <cell r="BM86">
            <v>773208</v>
          </cell>
          <cell r="BN86">
            <v>799226</v>
          </cell>
          <cell r="BO86">
            <v>879095</v>
          </cell>
          <cell r="BP86">
            <v>942775.04</v>
          </cell>
          <cell r="BQ86">
            <v>1014710.76</v>
          </cell>
          <cell r="BR86">
            <v>956952</v>
          </cell>
          <cell r="BS86">
            <v>898994</v>
          </cell>
          <cell r="BT86">
            <v>869154</v>
          </cell>
          <cell r="BU86">
            <v>916090.31</v>
          </cell>
          <cell r="BV86">
            <v>953727</v>
          </cell>
          <cell r="BW86">
            <v>941277</v>
          </cell>
          <cell r="BX86">
            <v>900099</v>
          </cell>
          <cell r="BY86">
            <v>757415</v>
          </cell>
          <cell r="BZ86">
            <v>764614</v>
          </cell>
          <cell r="CA86">
            <v>860758</v>
          </cell>
          <cell r="CB86">
            <v>939045</v>
          </cell>
          <cell r="CC86">
            <v>1006199</v>
          </cell>
          <cell r="CD86">
            <v>920527</v>
          </cell>
          <cell r="CE86">
            <v>921393</v>
          </cell>
          <cell r="CF86">
            <v>899892</v>
          </cell>
          <cell r="CG86">
            <v>956765</v>
          </cell>
          <cell r="CH86">
            <v>961433</v>
          </cell>
          <cell r="CI86">
            <v>972463</v>
          </cell>
          <cell r="CJ86">
            <v>912654</v>
          </cell>
          <cell r="CK86">
            <v>770446</v>
          </cell>
          <cell r="CL86">
            <v>812092</v>
          </cell>
          <cell r="CM86">
            <v>838622</v>
          </cell>
          <cell r="CN86">
            <v>949925</v>
          </cell>
          <cell r="CO86">
            <v>1047086</v>
          </cell>
          <cell r="CP86">
            <v>921725</v>
          </cell>
          <cell r="CQ86">
            <v>892962</v>
          </cell>
          <cell r="CR86">
            <v>860647</v>
          </cell>
          <cell r="CS86">
            <v>887940</v>
          </cell>
        </row>
        <row r="120">
          <cell r="Q120">
            <v>112977.62999999999</v>
          </cell>
          <cell r="R120">
            <v>113743.81999999999</v>
          </cell>
          <cell r="S120">
            <v>109538.71000000002</v>
          </cell>
          <cell r="T120">
            <v>119022.33</v>
          </cell>
          <cell r="U120">
            <v>119620.29</v>
          </cell>
          <cell r="V120">
            <v>100637.15999999999</v>
          </cell>
          <cell r="W120">
            <v>94805.4</v>
          </cell>
          <cell r="X120">
            <v>115577.64</v>
          </cell>
          <cell r="Y120">
            <v>106317.92</v>
          </cell>
          <cell r="Z120">
            <v>108256.17</v>
          </cell>
          <cell r="AA120">
            <v>105789.21000000002</v>
          </cell>
          <cell r="AB120">
            <v>111856.14000000001</v>
          </cell>
          <cell r="AC120">
            <v>99479.260000000009</v>
          </cell>
          <cell r="AD120">
            <v>128045.5</v>
          </cell>
          <cell r="AE120">
            <v>113794.31</v>
          </cell>
          <cell r="AF120">
            <v>123047.69</v>
          </cell>
          <cell r="AG120">
            <v>132593.01000000004</v>
          </cell>
          <cell r="AH120">
            <v>96831.059999999983</v>
          </cell>
          <cell r="AI120">
            <v>91079.11</v>
          </cell>
          <cell r="AJ120">
            <v>79437.35000000002</v>
          </cell>
          <cell r="AK120">
            <v>83617.39999999998</v>
          </cell>
          <cell r="AL120">
            <v>82500.959999999992</v>
          </cell>
          <cell r="AM120">
            <v>96375.58</v>
          </cell>
          <cell r="AN120">
            <v>110105.81</v>
          </cell>
          <cell r="AO120">
            <v>96629.790000000008</v>
          </cell>
          <cell r="AP120">
            <v>97209.159999999989</v>
          </cell>
          <cell r="AQ120">
            <v>111979.14</v>
          </cell>
          <cell r="AR120">
            <v>126306.90000000001</v>
          </cell>
          <cell r="AS120">
            <v>141516.22</v>
          </cell>
          <cell r="AT120">
            <v>85155.150000000009</v>
          </cell>
          <cell r="AU120">
            <v>85336.47</v>
          </cell>
          <cell r="AV120">
            <v>80925.23000000001</v>
          </cell>
          <cell r="AW120">
            <v>81816.949999999983</v>
          </cell>
          <cell r="AX120">
            <v>93499.11</v>
          </cell>
          <cell r="AY120">
            <v>93125.99</v>
          </cell>
          <cell r="AZ120">
            <v>135171.92000000001</v>
          </cell>
          <cell r="BA120">
            <v>110836.01999999997</v>
          </cell>
          <cell r="BB120">
            <v>111611.61000000002</v>
          </cell>
          <cell r="BC120">
            <v>128032.23</v>
          </cell>
          <cell r="BD120">
            <v>141025.28</v>
          </cell>
          <cell r="BE120">
            <v>91082.489999999991</v>
          </cell>
          <cell r="BF120">
            <v>90127.02</v>
          </cell>
          <cell r="BG120">
            <v>92256.98</v>
          </cell>
          <cell r="BH120">
            <v>88204.290000000023</v>
          </cell>
          <cell r="BI120">
            <v>91866.650000000009</v>
          </cell>
          <cell r="BJ120">
            <v>98232.989999999991</v>
          </cell>
          <cell r="BK120">
            <v>98401.82</v>
          </cell>
          <cell r="BL120">
            <v>134563.53999999998</v>
          </cell>
          <cell r="BM120">
            <v>106453.75999999999</v>
          </cell>
          <cell r="BN120">
            <v>109845.95999999998</v>
          </cell>
          <cell r="BO120">
            <v>126317.07999999999</v>
          </cell>
          <cell r="BP120">
            <v>133409.82999999999</v>
          </cell>
          <cell r="BQ120">
            <v>141920.20000000001</v>
          </cell>
          <cell r="BR120">
            <v>97530.29</v>
          </cell>
          <cell r="BS120">
            <v>92122.72099999999</v>
          </cell>
          <cell r="BT120">
            <v>89722.21</v>
          </cell>
          <cell r="BU120">
            <v>94334</v>
          </cell>
          <cell r="BV120">
            <v>99791.22</v>
          </cell>
          <cell r="BW120">
            <v>100763.60000000002</v>
          </cell>
          <cell r="BX120">
            <v>126692.23999999998</v>
          </cell>
          <cell r="BY120">
            <v>102891.06000000001</v>
          </cell>
          <cell r="BZ120">
            <v>102664.42000000003</v>
          </cell>
          <cell r="CA120">
            <v>119879.72</v>
          </cell>
          <cell r="CB120">
            <v>134123.23000000001</v>
          </cell>
          <cell r="CC120">
            <v>143048.21000000002</v>
          </cell>
          <cell r="CD120">
            <v>97192.09</v>
          </cell>
          <cell r="CE120">
            <v>96621.059999999983</v>
          </cell>
          <cell r="CF120">
            <v>93713.63</v>
          </cell>
          <cell r="CG120">
            <v>99072.150000000009</v>
          </cell>
          <cell r="CH120">
            <v>100845.84000000001</v>
          </cell>
          <cell r="CI120">
            <v>103821.87</v>
          </cell>
          <cell r="CJ120">
            <v>126762.42</v>
          </cell>
          <cell r="CK120">
            <v>108623.52999999998</v>
          </cell>
          <cell r="CL120">
            <v>107158.38999999997</v>
          </cell>
          <cell r="CM120">
            <v>119656.62999999999</v>
          </cell>
          <cell r="CN120">
            <v>130523.46000000002</v>
          </cell>
          <cell r="CO120">
            <v>144034.32999999999</v>
          </cell>
          <cell r="CP120">
            <v>96940.62000000001</v>
          </cell>
          <cell r="CQ120">
            <v>92990.6</v>
          </cell>
          <cell r="CR120">
            <v>91886.090000000011</v>
          </cell>
          <cell r="CS120">
            <v>95584.950000000026</v>
          </cell>
          <cell r="CT120">
            <v>97407.07</v>
          </cell>
          <cell r="CU120">
            <v>99908.26</v>
          </cell>
          <cell r="CV120">
            <v>131482.47</v>
          </cell>
          <cell r="CW120">
            <v>108833.29</v>
          </cell>
          <cell r="CX120">
            <v>112356.56000000001</v>
          </cell>
          <cell r="CY120">
            <v>121795.56</v>
          </cell>
          <cell r="CZ120">
            <v>134542.6</v>
          </cell>
          <cell r="DA120">
            <v>140835.87</v>
          </cell>
          <cell r="DB120">
            <v>104547.93</v>
          </cell>
          <cell r="DC120">
            <v>98119.760000000009</v>
          </cell>
          <cell r="DD120">
            <v>97245.389999999985</v>
          </cell>
          <cell r="DE120">
            <v>99441.959999999992</v>
          </cell>
          <cell r="DF120">
            <v>103753.55</v>
          </cell>
          <cell r="DG120">
            <v>108369.53</v>
          </cell>
          <cell r="DH120">
            <v>136996.73000000001</v>
          </cell>
          <cell r="DI120">
            <v>114835.73999999998</v>
          </cell>
          <cell r="DJ120">
            <v>126895.85999999999</v>
          </cell>
          <cell r="DK120">
            <v>135288.95999999999</v>
          </cell>
          <cell r="DL120">
            <v>154376.80000000005</v>
          </cell>
          <cell r="DM120">
            <v>165832.97</v>
          </cell>
          <cell r="DN120">
            <v>108344.4</v>
          </cell>
          <cell r="DO120">
            <v>109719.39</v>
          </cell>
          <cell r="DP120">
            <v>106715.91</v>
          </cell>
          <cell r="DQ120">
            <v>110624.51999999999</v>
          </cell>
          <cell r="DR120">
            <v>117330.17999999998</v>
          </cell>
          <cell r="DS120">
            <v>122236.26000000002</v>
          </cell>
          <cell r="DT120">
            <v>156036.66999999998</v>
          </cell>
          <cell r="DU120">
            <v>133115.75000000003</v>
          </cell>
          <cell r="DV120">
            <v>140630.57999999996</v>
          </cell>
          <cell r="DW120">
            <v>155207.71</v>
          </cell>
          <cell r="DX120">
            <v>172761.18999999994</v>
          </cell>
          <cell r="DY120">
            <v>173896.50999999998</v>
          </cell>
          <cell r="DZ120">
            <v>115166.8</v>
          </cell>
          <cell r="EA120">
            <v>114582.92999999998</v>
          </cell>
          <cell r="EB120">
            <v>110076.36999999998</v>
          </cell>
        </row>
        <row r="134">
          <cell r="CL134">
            <v>807362</v>
          </cell>
          <cell r="CM134">
            <v>838622</v>
          </cell>
          <cell r="CN134">
            <v>949925</v>
          </cell>
          <cell r="CO134">
            <v>1047086</v>
          </cell>
          <cell r="CP134">
            <v>921725</v>
          </cell>
          <cell r="CQ134">
            <v>892962</v>
          </cell>
          <cell r="CR134">
            <v>860647</v>
          </cell>
          <cell r="CS134">
            <v>887940</v>
          </cell>
          <cell r="CT134">
            <v>906327</v>
          </cell>
          <cell r="CU134">
            <v>914425</v>
          </cell>
          <cell r="CV134">
            <v>861702</v>
          </cell>
          <cell r="CW134">
            <v>743830.69</v>
          </cell>
          <cell r="CX134">
            <v>786102</v>
          </cell>
          <cell r="CY134">
            <v>809064</v>
          </cell>
          <cell r="CZ134">
            <v>916341</v>
          </cell>
          <cell r="DA134">
            <v>969500</v>
          </cell>
          <cell r="DB134">
            <v>882114</v>
          </cell>
          <cell r="DC134">
            <v>896015</v>
          </cell>
          <cell r="DD134">
            <v>872668</v>
          </cell>
          <cell r="DE134">
            <v>894005</v>
          </cell>
          <cell r="DF134">
            <v>918972</v>
          </cell>
          <cell r="DG134">
            <v>941708</v>
          </cell>
          <cell r="DH134">
            <v>864331.67700000003</v>
          </cell>
          <cell r="DI134">
            <v>739691</v>
          </cell>
          <cell r="DJ134">
            <v>810958.46</v>
          </cell>
          <cell r="DK134">
            <v>838016</v>
          </cell>
          <cell r="DL134">
            <v>968907.51840000006</v>
          </cell>
          <cell r="DM134">
            <v>1028048.3304</v>
          </cell>
          <cell r="DN134">
            <v>912067.74479999999</v>
          </cell>
          <cell r="DO134">
            <v>928698.25300000003</v>
          </cell>
          <cell r="DP134">
            <v>899857.9</v>
          </cell>
          <cell r="DQ134">
            <v>929120</v>
          </cell>
          <cell r="DR134">
            <v>995337</v>
          </cell>
          <cell r="DS134">
            <v>1033446</v>
          </cell>
          <cell r="DT134">
            <v>939599.30660000001</v>
          </cell>
          <cell r="DU134">
            <v>836458</v>
          </cell>
        </row>
        <row r="137">
          <cell r="CX137">
            <v>72546</v>
          </cell>
          <cell r="CY137">
            <v>70210</v>
          </cell>
          <cell r="CZ137">
            <v>111809</v>
          </cell>
          <cell r="DA137">
            <v>113409</v>
          </cell>
          <cell r="DB137">
            <v>137898</v>
          </cell>
          <cell r="DC137">
            <v>138425</v>
          </cell>
          <cell r="DD137">
            <v>110804</v>
          </cell>
          <cell r="DE137">
            <v>148561</v>
          </cell>
          <cell r="DF137">
            <v>121931</v>
          </cell>
          <cell r="DG137">
            <v>130167</v>
          </cell>
          <cell r="DH137">
            <v>115537</v>
          </cell>
          <cell r="DI137">
            <v>74763</v>
          </cell>
          <cell r="DJ137">
            <v>72512</v>
          </cell>
          <cell r="DK137">
            <v>76852</v>
          </cell>
          <cell r="DL137">
            <v>118926</v>
          </cell>
          <cell r="DM137">
            <v>127249</v>
          </cell>
          <cell r="DN137">
            <v>142144</v>
          </cell>
          <cell r="DO137">
            <v>139880</v>
          </cell>
          <cell r="DP137">
            <v>133165</v>
          </cell>
          <cell r="DQ137">
            <v>148440</v>
          </cell>
          <cell r="DR137">
            <v>135192</v>
          </cell>
          <cell r="DS137">
            <v>151209</v>
          </cell>
          <cell r="DT137">
            <v>124536</v>
          </cell>
          <cell r="DU137">
            <v>81589</v>
          </cell>
        </row>
      </sheetData>
      <sheetData sheetId="5" refreshError="1">
        <row r="2">
          <cell r="N2" t="str">
            <v>05-06</v>
          </cell>
          <cell r="O2" t="str">
            <v>05-06</v>
          </cell>
          <cell r="P2" t="str">
            <v>05-06</v>
          </cell>
          <cell r="Q2" t="str">
            <v>05-06</v>
          </cell>
          <cell r="R2" t="str">
            <v>05-06</v>
          </cell>
          <cell r="S2" t="str">
            <v>05-06</v>
          </cell>
          <cell r="T2" t="str">
            <v>05-06</v>
          </cell>
          <cell r="U2" t="str">
            <v>05-06</v>
          </cell>
          <cell r="V2" t="str">
            <v>05-06</v>
          </cell>
          <cell r="W2" t="str">
            <v>05-06</v>
          </cell>
          <cell r="X2" t="str">
            <v>05-06</v>
          </cell>
          <cell r="Y2" t="str">
            <v>05-06</v>
          </cell>
          <cell r="Z2" t="str">
            <v>06-07</v>
          </cell>
          <cell r="AA2" t="str">
            <v>06-07</v>
          </cell>
          <cell r="AB2" t="str">
            <v>06-07</v>
          </cell>
          <cell r="AC2" t="str">
            <v>06-07</v>
          </cell>
          <cell r="AD2" t="str">
            <v>06-07</v>
          </cell>
          <cell r="AE2" t="str">
            <v>06-07</v>
          </cell>
          <cell r="AF2" t="str">
            <v>06-07</v>
          </cell>
          <cell r="AG2" t="str">
            <v>06-07</v>
          </cell>
          <cell r="AH2" t="str">
            <v>06-07</v>
          </cell>
          <cell r="AI2" t="str">
            <v>06-07</v>
          </cell>
          <cell r="AJ2" t="str">
            <v>06-07</v>
          </cell>
          <cell r="AK2" t="str">
            <v>06-07</v>
          </cell>
          <cell r="AL2" t="str">
            <v>07-08</v>
          </cell>
          <cell r="AM2" t="str">
            <v>07-08</v>
          </cell>
          <cell r="AN2" t="str">
            <v>07-08</v>
          </cell>
          <cell r="AO2" t="str">
            <v>07-08</v>
          </cell>
          <cell r="AP2" t="str">
            <v>07-08</v>
          </cell>
          <cell r="AQ2" t="str">
            <v>07-08</v>
          </cell>
          <cell r="AR2" t="str">
            <v>07-08</v>
          </cell>
          <cell r="AS2" t="str">
            <v>07-08</v>
          </cell>
          <cell r="AT2" t="str">
            <v>07-08</v>
          </cell>
          <cell r="AU2" t="str">
            <v>07-08</v>
          </cell>
          <cell r="AV2" t="str">
            <v>07-08</v>
          </cell>
          <cell r="AW2" t="str">
            <v>07-08</v>
          </cell>
          <cell r="AX2" t="str">
            <v>08-09</v>
          </cell>
          <cell r="AY2" t="str">
            <v>08-09</v>
          </cell>
          <cell r="AZ2" t="str">
            <v>08-09</v>
          </cell>
          <cell r="BA2" t="str">
            <v>08-09</v>
          </cell>
          <cell r="BB2" t="str">
            <v>08-09</v>
          </cell>
          <cell r="BC2" t="str">
            <v>08-09</v>
          </cell>
          <cell r="BD2" t="str">
            <v>08-09</v>
          </cell>
          <cell r="BE2" t="str">
            <v>08-09</v>
          </cell>
          <cell r="BF2" t="str">
            <v>08-09</v>
          </cell>
          <cell r="BG2" t="str">
            <v>08-09</v>
          </cell>
          <cell r="BH2" t="str">
            <v>08-09</v>
          </cell>
          <cell r="BI2" t="str">
            <v>08-09</v>
          </cell>
          <cell r="BJ2" t="str">
            <v>09-10</v>
          </cell>
          <cell r="BK2" t="str">
            <v>09-10</v>
          </cell>
          <cell r="BL2" t="str">
            <v>09-10</v>
          </cell>
          <cell r="BM2" t="str">
            <v>09-10</v>
          </cell>
          <cell r="BN2" t="str">
            <v>09-10</v>
          </cell>
          <cell r="BO2" t="str">
            <v>09-10</v>
          </cell>
          <cell r="BP2" t="str">
            <v>09-10</v>
          </cell>
          <cell r="BQ2" t="str">
            <v>09-10</v>
          </cell>
          <cell r="BR2" t="str">
            <v>09-10</v>
          </cell>
          <cell r="BS2" t="str">
            <v>09-10</v>
          </cell>
          <cell r="BT2" t="str">
            <v>09-10</v>
          </cell>
          <cell r="BU2" t="str">
            <v>09-10</v>
          </cell>
          <cell r="BV2" t="str">
            <v>10-11</v>
          </cell>
          <cell r="BW2" t="str">
            <v>10-11</v>
          </cell>
          <cell r="BX2" t="str">
            <v>10-11</v>
          </cell>
          <cell r="BY2" t="str">
            <v>10-11</v>
          </cell>
          <cell r="BZ2" t="str">
            <v>10-11</v>
          </cell>
          <cell r="CA2" t="str">
            <v>10-11</v>
          </cell>
          <cell r="CB2" t="str">
            <v>10-11</v>
          </cell>
          <cell r="CC2" t="str">
            <v>10-11</v>
          </cell>
          <cell r="CD2" t="str">
            <v>10-11</v>
          </cell>
          <cell r="CE2" t="str">
            <v>10-11</v>
          </cell>
          <cell r="CF2" t="str">
            <v>10-11</v>
          </cell>
          <cell r="CG2" t="str">
            <v>10-11</v>
          </cell>
          <cell r="CH2" t="str">
            <v>11-12</v>
          </cell>
          <cell r="CI2" t="str">
            <v>11-12</v>
          </cell>
          <cell r="CJ2" t="str">
            <v>11-12</v>
          </cell>
          <cell r="CK2" t="str">
            <v>11-12</v>
          </cell>
          <cell r="CL2" t="str">
            <v>11-12</v>
          </cell>
          <cell r="CM2" t="str">
            <v>11-12</v>
          </cell>
          <cell r="CN2" t="str">
            <v>11-12</v>
          </cell>
          <cell r="CO2" t="str">
            <v>11-12</v>
          </cell>
          <cell r="CP2" t="str">
            <v>11-12</v>
          </cell>
          <cell r="CQ2" t="str">
            <v>11-12</v>
          </cell>
          <cell r="CR2" t="str">
            <v>11-12</v>
          </cell>
          <cell r="CS2" t="str">
            <v>11-12</v>
          </cell>
          <cell r="CT2" t="str">
            <v>12-13</v>
          </cell>
          <cell r="CU2" t="str">
            <v>12-13</v>
          </cell>
          <cell r="CV2" t="str">
            <v>12-13</v>
          </cell>
          <cell r="CW2" t="str">
            <v>12-13</v>
          </cell>
          <cell r="CX2" t="str">
            <v>12-13</v>
          </cell>
          <cell r="CY2" t="str">
            <v>12-13</v>
          </cell>
          <cell r="CZ2" t="str">
            <v>12-13</v>
          </cell>
          <cell r="DA2" t="str">
            <v>12-13</v>
          </cell>
          <cell r="DB2" t="str">
            <v>12-13</v>
          </cell>
          <cell r="DC2" t="str">
            <v>12-13</v>
          </cell>
          <cell r="DD2" t="str">
            <v>12-13</v>
          </cell>
          <cell r="DE2" t="str">
            <v>12-13</v>
          </cell>
          <cell r="DF2" t="str">
            <v>13-14</v>
          </cell>
          <cell r="DG2" t="str">
            <v>13-14</v>
          </cell>
          <cell r="DH2" t="str">
            <v>13-14</v>
          </cell>
          <cell r="DI2" t="str">
            <v>13-14</v>
          </cell>
          <cell r="DJ2" t="str">
            <v>13-14</v>
          </cell>
          <cell r="DK2" t="str">
            <v>13-14</v>
          </cell>
          <cell r="DL2" t="str">
            <v>13-14</v>
          </cell>
          <cell r="DM2" t="str">
            <v>13-14</v>
          </cell>
          <cell r="DN2" t="str">
            <v>13-14</v>
          </cell>
          <cell r="DO2" t="str">
            <v>13-14</v>
          </cell>
          <cell r="DP2" t="str">
            <v>13-14</v>
          </cell>
          <cell r="DQ2" t="str">
            <v>13-14</v>
          </cell>
          <cell r="DR2" t="str">
            <v>14-15</v>
          </cell>
          <cell r="DS2" t="str">
            <v>14-15</v>
          </cell>
          <cell r="DT2" t="str">
            <v>14-15</v>
          </cell>
          <cell r="DU2" t="str">
            <v>14-15</v>
          </cell>
          <cell r="DV2" t="str">
            <v>14-15</v>
          </cell>
          <cell r="DW2" t="str">
            <v>14-15</v>
          </cell>
          <cell r="DX2" t="str">
            <v>14-15</v>
          </cell>
          <cell r="DY2" t="str">
            <v>14-15</v>
          </cell>
          <cell r="DZ2" t="str">
            <v>14-15</v>
          </cell>
          <cell r="EA2" t="str">
            <v>14-15</v>
          </cell>
          <cell r="EB2" t="str">
            <v>14-15</v>
          </cell>
          <cell r="EC2" t="str">
            <v>14-15</v>
          </cell>
          <cell r="ED2" t="str">
            <v>15-16</v>
          </cell>
          <cell r="EE2" t="str">
            <v>15-16</v>
          </cell>
          <cell r="EF2" t="str">
            <v>15-16</v>
          </cell>
          <cell r="EG2" t="str">
            <v>15-16</v>
          </cell>
          <cell r="EH2" t="str">
            <v>15-16</v>
          </cell>
          <cell r="EI2" t="str">
            <v>15-16</v>
          </cell>
          <cell r="EJ2" t="str">
            <v>15-16</v>
          </cell>
          <cell r="EK2" t="str">
            <v>15-16</v>
          </cell>
          <cell r="EL2" t="str">
            <v>15-16</v>
          </cell>
          <cell r="EM2" t="str">
            <v>15-16</v>
          </cell>
        </row>
        <row r="6">
          <cell r="N6">
            <v>30475</v>
          </cell>
          <cell r="O6">
            <v>31631</v>
          </cell>
          <cell r="P6">
            <v>35910</v>
          </cell>
          <cell r="Q6">
            <v>40620</v>
          </cell>
          <cell r="R6">
            <v>41647</v>
          </cell>
          <cell r="S6">
            <v>55736</v>
          </cell>
          <cell r="T6">
            <v>59000</v>
          </cell>
          <cell r="U6">
            <v>55823</v>
          </cell>
          <cell r="V6">
            <v>64656</v>
          </cell>
          <cell r="W6">
            <v>52663</v>
          </cell>
          <cell r="X6">
            <v>37027</v>
          </cell>
          <cell r="Y6">
            <v>27326</v>
          </cell>
          <cell r="Z6">
            <v>28963</v>
          </cell>
          <cell r="AA6">
            <v>26934</v>
          </cell>
          <cell r="AB6">
            <v>32404</v>
          </cell>
          <cell r="AC6">
            <v>32688</v>
          </cell>
          <cell r="AD6">
            <v>43275</v>
          </cell>
          <cell r="AE6">
            <v>63932</v>
          </cell>
          <cell r="AF6">
            <v>70810</v>
          </cell>
          <cell r="AG6">
            <v>55246</v>
          </cell>
          <cell r="AH6">
            <v>51134</v>
          </cell>
          <cell r="AI6">
            <v>49529</v>
          </cell>
          <cell r="AJ6">
            <v>42649</v>
          </cell>
          <cell r="AK6">
            <v>27240</v>
          </cell>
          <cell r="AL6">
            <v>25043</v>
          </cell>
          <cell r="AM6">
            <v>24745</v>
          </cell>
          <cell r="AN6">
            <v>25069</v>
          </cell>
          <cell r="AO6">
            <v>33887</v>
          </cell>
          <cell r="AP6">
            <v>40454</v>
          </cell>
          <cell r="AQ6">
            <v>58691</v>
          </cell>
          <cell r="AR6">
            <v>66403</v>
          </cell>
          <cell r="AS6">
            <v>58364</v>
          </cell>
          <cell r="AT6">
            <v>51398</v>
          </cell>
          <cell r="AU6">
            <v>50350</v>
          </cell>
          <cell r="AV6">
            <v>40415</v>
          </cell>
          <cell r="AW6">
            <v>29192</v>
          </cell>
          <cell r="AX6">
            <v>23708</v>
          </cell>
          <cell r="AY6">
            <v>28238</v>
          </cell>
          <cell r="AZ6">
            <v>28815</v>
          </cell>
          <cell r="BA6">
            <v>34864</v>
          </cell>
          <cell r="BB6">
            <v>36348</v>
          </cell>
          <cell r="BC6">
            <v>60323</v>
          </cell>
          <cell r="BD6">
            <v>55096</v>
          </cell>
          <cell r="BE6">
            <v>52551</v>
          </cell>
          <cell r="BF6">
            <v>49927</v>
          </cell>
          <cell r="BG6">
            <v>43472</v>
          </cell>
          <cell r="BH6">
            <v>32774</v>
          </cell>
          <cell r="BI6">
            <v>20103</v>
          </cell>
          <cell r="BJ6">
            <v>22858</v>
          </cell>
          <cell r="BK6">
            <v>21687</v>
          </cell>
          <cell r="BL6">
            <v>27554</v>
          </cell>
          <cell r="BM6">
            <v>34412</v>
          </cell>
          <cell r="BN6">
            <v>39829</v>
          </cell>
          <cell r="BO6">
            <v>54884</v>
          </cell>
          <cell r="BP6">
            <v>48388</v>
          </cell>
          <cell r="BQ6">
            <v>45722</v>
          </cell>
          <cell r="BR6">
            <v>46592</v>
          </cell>
          <cell r="BS6">
            <v>42727</v>
          </cell>
          <cell r="BT6">
            <v>37082</v>
          </cell>
          <cell r="BU6">
            <v>26926</v>
          </cell>
          <cell r="BV6">
            <v>26692</v>
          </cell>
          <cell r="BW6">
            <v>27628</v>
          </cell>
          <cell r="BX6">
            <v>28298</v>
          </cell>
          <cell r="BY6">
            <v>33361</v>
          </cell>
          <cell r="BZ6">
            <v>41563</v>
          </cell>
          <cell r="CA6">
            <v>48165</v>
          </cell>
          <cell r="CB6">
            <v>49402</v>
          </cell>
          <cell r="CC6">
            <v>52273</v>
          </cell>
          <cell r="CD6">
            <v>47386</v>
          </cell>
          <cell r="CE6">
            <v>42058</v>
          </cell>
          <cell r="CF6">
            <v>38294</v>
          </cell>
          <cell r="CG6">
            <v>26623</v>
          </cell>
          <cell r="CH6">
            <v>21467</v>
          </cell>
          <cell r="CI6">
            <v>29418</v>
          </cell>
          <cell r="CJ6">
            <v>30390</v>
          </cell>
          <cell r="CK6">
            <v>31897</v>
          </cell>
          <cell r="CL6">
            <v>44080</v>
          </cell>
          <cell r="CM6">
            <v>55842</v>
          </cell>
          <cell r="CN6">
            <v>53074</v>
          </cell>
          <cell r="CO6">
            <v>51267</v>
          </cell>
          <cell r="CP6">
            <v>50383</v>
          </cell>
          <cell r="CQ6">
            <v>43637</v>
          </cell>
          <cell r="CR6">
            <v>37334</v>
          </cell>
          <cell r="CS6">
            <v>24300</v>
          </cell>
          <cell r="CT6">
            <v>26485</v>
          </cell>
          <cell r="CU6">
            <v>31151</v>
          </cell>
          <cell r="CV6">
            <v>36511</v>
          </cell>
          <cell r="CW6">
            <v>34344</v>
          </cell>
          <cell r="CX6">
            <v>51114</v>
          </cell>
          <cell r="CY6">
            <v>49363</v>
          </cell>
          <cell r="CZ6">
            <v>57999</v>
          </cell>
          <cell r="DA6">
            <v>54743</v>
          </cell>
          <cell r="DB6">
            <v>48927</v>
          </cell>
          <cell r="DC6">
            <v>42444</v>
          </cell>
          <cell r="DD6">
            <v>31611</v>
          </cell>
          <cell r="DE6">
            <v>20499</v>
          </cell>
          <cell r="DF6">
            <v>26358</v>
          </cell>
          <cell r="DG6">
            <v>24809</v>
          </cell>
          <cell r="DH6">
            <v>23849</v>
          </cell>
          <cell r="DI6">
            <v>37516</v>
          </cell>
          <cell r="DJ6">
            <v>40658</v>
          </cell>
          <cell r="DK6">
            <v>55930</v>
          </cell>
          <cell r="DL6">
            <v>46073</v>
          </cell>
          <cell r="DM6">
            <v>46893</v>
          </cell>
          <cell r="DN6">
            <v>39157</v>
          </cell>
          <cell r="DO6">
            <v>40140</v>
          </cell>
          <cell r="DP6">
            <v>27751</v>
          </cell>
          <cell r="DQ6">
            <v>23215</v>
          </cell>
          <cell r="DR6">
            <v>20950</v>
          </cell>
          <cell r="DS6">
            <v>19725</v>
          </cell>
          <cell r="DT6">
            <v>17011</v>
          </cell>
          <cell r="DU6">
            <v>25583</v>
          </cell>
          <cell r="DV6">
            <v>33698</v>
          </cell>
          <cell r="DW6">
            <v>39478</v>
          </cell>
          <cell r="DX6">
            <v>42940</v>
          </cell>
          <cell r="DY6">
            <v>37818</v>
          </cell>
          <cell r="DZ6">
            <v>41327</v>
          </cell>
          <cell r="EA6">
            <v>46805</v>
          </cell>
          <cell r="EB6">
            <v>36161</v>
          </cell>
          <cell r="EC6">
            <v>26107</v>
          </cell>
        </row>
        <row r="7">
          <cell r="N7">
            <v>18136</v>
          </cell>
          <cell r="O7">
            <v>18535</v>
          </cell>
          <cell r="P7">
            <v>22529</v>
          </cell>
          <cell r="Q7">
            <v>28874</v>
          </cell>
          <cell r="R7">
            <v>25116</v>
          </cell>
          <cell r="S7">
            <v>36496.85</v>
          </cell>
          <cell r="T7">
            <v>39290.18</v>
          </cell>
          <cell r="U7">
            <v>31971.3</v>
          </cell>
          <cell r="V7">
            <v>38885.89</v>
          </cell>
          <cell r="W7">
            <v>31232.240000000002</v>
          </cell>
          <cell r="X7">
            <v>18078.38</v>
          </cell>
          <cell r="Y7">
            <v>15039.56</v>
          </cell>
          <cell r="Z7">
            <v>13827.12</v>
          </cell>
          <cell r="AA7">
            <v>12010.2</v>
          </cell>
          <cell r="AB7">
            <v>18015.98</v>
          </cell>
          <cell r="AC7">
            <v>17747.77</v>
          </cell>
          <cell r="AD7">
            <v>24757.47</v>
          </cell>
          <cell r="AE7">
            <v>36804.33</v>
          </cell>
          <cell r="AF7">
            <v>39974.94</v>
          </cell>
          <cell r="AG7">
            <v>29023.42</v>
          </cell>
          <cell r="AH7">
            <v>25662.73</v>
          </cell>
          <cell r="AI7">
            <v>27846.45</v>
          </cell>
          <cell r="AJ7">
            <v>22411.57</v>
          </cell>
          <cell r="AK7">
            <v>13490.26</v>
          </cell>
          <cell r="AL7">
            <v>11928.05</v>
          </cell>
          <cell r="AM7">
            <v>11445.83</v>
          </cell>
          <cell r="AN7">
            <v>11700.04</v>
          </cell>
          <cell r="AO7">
            <v>17807.82</v>
          </cell>
          <cell r="AP7">
            <v>22079.94</v>
          </cell>
          <cell r="AQ7">
            <v>31159.45</v>
          </cell>
          <cell r="AR7">
            <v>37362.57</v>
          </cell>
          <cell r="AS7">
            <v>31362.6</v>
          </cell>
          <cell r="AT7">
            <v>25272.22</v>
          </cell>
          <cell r="AU7">
            <v>48043.74</v>
          </cell>
          <cell r="AV7">
            <v>44738.51</v>
          </cell>
          <cell r="AW7">
            <v>33369.89</v>
          </cell>
          <cell r="AX7">
            <v>31127.89</v>
          </cell>
          <cell r="AY7">
            <v>26983.57</v>
          </cell>
          <cell r="AZ7">
            <v>25992.75</v>
          </cell>
          <cell r="BA7">
            <v>29761.69</v>
          </cell>
          <cell r="BB7">
            <v>31735.17</v>
          </cell>
          <cell r="BC7">
            <v>51674.51</v>
          </cell>
          <cell r="BD7">
            <v>48289.88</v>
          </cell>
          <cell r="BE7">
            <v>44439.46</v>
          </cell>
          <cell r="BF7">
            <v>41714.449999999997</v>
          </cell>
          <cell r="BG7">
            <v>36248.43</v>
          </cell>
          <cell r="BH7">
            <v>28175.5</v>
          </cell>
          <cell r="BI7">
            <v>17936.349999999999</v>
          </cell>
          <cell r="BJ7">
            <v>18279.41</v>
          </cell>
          <cell r="BK7">
            <v>17197.849999999999</v>
          </cell>
          <cell r="BL7">
            <v>20011.97</v>
          </cell>
          <cell r="BM7">
            <v>24956.51</v>
          </cell>
          <cell r="BN7">
            <v>27380.9</v>
          </cell>
          <cell r="BO7">
            <v>37036.410000000003</v>
          </cell>
          <cell r="BP7">
            <v>34611.65</v>
          </cell>
          <cell r="BQ7">
            <v>31942.78</v>
          </cell>
          <cell r="BR7">
            <v>31917.89</v>
          </cell>
          <cell r="BS7">
            <v>28983.17</v>
          </cell>
          <cell r="BT7">
            <v>25267.88</v>
          </cell>
          <cell r="BU7">
            <v>18645.650000000001</v>
          </cell>
          <cell r="BV7">
            <v>17956.650000000001</v>
          </cell>
          <cell r="BW7">
            <v>17462.009999999998</v>
          </cell>
          <cell r="BX7">
            <v>17693.62</v>
          </cell>
          <cell r="BY7">
            <v>20765.97</v>
          </cell>
          <cell r="BZ7">
            <v>24543.21</v>
          </cell>
          <cell r="CA7">
            <v>29671.66</v>
          </cell>
          <cell r="CB7">
            <v>29704.67</v>
          </cell>
          <cell r="CC7">
            <v>31343.89</v>
          </cell>
          <cell r="CD7">
            <v>28296.07</v>
          </cell>
          <cell r="CE7">
            <v>26283.67</v>
          </cell>
          <cell r="CF7">
            <v>24066.86</v>
          </cell>
          <cell r="CG7">
            <v>17075</v>
          </cell>
          <cell r="CH7">
            <v>15345.95</v>
          </cell>
          <cell r="CI7">
            <v>20335.990000000002</v>
          </cell>
          <cell r="CJ7">
            <v>21062.59</v>
          </cell>
          <cell r="CK7">
            <v>22285.19</v>
          </cell>
          <cell r="CL7">
            <v>28580.43</v>
          </cell>
          <cell r="CM7">
            <v>37563.46</v>
          </cell>
          <cell r="CN7">
            <v>35142.83</v>
          </cell>
          <cell r="CO7">
            <v>33814.1</v>
          </cell>
          <cell r="CP7">
            <v>32739.61</v>
          </cell>
          <cell r="CQ7">
            <v>29143.61</v>
          </cell>
          <cell r="CR7">
            <v>24798.83</v>
          </cell>
          <cell r="CS7">
            <v>17143.84</v>
          </cell>
          <cell r="CT7">
            <v>17251.75</v>
          </cell>
          <cell r="CU7">
            <v>20394.93</v>
          </cell>
          <cell r="CV7">
            <v>23025.39</v>
          </cell>
          <cell r="CW7">
            <v>23213.88</v>
          </cell>
          <cell r="CX7">
            <v>32598.46</v>
          </cell>
          <cell r="CY7">
            <v>34645.910000000003</v>
          </cell>
          <cell r="CZ7">
            <v>36587.54</v>
          </cell>
          <cell r="DA7">
            <v>35915.5</v>
          </cell>
          <cell r="DB7">
            <v>32987.629999999997</v>
          </cell>
          <cell r="DC7">
            <v>30418.75</v>
          </cell>
          <cell r="DD7">
            <v>23264.94</v>
          </cell>
          <cell r="DE7">
            <v>15628.22</v>
          </cell>
          <cell r="DF7">
            <v>20344.73</v>
          </cell>
          <cell r="DG7">
            <v>15237.27</v>
          </cell>
          <cell r="DH7">
            <v>17096.3</v>
          </cell>
          <cell r="DI7">
            <v>25205.52</v>
          </cell>
          <cell r="DJ7">
            <v>27186.3</v>
          </cell>
          <cell r="DK7">
            <v>38060.129999999997</v>
          </cell>
          <cell r="DL7">
            <v>33793.61</v>
          </cell>
          <cell r="DM7">
            <v>34760.69</v>
          </cell>
          <cell r="DN7">
            <v>30140.14</v>
          </cell>
          <cell r="DO7">
            <v>30366</v>
          </cell>
          <cell r="DP7">
            <v>22025.919999999998</v>
          </cell>
          <cell r="DQ7">
            <v>17904.3</v>
          </cell>
          <cell r="DR7">
            <v>15759.92</v>
          </cell>
          <cell r="DS7">
            <v>15224.49</v>
          </cell>
          <cell r="DT7">
            <v>13777.07</v>
          </cell>
          <cell r="DU7">
            <v>19509.939999999999</v>
          </cell>
          <cell r="DV7">
            <v>23905.17</v>
          </cell>
          <cell r="DW7">
            <v>31677.42</v>
          </cell>
          <cell r="DX7">
            <v>29686.74</v>
          </cell>
          <cell r="DY7">
            <v>26871.01</v>
          </cell>
          <cell r="DZ7">
            <v>28244.31</v>
          </cell>
          <cell r="EA7">
            <v>29572.92</v>
          </cell>
          <cell r="EB7">
            <v>23412.560000000001</v>
          </cell>
          <cell r="EC7">
            <v>15051.47</v>
          </cell>
          <cell r="ED7">
            <v>15584.3</v>
          </cell>
          <cell r="EE7">
            <v>15336.88</v>
          </cell>
          <cell r="EF7">
            <v>17622.93</v>
          </cell>
          <cell r="EG7">
            <v>21007.27</v>
          </cell>
          <cell r="EH7">
            <v>29152.18</v>
          </cell>
          <cell r="EI7">
            <v>39260.410000000003</v>
          </cell>
          <cell r="EJ7">
            <v>36266.519999999997</v>
          </cell>
          <cell r="EK7">
            <v>31221.11</v>
          </cell>
          <cell r="EL7">
            <v>30276.23</v>
          </cell>
          <cell r="EM7">
            <v>27568.27</v>
          </cell>
        </row>
        <row r="11">
          <cell r="Y11">
            <v>10301</v>
          </cell>
          <cell r="Z11">
            <v>10174.530000000001</v>
          </cell>
          <cell r="AA11">
            <v>9198</v>
          </cell>
          <cell r="AB11">
            <v>12220.01</v>
          </cell>
          <cell r="AC11">
            <v>12359</v>
          </cell>
          <cell r="AD11">
            <v>14374</v>
          </cell>
          <cell r="AE11">
            <v>19418</v>
          </cell>
          <cell r="AF11">
            <v>23344.240000000002</v>
          </cell>
          <cell r="AG11">
            <v>5102</v>
          </cell>
          <cell r="AH11">
            <v>25617</v>
          </cell>
          <cell r="AI11">
            <v>18229</v>
          </cell>
          <cell r="AJ11">
            <v>17328</v>
          </cell>
          <cell r="AK11">
            <v>13671</v>
          </cell>
          <cell r="AL11">
            <v>11772.81</v>
          </cell>
          <cell r="AM11">
            <v>11096</v>
          </cell>
          <cell r="AN11">
            <v>11475.21</v>
          </cell>
          <cell r="AO11">
            <v>15496</v>
          </cell>
          <cell r="AP11">
            <v>14824.27</v>
          </cell>
          <cell r="AQ11">
            <v>18870</v>
          </cell>
          <cell r="AR11">
            <v>15014</v>
          </cell>
          <cell r="AS11">
            <v>19668.68</v>
          </cell>
          <cell r="AT11">
            <v>12255</v>
          </cell>
          <cell r="AU11">
            <v>20119.68</v>
          </cell>
          <cell r="AV11">
            <v>17081.36</v>
          </cell>
          <cell r="AW11">
            <v>13671</v>
          </cell>
          <cell r="AX11">
            <v>11791.39</v>
          </cell>
          <cell r="AY11">
            <v>11998</v>
          </cell>
          <cell r="AZ11">
            <v>11203</v>
          </cell>
          <cell r="BA11">
            <v>12581.99</v>
          </cell>
          <cell r="BB11">
            <v>11700</v>
          </cell>
          <cell r="BC11">
            <v>17681</v>
          </cell>
          <cell r="BD11">
            <v>15842</v>
          </cell>
          <cell r="BE11">
            <v>15485.01</v>
          </cell>
          <cell r="BF11">
            <v>12692</v>
          </cell>
          <cell r="BG11">
            <v>19875.12</v>
          </cell>
          <cell r="BH11">
            <v>13426.33</v>
          </cell>
          <cell r="BI11">
            <v>12002</v>
          </cell>
          <cell r="BJ11">
            <v>10828.79</v>
          </cell>
          <cell r="BV11">
            <v>10635.41</v>
          </cell>
          <cell r="BW11">
            <v>9366.2000000000007</v>
          </cell>
          <cell r="BX11">
            <v>13102.58</v>
          </cell>
          <cell r="BY11">
            <v>12902.01</v>
          </cell>
          <cell r="BZ11">
            <v>13519</v>
          </cell>
          <cell r="CA11">
            <v>17416.310000000001</v>
          </cell>
          <cell r="CB11">
            <v>14004</v>
          </cell>
          <cell r="CC11">
            <v>16639</v>
          </cell>
          <cell r="CD11">
            <v>18253</v>
          </cell>
          <cell r="CE11">
            <v>18761</v>
          </cell>
          <cell r="CF11">
            <v>16600</v>
          </cell>
          <cell r="CG11">
            <v>13134</v>
          </cell>
          <cell r="CN11">
            <v>16391.060000000001</v>
          </cell>
          <cell r="CO11">
            <v>26073</v>
          </cell>
          <cell r="CP11">
            <v>9568.0300000000007</v>
          </cell>
          <cell r="CQ11">
            <v>20079</v>
          </cell>
          <cell r="CR11">
            <v>16253.03</v>
          </cell>
          <cell r="CS11">
            <v>13928.07</v>
          </cell>
          <cell r="CT11">
            <v>10753.42</v>
          </cell>
          <cell r="CU11">
            <v>10454.93</v>
          </cell>
          <cell r="CV11">
            <v>14329.48</v>
          </cell>
          <cell r="CW11">
            <v>13090.63</v>
          </cell>
          <cell r="CX11">
            <v>13962</v>
          </cell>
          <cell r="CY11">
            <v>14878.52</v>
          </cell>
          <cell r="CZ11">
            <v>18398</v>
          </cell>
          <cell r="DA11">
            <v>20839.400000000001</v>
          </cell>
          <cell r="DB11">
            <v>15445.17</v>
          </cell>
          <cell r="DC11">
            <v>16829</v>
          </cell>
          <cell r="DD11">
            <v>13034</v>
          </cell>
          <cell r="DE11">
            <v>9323.4</v>
          </cell>
          <cell r="DF11">
            <v>6982</v>
          </cell>
          <cell r="DG11">
            <v>7364</v>
          </cell>
          <cell r="DH11">
            <v>9774</v>
          </cell>
          <cell r="DI11">
            <v>12509</v>
          </cell>
          <cell r="DJ11">
            <v>16235.48</v>
          </cell>
          <cell r="DK11">
            <v>18433</v>
          </cell>
          <cell r="DL11">
            <v>13555</v>
          </cell>
          <cell r="DM11">
            <v>16089.44</v>
          </cell>
          <cell r="DN11">
            <v>12684</v>
          </cell>
          <cell r="DO11">
            <v>18070.29</v>
          </cell>
          <cell r="DP11">
            <v>13595.41</v>
          </cell>
          <cell r="DQ11">
            <v>9490</v>
          </cell>
          <cell r="DR11">
            <v>8484.67</v>
          </cell>
          <cell r="DS11">
            <v>7695.63</v>
          </cell>
          <cell r="DT11">
            <v>10017</v>
          </cell>
          <cell r="DU11">
            <v>10786</v>
          </cell>
          <cell r="DV11">
            <v>12607</v>
          </cell>
          <cell r="DW11">
            <v>9496</v>
          </cell>
          <cell r="DX11">
            <v>13830</v>
          </cell>
          <cell r="DY11">
            <v>12311</v>
          </cell>
          <cell r="DZ11">
            <v>9989</v>
          </cell>
          <cell r="EA11">
            <v>18588.52</v>
          </cell>
          <cell r="EB11">
            <v>17102.080000000002</v>
          </cell>
          <cell r="EC11">
            <v>9763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245"/>
  <sheetViews>
    <sheetView tabSelected="1" workbookViewId="0">
      <selection sqref="A1:XFD1048576"/>
    </sheetView>
  </sheetViews>
  <sheetFormatPr baseColWidth="10" defaultColWidth="8.83203125" defaultRowHeight="15" x14ac:dyDescent="0"/>
  <cols>
    <col min="1" max="1" width="39.1640625" style="2" bestFit="1" customWidth="1"/>
    <col min="2" max="2" width="48.1640625" style="2" customWidth="1"/>
    <col min="3" max="3" width="16.5" style="2" customWidth="1"/>
    <col min="4" max="4" width="16" style="2" bestFit="1" customWidth="1"/>
    <col min="5" max="5" width="15" style="2" bestFit="1" customWidth="1"/>
    <col min="6" max="6" width="17.6640625" style="2" bestFit="1" customWidth="1"/>
    <col min="7" max="7" width="15" style="2" bestFit="1" customWidth="1"/>
    <col min="8" max="8" width="15" style="6" bestFit="1" customWidth="1"/>
    <col min="9" max="9" width="15" style="2" bestFit="1" customWidth="1"/>
    <col min="10" max="12" width="15.33203125" style="2" customWidth="1"/>
    <col min="13" max="13" width="15.1640625" style="2" customWidth="1"/>
    <col min="14" max="14" width="15" style="7" bestFit="1" customWidth="1"/>
    <col min="15" max="15" width="12.83203125" style="2" bestFit="1" customWidth="1"/>
    <col min="16" max="257" width="8.83203125" style="2"/>
    <col min="258" max="258" width="48.1640625" style="2" customWidth="1"/>
    <col min="259" max="259" width="16.5" style="2" customWidth="1"/>
    <col min="260" max="260" width="16" style="2" bestFit="1" customWidth="1"/>
    <col min="261" max="261" width="15" style="2" bestFit="1" customWidth="1"/>
    <col min="262" max="262" width="17.6640625" style="2" bestFit="1" customWidth="1"/>
    <col min="263" max="265" width="15" style="2" bestFit="1" customWidth="1"/>
    <col min="266" max="268" width="15.33203125" style="2" customWidth="1"/>
    <col min="269" max="269" width="15.1640625" style="2" customWidth="1"/>
    <col min="270" max="270" width="15" style="2" bestFit="1" customWidth="1"/>
    <col min="271" max="513" width="8.83203125" style="2"/>
    <col min="514" max="514" width="48.1640625" style="2" customWidth="1"/>
    <col min="515" max="515" width="16.5" style="2" customWidth="1"/>
    <col min="516" max="516" width="16" style="2" bestFit="1" customWidth="1"/>
    <col min="517" max="517" width="15" style="2" bestFit="1" customWidth="1"/>
    <col min="518" max="518" width="17.6640625" style="2" bestFit="1" customWidth="1"/>
    <col min="519" max="521" width="15" style="2" bestFit="1" customWidth="1"/>
    <col min="522" max="524" width="15.33203125" style="2" customWidth="1"/>
    <col min="525" max="525" width="15.1640625" style="2" customWidth="1"/>
    <col min="526" max="526" width="15" style="2" bestFit="1" customWidth="1"/>
    <col min="527" max="769" width="8.83203125" style="2"/>
    <col min="770" max="770" width="48.1640625" style="2" customWidth="1"/>
    <col min="771" max="771" width="16.5" style="2" customWidth="1"/>
    <col min="772" max="772" width="16" style="2" bestFit="1" customWidth="1"/>
    <col min="773" max="773" width="15" style="2" bestFit="1" customWidth="1"/>
    <col min="774" max="774" width="17.6640625" style="2" bestFit="1" customWidth="1"/>
    <col min="775" max="777" width="15" style="2" bestFit="1" customWidth="1"/>
    <col min="778" max="780" width="15.33203125" style="2" customWidth="1"/>
    <col min="781" max="781" width="15.1640625" style="2" customWidth="1"/>
    <col min="782" max="782" width="15" style="2" bestFit="1" customWidth="1"/>
    <col min="783" max="1025" width="8.83203125" style="2"/>
    <col min="1026" max="1026" width="48.1640625" style="2" customWidth="1"/>
    <col min="1027" max="1027" width="16.5" style="2" customWidth="1"/>
    <col min="1028" max="1028" width="16" style="2" bestFit="1" customWidth="1"/>
    <col min="1029" max="1029" width="15" style="2" bestFit="1" customWidth="1"/>
    <col min="1030" max="1030" width="17.6640625" style="2" bestFit="1" customWidth="1"/>
    <col min="1031" max="1033" width="15" style="2" bestFit="1" customWidth="1"/>
    <col min="1034" max="1036" width="15.33203125" style="2" customWidth="1"/>
    <col min="1037" max="1037" width="15.1640625" style="2" customWidth="1"/>
    <col min="1038" max="1038" width="15" style="2" bestFit="1" customWidth="1"/>
    <col min="1039" max="1281" width="8.83203125" style="2"/>
    <col min="1282" max="1282" width="48.1640625" style="2" customWidth="1"/>
    <col min="1283" max="1283" width="16.5" style="2" customWidth="1"/>
    <col min="1284" max="1284" width="16" style="2" bestFit="1" customWidth="1"/>
    <col min="1285" max="1285" width="15" style="2" bestFit="1" customWidth="1"/>
    <col min="1286" max="1286" width="17.6640625" style="2" bestFit="1" customWidth="1"/>
    <col min="1287" max="1289" width="15" style="2" bestFit="1" customWidth="1"/>
    <col min="1290" max="1292" width="15.33203125" style="2" customWidth="1"/>
    <col min="1293" max="1293" width="15.1640625" style="2" customWidth="1"/>
    <col min="1294" max="1294" width="15" style="2" bestFit="1" customWidth="1"/>
    <col min="1295" max="1537" width="8.83203125" style="2"/>
    <col min="1538" max="1538" width="48.1640625" style="2" customWidth="1"/>
    <col min="1539" max="1539" width="16.5" style="2" customWidth="1"/>
    <col min="1540" max="1540" width="16" style="2" bestFit="1" customWidth="1"/>
    <col min="1541" max="1541" width="15" style="2" bestFit="1" customWidth="1"/>
    <col min="1542" max="1542" width="17.6640625" style="2" bestFit="1" customWidth="1"/>
    <col min="1543" max="1545" width="15" style="2" bestFit="1" customWidth="1"/>
    <col min="1546" max="1548" width="15.33203125" style="2" customWidth="1"/>
    <col min="1549" max="1549" width="15.1640625" style="2" customWidth="1"/>
    <col min="1550" max="1550" width="15" style="2" bestFit="1" customWidth="1"/>
    <col min="1551" max="1793" width="8.83203125" style="2"/>
    <col min="1794" max="1794" width="48.1640625" style="2" customWidth="1"/>
    <col min="1795" max="1795" width="16.5" style="2" customWidth="1"/>
    <col min="1796" max="1796" width="16" style="2" bestFit="1" customWidth="1"/>
    <col min="1797" max="1797" width="15" style="2" bestFit="1" customWidth="1"/>
    <col min="1798" max="1798" width="17.6640625" style="2" bestFit="1" customWidth="1"/>
    <col min="1799" max="1801" width="15" style="2" bestFit="1" customWidth="1"/>
    <col min="1802" max="1804" width="15.33203125" style="2" customWidth="1"/>
    <col min="1805" max="1805" width="15.1640625" style="2" customWidth="1"/>
    <col min="1806" max="1806" width="15" style="2" bestFit="1" customWidth="1"/>
    <col min="1807" max="2049" width="8.83203125" style="2"/>
    <col min="2050" max="2050" width="48.1640625" style="2" customWidth="1"/>
    <col min="2051" max="2051" width="16.5" style="2" customWidth="1"/>
    <col min="2052" max="2052" width="16" style="2" bestFit="1" customWidth="1"/>
    <col min="2053" max="2053" width="15" style="2" bestFit="1" customWidth="1"/>
    <col min="2054" max="2054" width="17.6640625" style="2" bestFit="1" customWidth="1"/>
    <col min="2055" max="2057" width="15" style="2" bestFit="1" customWidth="1"/>
    <col min="2058" max="2060" width="15.33203125" style="2" customWidth="1"/>
    <col min="2061" max="2061" width="15.1640625" style="2" customWidth="1"/>
    <col min="2062" max="2062" width="15" style="2" bestFit="1" customWidth="1"/>
    <col min="2063" max="2305" width="8.83203125" style="2"/>
    <col min="2306" max="2306" width="48.1640625" style="2" customWidth="1"/>
    <col min="2307" max="2307" width="16.5" style="2" customWidth="1"/>
    <col min="2308" max="2308" width="16" style="2" bestFit="1" customWidth="1"/>
    <col min="2309" max="2309" width="15" style="2" bestFit="1" customWidth="1"/>
    <col min="2310" max="2310" width="17.6640625" style="2" bestFit="1" customWidth="1"/>
    <col min="2311" max="2313" width="15" style="2" bestFit="1" customWidth="1"/>
    <col min="2314" max="2316" width="15.33203125" style="2" customWidth="1"/>
    <col min="2317" max="2317" width="15.1640625" style="2" customWidth="1"/>
    <col min="2318" max="2318" width="15" style="2" bestFit="1" customWidth="1"/>
    <col min="2319" max="2561" width="8.83203125" style="2"/>
    <col min="2562" max="2562" width="48.1640625" style="2" customWidth="1"/>
    <col min="2563" max="2563" width="16.5" style="2" customWidth="1"/>
    <col min="2564" max="2564" width="16" style="2" bestFit="1" customWidth="1"/>
    <col min="2565" max="2565" width="15" style="2" bestFit="1" customWidth="1"/>
    <col min="2566" max="2566" width="17.6640625" style="2" bestFit="1" customWidth="1"/>
    <col min="2567" max="2569" width="15" style="2" bestFit="1" customWidth="1"/>
    <col min="2570" max="2572" width="15.33203125" style="2" customWidth="1"/>
    <col min="2573" max="2573" width="15.1640625" style="2" customWidth="1"/>
    <col min="2574" max="2574" width="15" style="2" bestFit="1" customWidth="1"/>
    <col min="2575" max="2817" width="8.83203125" style="2"/>
    <col min="2818" max="2818" width="48.1640625" style="2" customWidth="1"/>
    <col min="2819" max="2819" width="16.5" style="2" customWidth="1"/>
    <col min="2820" max="2820" width="16" style="2" bestFit="1" customWidth="1"/>
    <col min="2821" max="2821" width="15" style="2" bestFit="1" customWidth="1"/>
    <col min="2822" max="2822" width="17.6640625" style="2" bestFit="1" customWidth="1"/>
    <col min="2823" max="2825" width="15" style="2" bestFit="1" customWidth="1"/>
    <col min="2826" max="2828" width="15.33203125" style="2" customWidth="1"/>
    <col min="2829" max="2829" width="15.1640625" style="2" customWidth="1"/>
    <col min="2830" max="2830" width="15" style="2" bestFit="1" customWidth="1"/>
    <col min="2831" max="3073" width="8.83203125" style="2"/>
    <col min="3074" max="3074" width="48.1640625" style="2" customWidth="1"/>
    <col min="3075" max="3075" width="16.5" style="2" customWidth="1"/>
    <col min="3076" max="3076" width="16" style="2" bestFit="1" customWidth="1"/>
    <col min="3077" max="3077" width="15" style="2" bestFit="1" customWidth="1"/>
    <col min="3078" max="3078" width="17.6640625" style="2" bestFit="1" customWidth="1"/>
    <col min="3079" max="3081" width="15" style="2" bestFit="1" customWidth="1"/>
    <col min="3082" max="3084" width="15.33203125" style="2" customWidth="1"/>
    <col min="3085" max="3085" width="15.1640625" style="2" customWidth="1"/>
    <col min="3086" max="3086" width="15" style="2" bestFit="1" customWidth="1"/>
    <col min="3087" max="3329" width="8.83203125" style="2"/>
    <col min="3330" max="3330" width="48.1640625" style="2" customWidth="1"/>
    <col min="3331" max="3331" width="16.5" style="2" customWidth="1"/>
    <col min="3332" max="3332" width="16" style="2" bestFit="1" customWidth="1"/>
    <col min="3333" max="3333" width="15" style="2" bestFit="1" customWidth="1"/>
    <col min="3334" max="3334" width="17.6640625" style="2" bestFit="1" customWidth="1"/>
    <col min="3335" max="3337" width="15" style="2" bestFit="1" customWidth="1"/>
    <col min="3338" max="3340" width="15.33203125" style="2" customWidth="1"/>
    <col min="3341" max="3341" width="15.1640625" style="2" customWidth="1"/>
    <col min="3342" max="3342" width="15" style="2" bestFit="1" customWidth="1"/>
    <col min="3343" max="3585" width="8.83203125" style="2"/>
    <col min="3586" max="3586" width="48.1640625" style="2" customWidth="1"/>
    <col min="3587" max="3587" width="16.5" style="2" customWidth="1"/>
    <col min="3588" max="3588" width="16" style="2" bestFit="1" customWidth="1"/>
    <col min="3589" max="3589" width="15" style="2" bestFit="1" customWidth="1"/>
    <col min="3590" max="3590" width="17.6640625" style="2" bestFit="1" customWidth="1"/>
    <col min="3591" max="3593" width="15" style="2" bestFit="1" customWidth="1"/>
    <col min="3594" max="3596" width="15.33203125" style="2" customWidth="1"/>
    <col min="3597" max="3597" width="15.1640625" style="2" customWidth="1"/>
    <col min="3598" max="3598" width="15" style="2" bestFit="1" customWidth="1"/>
    <col min="3599" max="3841" width="8.83203125" style="2"/>
    <col min="3842" max="3842" width="48.1640625" style="2" customWidth="1"/>
    <col min="3843" max="3843" width="16.5" style="2" customWidth="1"/>
    <col min="3844" max="3844" width="16" style="2" bestFit="1" customWidth="1"/>
    <col min="3845" max="3845" width="15" style="2" bestFit="1" customWidth="1"/>
    <col min="3846" max="3846" width="17.6640625" style="2" bestFit="1" customWidth="1"/>
    <col min="3847" max="3849" width="15" style="2" bestFit="1" customWidth="1"/>
    <col min="3850" max="3852" width="15.33203125" style="2" customWidth="1"/>
    <col min="3853" max="3853" width="15.1640625" style="2" customWidth="1"/>
    <col min="3854" max="3854" width="15" style="2" bestFit="1" customWidth="1"/>
    <col min="3855" max="4097" width="8.83203125" style="2"/>
    <col min="4098" max="4098" width="48.1640625" style="2" customWidth="1"/>
    <col min="4099" max="4099" width="16.5" style="2" customWidth="1"/>
    <col min="4100" max="4100" width="16" style="2" bestFit="1" customWidth="1"/>
    <col min="4101" max="4101" width="15" style="2" bestFit="1" customWidth="1"/>
    <col min="4102" max="4102" width="17.6640625" style="2" bestFit="1" customWidth="1"/>
    <col min="4103" max="4105" width="15" style="2" bestFit="1" customWidth="1"/>
    <col min="4106" max="4108" width="15.33203125" style="2" customWidth="1"/>
    <col min="4109" max="4109" width="15.1640625" style="2" customWidth="1"/>
    <col min="4110" max="4110" width="15" style="2" bestFit="1" customWidth="1"/>
    <col min="4111" max="4353" width="8.83203125" style="2"/>
    <col min="4354" max="4354" width="48.1640625" style="2" customWidth="1"/>
    <col min="4355" max="4355" width="16.5" style="2" customWidth="1"/>
    <col min="4356" max="4356" width="16" style="2" bestFit="1" customWidth="1"/>
    <col min="4357" max="4357" width="15" style="2" bestFit="1" customWidth="1"/>
    <col min="4358" max="4358" width="17.6640625" style="2" bestFit="1" customWidth="1"/>
    <col min="4359" max="4361" width="15" style="2" bestFit="1" customWidth="1"/>
    <col min="4362" max="4364" width="15.33203125" style="2" customWidth="1"/>
    <col min="4365" max="4365" width="15.1640625" style="2" customWidth="1"/>
    <col min="4366" max="4366" width="15" style="2" bestFit="1" customWidth="1"/>
    <col min="4367" max="4609" width="8.83203125" style="2"/>
    <col min="4610" max="4610" width="48.1640625" style="2" customWidth="1"/>
    <col min="4611" max="4611" width="16.5" style="2" customWidth="1"/>
    <col min="4612" max="4612" width="16" style="2" bestFit="1" customWidth="1"/>
    <col min="4613" max="4613" width="15" style="2" bestFit="1" customWidth="1"/>
    <col min="4614" max="4614" width="17.6640625" style="2" bestFit="1" customWidth="1"/>
    <col min="4615" max="4617" width="15" style="2" bestFit="1" customWidth="1"/>
    <col min="4618" max="4620" width="15.33203125" style="2" customWidth="1"/>
    <col min="4621" max="4621" width="15.1640625" style="2" customWidth="1"/>
    <col min="4622" max="4622" width="15" style="2" bestFit="1" customWidth="1"/>
    <col min="4623" max="4865" width="8.83203125" style="2"/>
    <col min="4866" max="4866" width="48.1640625" style="2" customWidth="1"/>
    <col min="4867" max="4867" width="16.5" style="2" customWidth="1"/>
    <col min="4868" max="4868" width="16" style="2" bestFit="1" customWidth="1"/>
    <col min="4869" max="4869" width="15" style="2" bestFit="1" customWidth="1"/>
    <col min="4870" max="4870" width="17.6640625" style="2" bestFit="1" customWidth="1"/>
    <col min="4871" max="4873" width="15" style="2" bestFit="1" customWidth="1"/>
    <col min="4874" max="4876" width="15.33203125" style="2" customWidth="1"/>
    <col min="4877" max="4877" width="15.1640625" style="2" customWidth="1"/>
    <col min="4878" max="4878" width="15" style="2" bestFit="1" customWidth="1"/>
    <col min="4879" max="5121" width="8.83203125" style="2"/>
    <col min="5122" max="5122" width="48.1640625" style="2" customWidth="1"/>
    <col min="5123" max="5123" width="16.5" style="2" customWidth="1"/>
    <col min="5124" max="5124" width="16" style="2" bestFit="1" customWidth="1"/>
    <col min="5125" max="5125" width="15" style="2" bestFit="1" customWidth="1"/>
    <col min="5126" max="5126" width="17.6640625" style="2" bestFit="1" customWidth="1"/>
    <col min="5127" max="5129" width="15" style="2" bestFit="1" customWidth="1"/>
    <col min="5130" max="5132" width="15.33203125" style="2" customWidth="1"/>
    <col min="5133" max="5133" width="15.1640625" style="2" customWidth="1"/>
    <col min="5134" max="5134" width="15" style="2" bestFit="1" customWidth="1"/>
    <col min="5135" max="5377" width="8.83203125" style="2"/>
    <col min="5378" max="5378" width="48.1640625" style="2" customWidth="1"/>
    <col min="5379" max="5379" width="16.5" style="2" customWidth="1"/>
    <col min="5380" max="5380" width="16" style="2" bestFit="1" customWidth="1"/>
    <col min="5381" max="5381" width="15" style="2" bestFit="1" customWidth="1"/>
    <col min="5382" max="5382" width="17.6640625" style="2" bestFit="1" customWidth="1"/>
    <col min="5383" max="5385" width="15" style="2" bestFit="1" customWidth="1"/>
    <col min="5386" max="5388" width="15.33203125" style="2" customWidth="1"/>
    <col min="5389" max="5389" width="15.1640625" style="2" customWidth="1"/>
    <col min="5390" max="5390" width="15" style="2" bestFit="1" customWidth="1"/>
    <col min="5391" max="5633" width="8.83203125" style="2"/>
    <col min="5634" max="5634" width="48.1640625" style="2" customWidth="1"/>
    <col min="5635" max="5635" width="16.5" style="2" customWidth="1"/>
    <col min="5636" max="5636" width="16" style="2" bestFit="1" customWidth="1"/>
    <col min="5637" max="5637" width="15" style="2" bestFit="1" customWidth="1"/>
    <col min="5638" max="5638" width="17.6640625" style="2" bestFit="1" customWidth="1"/>
    <col min="5639" max="5641" width="15" style="2" bestFit="1" customWidth="1"/>
    <col min="5642" max="5644" width="15.33203125" style="2" customWidth="1"/>
    <col min="5645" max="5645" width="15.1640625" style="2" customWidth="1"/>
    <col min="5646" max="5646" width="15" style="2" bestFit="1" customWidth="1"/>
    <col min="5647" max="5889" width="8.83203125" style="2"/>
    <col min="5890" max="5890" width="48.1640625" style="2" customWidth="1"/>
    <col min="5891" max="5891" width="16.5" style="2" customWidth="1"/>
    <col min="5892" max="5892" width="16" style="2" bestFit="1" customWidth="1"/>
    <col min="5893" max="5893" width="15" style="2" bestFit="1" customWidth="1"/>
    <col min="5894" max="5894" width="17.6640625" style="2" bestFit="1" customWidth="1"/>
    <col min="5895" max="5897" width="15" style="2" bestFit="1" customWidth="1"/>
    <col min="5898" max="5900" width="15.33203125" style="2" customWidth="1"/>
    <col min="5901" max="5901" width="15.1640625" style="2" customWidth="1"/>
    <col min="5902" max="5902" width="15" style="2" bestFit="1" customWidth="1"/>
    <col min="5903" max="6145" width="8.83203125" style="2"/>
    <col min="6146" max="6146" width="48.1640625" style="2" customWidth="1"/>
    <col min="6147" max="6147" width="16.5" style="2" customWidth="1"/>
    <col min="6148" max="6148" width="16" style="2" bestFit="1" customWidth="1"/>
    <col min="6149" max="6149" width="15" style="2" bestFit="1" customWidth="1"/>
    <col min="6150" max="6150" width="17.6640625" style="2" bestFit="1" customWidth="1"/>
    <col min="6151" max="6153" width="15" style="2" bestFit="1" customWidth="1"/>
    <col min="6154" max="6156" width="15.33203125" style="2" customWidth="1"/>
    <col min="6157" max="6157" width="15.1640625" style="2" customWidth="1"/>
    <col min="6158" max="6158" width="15" style="2" bestFit="1" customWidth="1"/>
    <col min="6159" max="6401" width="8.83203125" style="2"/>
    <col min="6402" max="6402" width="48.1640625" style="2" customWidth="1"/>
    <col min="6403" max="6403" width="16.5" style="2" customWidth="1"/>
    <col min="6404" max="6404" width="16" style="2" bestFit="1" customWidth="1"/>
    <col min="6405" max="6405" width="15" style="2" bestFit="1" customWidth="1"/>
    <col min="6406" max="6406" width="17.6640625" style="2" bestFit="1" customWidth="1"/>
    <col min="6407" max="6409" width="15" style="2" bestFit="1" customWidth="1"/>
    <col min="6410" max="6412" width="15.33203125" style="2" customWidth="1"/>
    <col min="6413" max="6413" width="15.1640625" style="2" customWidth="1"/>
    <col min="6414" max="6414" width="15" style="2" bestFit="1" customWidth="1"/>
    <col min="6415" max="6657" width="8.83203125" style="2"/>
    <col min="6658" max="6658" width="48.1640625" style="2" customWidth="1"/>
    <col min="6659" max="6659" width="16.5" style="2" customWidth="1"/>
    <col min="6660" max="6660" width="16" style="2" bestFit="1" customWidth="1"/>
    <col min="6661" max="6661" width="15" style="2" bestFit="1" customWidth="1"/>
    <col min="6662" max="6662" width="17.6640625" style="2" bestFit="1" customWidth="1"/>
    <col min="6663" max="6665" width="15" style="2" bestFit="1" customWidth="1"/>
    <col min="6666" max="6668" width="15.33203125" style="2" customWidth="1"/>
    <col min="6669" max="6669" width="15.1640625" style="2" customWidth="1"/>
    <col min="6670" max="6670" width="15" style="2" bestFit="1" customWidth="1"/>
    <col min="6671" max="6913" width="8.83203125" style="2"/>
    <col min="6914" max="6914" width="48.1640625" style="2" customWidth="1"/>
    <col min="6915" max="6915" width="16.5" style="2" customWidth="1"/>
    <col min="6916" max="6916" width="16" style="2" bestFit="1" customWidth="1"/>
    <col min="6917" max="6917" width="15" style="2" bestFit="1" customWidth="1"/>
    <col min="6918" max="6918" width="17.6640625" style="2" bestFit="1" customWidth="1"/>
    <col min="6919" max="6921" width="15" style="2" bestFit="1" customWidth="1"/>
    <col min="6922" max="6924" width="15.33203125" style="2" customWidth="1"/>
    <col min="6925" max="6925" width="15.1640625" style="2" customWidth="1"/>
    <col min="6926" max="6926" width="15" style="2" bestFit="1" customWidth="1"/>
    <col min="6927" max="7169" width="8.83203125" style="2"/>
    <col min="7170" max="7170" width="48.1640625" style="2" customWidth="1"/>
    <col min="7171" max="7171" width="16.5" style="2" customWidth="1"/>
    <col min="7172" max="7172" width="16" style="2" bestFit="1" customWidth="1"/>
    <col min="7173" max="7173" width="15" style="2" bestFit="1" customWidth="1"/>
    <col min="7174" max="7174" width="17.6640625" style="2" bestFit="1" customWidth="1"/>
    <col min="7175" max="7177" width="15" style="2" bestFit="1" customWidth="1"/>
    <col min="7178" max="7180" width="15.33203125" style="2" customWidth="1"/>
    <col min="7181" max="7181" width="15.1640625" style="2" customWidth="1"/>
    <col min="7182" max="7182" width="15" style="2" bestFit="1" customWidth="1"/>
    <col min="7183" max="7425" width="8.83203125" style="2"/>
    <col min="7426" max="7426" width="48.1640625" style="2" customWidth="1"/>
    <col min="7427" max="7427" width="16.5" style="2" customWidth="1"/>
    <col min="7428" max="7428" width="16" style="2" bestFit="1" customWidth="1"/>
    <col min="7429" max="7429" width="15" style="2" bestFit="1" customWidth="1"/>
    <col min="7430" max="7430" width="17.6640625" style="2" bestFit="1" customWidth="1"/>
    <col min="7431" max="7433" width="15" style="2" bestFit="1" customWidth="1"/>
    <col min="7434" max="7436" width="15.33203125" style="2" customWidth="1"/>
    <col min="7437" max="7437" width="15.1640625" style="2" customWidth="1"/>
    <col min="7438" max="7438" width="15" style="2" bestFit="1" customWidth="1"/>
    <col min="7439" max="7681" width="8.83203125" style="2"/>
    <col min="7682" max="7682" width="48.1640625" style="2" customWidth="1"/>
    <col min="7683" max="7683" width="16.5" style="2" customWidth="1"/>
    <col min="7684" max="7684" width="16" style="2" bestFit="1" customWidth="1"/>
    <col min="7685" max="7685" width="15" style="2" bestFit="1" customWidth="1"/>
    <col min="7686" max="7686" width="17.6640625" style="2" bestFit="1" customWidth="1"/>
    <col min="7687" max="7689" width="15" style="2" bestFit="1" customWidth="1"/>
    <col min="7690" max="7692" width="15.33203125" style="2" customWidth="1"/>
    <col min="7693" max="7693" width="15.1640625" style="2" customWidth="1"/>
    <col min="7694" max="7694" width="15" style="2" bestFit="1" customWidth="1"/>
    <col min="7695" max="7937" width="8.83203125" style="2"/>
    <col min="7938" max="7938" width="48.1640625" style="2" customWidth="1"/>
    <col min="7939" max="7939" width="16.5" style="2" customWidth="1"/>
    <col min="7940" max="7940" width="16" style="2" bestFit="1" customWidth="1"/>
    <col min="7941" max="7941" width="15" style="2" bestFit="1" customWidth="1"/>
    <col min="7942" max="7942" width="17.6640625" style="2" bestFit="1" customWidth="1"/>
    <col min="7943" max="7945" width="15" style="2" bestFit="1" customWidth="1"/>
    <col min="7946" max="7948" width="15.33203125" style="2" customWidth="1"/>
    <col min="7949" max="7949" width="15.1640625" style="2" customWidth="1"/>
    <col min="7950" max="7950" width="15" style="2" bestFit="1" customWidth="1"/>
    <col min="7951" max="8193" width="8.83203125" style="2"/>
    <col min="8194" max="8194" width="48.1640625" style="2" customWidth="1"/>
    <col min="8195" max="8195" width="16.5" style="2" customWidth="1"/>
    <col min="8196" max="8196" width="16" style="2" bestFit="1" customWidth="1"/>
    <col min="8197" max="8197" width="15" style="2" bestFit="1" customWidth="1"/>
    <col min="8198" max="8198" width="17.6640625" style="2" bestFit="1" customWidth="1"/>
    <col min="8199" max="8201" width="15" style="2" bestFit="1" customWidth="1"/>
    <col min="8202" max="8204" width="15.33203125" style="2" customWidth="1"/>
    <col min="8205" max="8205" width="15.1640625" style="2" customWidth="1"/>
    <col min="8206" max="8206" width="15" style="2" bestFit="1" customWidth="1"/>
    <col min="8207" max="8449" width="8.83203125" style="2"/>
    <col min="8450" max="8450" width="48.1640625" style="2" customWidth="1"/>
    <col min="8451" max="8451" width="16.5" style="2" customWidth="1"/>
    <col min="8452" max="8452" width="16" style="2" bestFit="1" customWidth="1"/>
    <col min="8453" max="8453" width="15" style="2" bestFit="1" customWidth="1"/>
    <col min="8454" max="8454" width="17.6640625" style="2" bestFit="1" customWidth="1"/>
    <col min="8455" max="8457" width="15" style="2" bestFit="1" customWidth="1"/>
    <col min="8458" max="8460" width="15.33203125" style="2" customWidth="1"/>
    <col min="8461" max="8461" width="15.1640625" style="2" customWidth="1"/>
    <col min="8462" max="8462" width="15" style="2" bestFit="1" customWidth="1"/>
    <col min="8463" max="8705" width="8.83203125" style="2"/>
    <col min="8706" max="8706" width="48.1640625" style="2" customWidth="1"/>
    <col min="8707" max="8707" width="16.5" style="2" customWidth="1"/>
    <col min="8708" max="8708" width="16" style="2" bestFit="1" customWidth="1"/>
    <col min="8709" max="8709" width="15" style="2" bestFit="1" customWidth="1"/>
    <col min="8710" max="8710" width="17.6640625" style="2" bestFit="1" customWidth="1"/>
    <col min="8711" max="8713" width="15" style="2" bestFit="1" customWidth="1"/>
    <col min="8714" max="8716" width="15.33203125" style="2" customWidth="1"/>
    <col min="8717" max="8717" width="15.1640625" style="2" customWidth="1"/>
    <col min="8718" max="8718" width="15" style="2" bestFit="1" customWidth="1"/>
    <col min="8719" max="8961" width="8.83203125" style="2"/>
    <col min="8962" max="8962" width="48.1640625" style="2" customWidth="1"/>
    <col min="8963" max="8963" width="16.5" style="2" customWidth="1"/>
    <col min="8964" max="8964" width="16" style="2" bestFit="1" customWidth="1"/>
    <col min="8965" max="8965" width="15" style="2" bestFit="1" customWidth="1"/>
    <col min="8966" max="8966" width="17.6640625" style="2" bestFit="1" customWidth="1"/>
    <col min="8967" max="8969" width="15" style="2" bestFit="1" customWidth="1"/>
    <col min="8970" max="8972" width="15.33203125" style="2" customWidth="1"/>
    <col min="8973" max="8973" width="15.1640625" style="2" customWidth="1"/>
    <col min="8974" max="8974" width="15" style="2" bestFit="1" customWidth="1"/>
    <col min="8975" max="9217" width="8.83203125" style="2"/>
    <col min="9218" max="9218" width="48.1640625" style="2" customWidth="1"/>
    <col min="9219" max="9219" width="16.5" style="2" customWidth="1"/>
    <col min="9220" max="9220" width="16" style="2" bestFit="1" customWidth="1"/>
    <col min="9221" max="9221" width="15" style="2" bestFit="1" customWidth="1"/>
    <col min="9222" max="9222" width="17.6640625" style="2" bestFit="1" customWidth="1"/>
    <col min="9223" max="9225" width="15" style="2" bestFit="1" customWidth="1"/>
    <col min="9226" max="9228" width="15.33203125" style="2" customWidth="1"/>
    <col min="9229" max="9229" width="15.1640625" style="2" customWidth="1"/>
    <col min="9230" max="9230" width="15" style="2" bestFit="1" customWidth="1"/>
    <col min="9231" max="9473" width="8.83203125" style="2"/>
    <col min="9474" max="9474" width="48.1640625" style="2" customWidth="1"/>
    <col min="9475" max="9475" width="16.5" style="2" customWidth="1"/>
    <col min="9476" max="9476" width="16" style="2" bestFit="1" customWidth="1"/>
    <col min="9477" max="9477" width="15" style="2" bestFit="1" customWidth="1"/>
    <col min="9478" max="9478" width="17.6640625" style="2" bestFit="1" customWidth="1"/>
    <col min="9479" max="9481" width="15" style="2" bestFit="1" customWidth="1"/>
    <col min="9482" max="9484" width="15.33203125" style="2" customWidth="1"/>
    <col min="9485" max="9485" width="15.1640625" style="2" customWidth="1"/>
    <col min="9486" max="9486" width="15" style="2" bestFit="1" customWidth="1"/>
    <col min="9487" max="9729" width="8.83203125" style="2"/>
    <col min="9730" max="9730" width="48.1640625" style="2" customWidth="1"/>
    <col min="9731" max="9731" width="16.5" style="2" customWidth="1"/>
    <col min="9732" max="9732" width="16" style="2" bestFit="1" customWidth="1"/>
    <col min="9733" max="9733" width="15" style="2" bestFit="1" customWidth="1"/>
    <col min="9734" max="9734" width="17.6640625" style="2" bestFit="1" customWidth="1"/>
    <col min="9735" max="9737" width="15" style="2" bestFit="1" customWidth="1"/>
    <col min="9738" max="9740" width="15.33203125" style="2" customWidth="1"/>
    <col min="9741" max="9741" width="15.1640625" style="2" customWidth="1"/>
    <col min="9742" max="9742" width="15" style="2" bestFit="1" customWidth="1"/>
    <col min="9743" max="9985" width="8.83203125" style="2"/>
    <col min="9986" max="9986" width="48.1640625" style="2" customWidth="1"/>
    <col min="9987" max="9987" width="16.5" style="2" customWidth="1"/>
    <col min="9988" max="9988" width="16" style="2" bestFit="1" customWidth="1"/>
    <col min="9989" max="9989" width="15" style="2" bestFit="1" customWidth="1"/>
    <col min="9990" max="9990" width="17.6640625" style="2" bestFit="1" customWidth="1"/>
    <col min="9991" max="9993" width="15" style="2" bestFit="1" customWidth="1"/>
    <col min="9994" max="9996" width="15.33203125" style="2" customWidth="1"/>
    <col min="9997" max="9997" width="15.1640625" style="2" customWidth="1"/>
    <col min="9998" max="9998" width="15" style="2" bestFit="1" customWidth="1"/>
    <col min="9999" max="10241" width="8.83203125" style="2"/>
    <col min="10242" max="10242" width="48.1640625" style="2" customWidth="1"/>
    <col min="10243" max="10243" width="16.5" style="2" customWidth="1"/>
    <col min="10244" max="10244" width="16" style="2" bestFit="1" customWidth="1"/>
    <col min="10245" max="10245" width="15" style="2" bestFit="1" customWidth="1"/>
    <col min="10246" max="10246" width="17.6640625" style="2" bestFit="1" customWidth="1"/>
    <col min="10247" max="10249" width="15" style="2" bestFit="1" customWidth="1"/>
    <col min="10250" max="10252" width="15.33203125" style="2" customWidth="1"/>
    <col min="10253" max="10253" width="15.1640625" style="2" customWidth="1"/>
    <col min="10254" max="10254" width="15" style="2" bestFit="1" customWidth="1"/>
    <col min="10255" max="10497" width="8.83203125" style="2"/>
    <col min="10498" max="10498" width="48.1640625" style="2" customWidth="1"/>
    <col min="10499" max="10499" width="16.5" style="2" customWidth="1"/>
    <col min="10500" max="10500" width="16" style="2" bestFit="1" customWidth="1"/>
    <col min="10501" max="10501" width="15" style="2" bestFit="1" customWidth="1"/>
    <col min="10502" max="10502" width="17.6640625" style="2" bestFit="1" customWidth="1"/>
    <col min="10503" max="10505" width="15" style="2" bestFit="1" customWidth="1"/>
    <col min="10506" max="10508" width="15.33203125" style="2" customWidth="1"/>
    <col min="10509" max="10509" width="15.1640625" style="2" customWidth="1"/>
    <col min="10510" max="10510" width="15" style="2" bestFit="1" customWidth="1"/>
    <col min="10511" max="10753" width="8.83203125" style="2"/>
    <col min="10754" max="10754" width="48.1640625" style="2" customWidth="1"/>
    <col min="10755" max="10755" width="16.5" style="2" customWidth="1"/>
    <col min="10756" max="10756" width="16" style="2" bestFit="1" customWidth="1"/>
    <col min="10757" max="10757" width="15" style="2" bestFit="1" customWidth="1"/>
    <col min="10758" max="10758" width="17.6640625" style="2" bestFit="1" customWidth="1"/>
    <col min="10759" max="10761" width="15" style="2" bestFit="1" customWidth="1"/>
    <col min="10762" max="10764" width="15.33203125" style="2" customWidth="1"/>
    <col min="10765" max="10765" width="15.1640625" style="2" customWidth="1"/>
    <col min="10766" max="10766" width="15" style="2" bestFit="1" customWidth="1"/>
    <col min="10767" max="11009" width="8.83203125" style="2"/>
    <col min="11010" max="11010" width="48.1640625" style="2" customWidth="1"/>
    <col min="11011" max="11011" width="16.5" style="2" customWidth="1"/>
    <col min="11012" max="11012" width="16" style="2" bestFit="1" customWidth="1"/>
    <col min="11013" max="11013" width="15" style="2" bestFit="1" customWidth="1"/>
    <col min="11014" max="11014" width="17.6640625" style="2" bestFit="1" customWidth="1"/>
    <col min="11015" max="11017" width="15" style="2" bestFit="1" customWidth="1"/>
    <col min="11018" max="11020" width="15.33203125" style="2" customWidth="1"/>
    <col min="11021" max="11021" width="15.1640625" style="2" customWidth="1"/>
    <col min="11022" max="11022" width="15" style="2" bestFit="1" customWidth="1"/>
    <col min="11023" max="11265" width="8.83203125" style="2"/>
    <col min="11266" max="11266" width="48.1640625" style="2" customWidth="1"/>
    <col min="11267" max="11267" width="16.5" style="2" customWidth="1"/>
    <col min="11268" max="11268" width="16" style="2" bestFit="1" customWidth="1"/>
    <col min="11269" max="11269" width="15" style="2" bestFit="1" customWidth="1"/>
    <col min="11270" max="11270" width="17.6640625" style="2" bestFit="1" customWidth="1"/>
    <col min="11271" max="11273" width="15" style="2" bestFit="1" customWidth="1"/>
    <col min="11274" max="11276" width="15.33203125" style="2" customWidth="1"/>
    <col min="11277" max="11277" width="15.1640625" style="2" customWidth="1"/>
    <col min="11278" max="11278" width="15" style="2" bestFit="1" customWidth="1"/>
    <col min="11279" max="11521" width="8.83203125" style="2"/>
    <col min="11522" max="11522" width="48.1640625" style="2" customWidth="1"/>
    <col min="11523" max="11523" width="16.5" style="2" customWidth="1"/>
    <col min="11524" max="11524" width="16" style="2" bestFit="1" customWidth="1"/>
    <col min="11525" max="11525" width="15" style="2" bestFit="1" customWidth="1"/>
    <col min="11526" max="11526" width="17.6640625" style="2" bestFit="1" customWidth="1"/>
    <col min="11527" max="11529" width="15" style="2" bestFit="1" customWidth="1"/>
    <col min="11530" max="11532" width="15.33203125" style="2" customWidth="1"/>
    <col min="11533" max="11533" width="15.1640625" style="2" customWidth="1"/>
    <col min="11534" max="11534" width="15" style="2" bestFit="1" customWidth="1"/>
    <col min="11535" max="11777" width="8.83203125" style="2"/>
    <col min="11778" max="11778" width="48.1640625" style="2" customWidth="1"/>
    <col min="11779" max="11779" width="16.5" style="2" customWidth="1"/>
    <col min="11780" max="11780" width="16" style="2" bestFit="1" customWidth="1"/>
    <col min="11781" max="11781" width="15" style="2" bestFit="1" customWidth="1"/>
    <col min="11782" max="11782" width="17.6640625" style="2" bestFit="1" customWidth="1"/>
    <col min="11783" max="11785" width="15" style="2" bestFit="1" customWidth="1"/>
    <col min="11786" max="11788" width="15.33203125" style="2" customWidth="1"/>
    <col min="11789" max="11789" width="15.1640625" style="2" customWidth="1"/>
    <col min="11790" max="11790" width="15" style="2" bestFit="1" customWidth="1"/>
    <col min="11791" max="12033" width="8.83203125" style="2"/>
    <col min="12034" max="12034" width="48.1640625" style="2" customWidth="1"/>
    <col min="12035" max="12035" width="16.5" style="2" customWidth="1"/>
    <col min="12036" max="12036" width="16" style="2" bestFit="1" customWidth="1"/>
    <col min="12037" max="12037" width="15" style="2" bestFit="1" customWidth="1"/>
    <col min="12038" max="12038" width="17.6640625" style="2" bestFit="1" customWidth="1"/>
    <col min="12039" max="12041" width="15" style="2" bestFit="1" customWidth="1"/>
    <col min="12042" max="12044" width="15.33203125" style="2" customWidth="1"/>
    <col min="12045" max="12045" width="15.1640625" style="2" customWidth="1"/>
    <col min="12046" max="12046" width="15" style="2" bestFit="1" customWidth="1"/>
    <col min="12047" max="12289" width="8.83203125" style="2"/>
    <col min="12290" max="12290" width="48.1640625" style="2" customWidth="1"/>
    <col min="12291" max="12291" width="16.5" style="2" customWidth="1"/>
    <col min="12292" max="12292" width="16" style="2" bestFit="1" customWidth="1"/>
    <col min="12293" max="12293" width="15" style="2" bestFit="1" customWidth="1"/>
    <col min="12294" max="12294" width="17.6640625" style="2" bestFit="1" customWidth="1"/>
    <col min="12295" max="12297" width="15" style="2" bestFit="1" customWidth="1"/>
    <col min="12298" max="12300" width="15.33203125" style="2" customWidth="1"/>
    <col min="12301" max="12301" width="15.1640625" style="2" customWidth="1"/>
    <col min="12302" max="12302" width="15" style="2" bestFit="1" customWidth="1"/>
    <col min="12303" max="12545" width="8.83203125" style="2"/>
    <col min="12546" max="12546" width="48.1640625" style="2" customWidth="1"/>
    <col min="12547" max="12547" width="16.5" style="2" customWidth="1"/>
    <col min="12548" max="12548" width="16" style="2" bestFit="1" customWidth="1"/>
    <col min="12549" max="12549" width="15" style="2" bestFit="1" customWidth="1"/>
    <col min="12550" max="12550" width="17.6640625" style="2" bestFit="1" customWidth="1"/>
    <col min="12551" max="12553" width="15" style="2" bestFit="1" customWidth="1"/>
    <col min="12554" max="12556" width="15.33203125" style="2" customWidth="1"/>
    <col min="12557" max="12557" width="15.1640625" style="2" customWidth="1"/>
    <col min="12558" max="12558" width="15" style="2" bestFit="1" customWidth="1"/>
    <col min="12559" max="12801" width="8.83203125" style="2"/>
    <col min="12802" max="12802" width="48.1640625" style="2" customWidth="1"/>
    <col min="12803" max="12803" width="16.5" style="2" customWidth="1"/>
    <col min="12804" max="12804" width="16" style="2" bestFit="1" customWidth="1"/>
    <col min="12805" max="12805" width="15" style="2" bestFit="1" customWidth="1"/>
    <col min="12806" max="12806" width="17.6640625" style="2" bestFit="1" customWidth="1"/>
    <col min="12807" max="12809" width="15" style="2" bestFit="1" customWidth="1"/>
    <col min="12810" max="12812" width="15.33203125" style="2" customWidth="1"/>
    <col min="12813" max="12813" width="15.1640625" style="2" customWidth="1"/>
    <col min="12814" max="12814" width="15" style="2" bestFit="1" customWidth="1"/>
    <col min="12815" max="13057" width="8.83203125" style="2"/>
    <col min="13058" max="13058" width="48.1640625" style="2" customWidth="1"/>
    <col min="13059" max="13059" width="16.5" style="2" customWidth="1"/>
    <col min="13060" max="13060" width="16" style="2" bestFit="1" customWidth="1"/>
    <col min="13061" max="13061" width="15" style="2" bestFit="1" customWidth="1"/>
    <col min="13062" max="13062" width="17.6640625" style="2" bestFit="1" customWidth="1"/>
    <col min="13063" max="13065" width="15" style="2" bestFit="1" customWidth="1"/>
    <col min="13066" max="13068" width="15.33203125" style="2" customWidth="1"/>
    <col min="13069" max="13069" width="15.1640625" style="2" customWidth="1"/>
    <col min="13070" max="13070" width="15" style="2" bestFit="1" customWidth="1"/>
    <col min="13071" max="13313" width="8.83203125" style="2"/>
    <col min="13314" max="13314" width="48.1640625" style="2" customWidth="1"/>
    <col min="13315" max="13315" width="16.5" style="2" customWidth="1"/>
    <col min="13316" max="13316" width="16" style="2" bestFit="1" customWidth="1"/>
    <col min="13317" max="13317" width="15" style="2" bestFit="1" customWidth="1"/>
    <col min="13318" max="13318" width="17.6640625" style="2" bestFit="1" customWidth="1"/>
    <col min="13319" max="13321" width="15" style="2" bestFit="1" customWidth="1"/>
    <col min="13322" max="13324" width="15.33203125" style="2" customWidth="1"/>
    <col min="13325" max="13325" width="15.1640625" style="2" customWidth="1"/>
    <col min="13326" max="13326" width="15" style="2" bestFit="1" customWidth="1"/>
    <col min="13327" max="13569" width="8.83203125" style="2"/>
    <col min="13570" max="13570" width="48.1640625" style="2" customWidth="1"/>
    <col min="13571" max="13571" width="16.5" style="2" customWidth="1"/>
    <col min="13572" max="13572" width="16" style="2" bestFit="1" customWidth="1"/>
    <col min="13573" max="13573" width="15" style="2" bestFit="1" customWidth="1"/>
    <col min="13574" max="13574" width="17.6640625" style="2" bestFit="1" customWidth="1"/>
    <col min="13575" max="13577" width="15" style="2" bestFit="1" customWidth="1"/>
    <col min="13578" max="13580" width="15.33203125" style="2" customWidth="1"/>
    <col min="13581" max="13581" width="15.1640625" style="2" customWidth="1"/>
    <col min="13582" max="13582" width="15" style="2" bestFit="1" customWidth="1"/>
    <col min="13583" max="13825" width="8.83203125" style="2"/>
    <col min="13826" max="13826" width="48.1640625" style="2" customWidth="1"/>
    <col min="13827" max="13827" width="16.5" style="2" customWidth="1"/>
    <col min="13828" max="13828" width="16" style="2" bestFit="1" customWidth="1"/>
    <col min="13829" max="13829" width="15" style="2" bestFit="1" customWidth="1"/>
    <col min="13830" max="13830" width="17.6640625" style="2" bestFit="1" customWidth="1"/>
    <col min="13831" max="13833" width="15" style="2" bestFit="1" customWidth="1"/>
    <col min="13834" max="13836" width="15.33203125" style="2" customWidth="1"/>
    <col min="13837" max="13837" width="15.1640625" style="2" customWidth="1"/>
    <col min="13838" max="13838" width="15" style="2" bestFit="1" customWidth="1"/>
    <col min="13839" max="14081" width="8.83203125" style="2"/>
    <col min="14082" max="14082" width="48.1640625" style="2" customWidth="1"/>
    <col min="14083" max="14083" width="16.5" style="2" customWidth="1"/>
    <col min="14084" max="14084" width="16" style="2" bestFit="1" customWidth="1"/>
    <col min="14085" max="14085" width="15" style="2" bestFit="1" customWidth="1"/>
    <col min="14086" max="14086" width="17.6640625" style="2" bestFit="1" customWidth="1"/>
    <col min="14087" max="14089" width="15" style="2" bestFit="1" customWidth="1"/>
    <col min="14090" max="14092" width="15.33203125" style="2" customWidth="1"/>
    <col min="14093" max="14093" width="15.1640625" style="2" customWidth="1"/>
    <col min="14094" max="14094" width="15" style="2" bestFit="1" customWidth="1"/>
    <col min="14095" max="14337" width="8.83203125" style="2"/>
    <col min="14338" max="14338" width="48.1640625" style="2" customWidth="1"/>
    <col min="14339" max="14339" width="16.5" style="2" customWidth="1"/>
    <col min="14340" max="14340" width="16" style="2" bestFit="1" customWidth="1"/>
    <col min="14341" max="14341" width="15" style="2" bestFit="1" customWidth="1"/>
    <col min="14342" max="14342" width="17.6640625" style="2" bestFit="1" customWidth="1"/>
    <col min="14343" max="14345" width="15" style="2" bestFit="1" customWidth="1"/>
    <col min="14346" max="14348" width="15.33203125" style="2" customWidth="1"/>
    <col min="14349" max="14349" width="15.1640625" style="2" customWidth="1"/>
    <col min="14350" max="14350" width="15" style="2" bestFit="1" customWidth="1"/>
    <col min="14351" max="14593" width="8.83203125" style="2"/>
    <col min="14594" max="14594" width="48.1640625" style="2" customWidth="1"/>
    <col min="14595" max="14595" width="16.5" style="2" customWidth="1"/>
    <col min="14596" max="14596" width="16" style="2" bestFit="1" customWidth="1"/>
    <col min="14597" max="14597" width="15" style="2" bestFit="1" customWidth="1"/>
    <col min="14598" max="14598" width="17.6640625" style="2" bestFit="1" customWidth="1"/>
    <col min="14599" max="14601" width="15" style="2" bestFit="1" customWidth="1"/>
    <col min="14602" max="14604" width="15.33203125" style="2" customWidth="1"/>
    <col min="14605" max="14605" width="15.1640625" style="2" customWidth="1"/>
    <col min="14606" max="14606" width="15" style="2" bestFit="1" customWidth="1"/>
    <col min="14607" max="14849" width="8.83203125" style="2"/>
    <col min="14850" max="14850" width="48.1640625" style="2" customWidth="1"/>
    <col min="14851" max="14851" width="16.5" style="2" customWidth="1"/>
    <col min="14852" max="14852" width="16" style="2" bestFit="1" customWidth="1"/>
    <col min="14853" max="14853" width="15" style="2" bestFit="1" customWidth="1"/>
    <col min="14854" max="14854" width="17.6640625" style="2" bestFit="1" customWidth="1"/>
    <col min="14855" max="14857" width="15" style="2" bestFit="1" customWidth="1"/>
    <col min="14858" max="14860" width="15.33203125" style="2" customWidth="1"/>
    <col min="14861" max="14861" width="15.1640625" style="2" customWidth="1"/>
    <col min="14862" max="14862" width="15" style="2" bestFit="1" customWidth="1"/>
    <col min="14863" max="15105" width="8.83203125" style="2"/>
    <col min="15106" max="15106" width="48.1640625" style="2" customWidth="1"/>
    <col min="15107" max="15107" width="16.5" style="2" customWidth="1"/>
    <col min="15108" max="15108" width="16" style="2" bestFit="1" customWidth="1"/>
    <col min="15109" max="15109" width="15" style="2" bestFit="1" customWidth="1"/>
    <col min="15110" max="15110" width="17.6640625" style="2" bestFit="1" customWidth="1"/>
    <col min="15111" max="15113" width="15" style="2" bestFit="1" customWidth="1"/>
    <col min="15114" max="15116" width="15.33203125" style="2" customWidth="1"/>
    <col min="15117" max="15117" width="15.1640625" style="2" customWidth="1"/>
    <col min="15118" max="15118" width="15" style="2" bestFit="1" customWidth="1"/>
    <col min="15119" max="15361" width="8.83203125" style="2"/>
    <col min="15362" max="15362" width="48.1640625" style="2" customWidth="1"/>
    <col min="15363" max="15363" width="16.5" style="2" customWidth="1"/>
    <col min="15364" max="15364" width="16" style="2" bestFit="1" customWidth="1"/>
    <col min="15365" max="15365" width="15" style="2" bestFit="1" customWidth="1"/>
    <col min="15366" max="15366" width="17.6640625" style="2" bestFit="1" customWidth="1"/>
    <col min="15367" max="15369" width="15" style="2" bestFit="1" customWidth="1"/>
    <col min="15370" max="15372" width="15.33203125" style="2" customWidth="1"/>
    <col min="15373" max="15373" width="15.1640625" style="2" customWidth="1"/>
    <col min="15374" max="15374" width="15" style="2" bestFit="1" customWidth="1"/>
    <col min="15375" max="15617" width="8.83203125" style="2"/>
    <col min="15618" max="15618" width="48.1640625" style="2" customWidth="1"/>
    <col min="15619" max="15619" width="16.5" style="2" customWidth="1"/>
    <col min="15620" max="15620" width="16" style="2" bestFit="1" customWidth="1"/>
    <col min="15621" max="15621" width="15" style="2" bestFit="1" customWidth="1"/>
    <col min="15622" max="15622" width="17.6640625" style="2" bestFit="1" customWidth="1"/>
    <col min="15623" max="15625" width="15" style="2" bestFit="1" customWidth="1"/>
    <col min="15626" max="15628" width="15.33203125" style="2" customWidth="1"/>
    <col min="15629" max="15629" width="15.1640625" style="2" customWidth="1"/>
    <col min="15630" max="15630" width="15" style="2" bestFit="1" customWidth="1"/>
    <col min="15631" max="15873" width="8.83203125" style="2"/>
    <col min="15874" max="15874" width="48.1640625" style="2" customWidth="1"/>
    <col min="15875" max="15875" width="16.5" style="2" customWidth="1"/>
    <col min="15876" max="15876" width="16" style="2" bestFit="1" customWidth="1"/>
    <col min="15877" max="15877" width="15" style="2" bestFit="1" customWidth="1"/>
    <col min="15878" max="15878" width="17.6640625" style="2" bestFit="1" customWidth="1"/>
    <col min="15879" max="15881" width="15" style="2" bestFit="1" customWidth="1"/>
    <col min="15882" max="15884" width="15.33203125" style="2" customWidth="1"/>
    <col min="15885" max="15885" width="15.1640625" style="2" customWidth="1"/>
    <col min="15886" max="15886" width="15" style="2" bestFit="1" customWidth="1"/>
    <col min="15887" max="16129" width="8.83203125" style="2"/>
    <col min="16130" max="16130" width="48.1640625" style="2" customWidth="1"/>
    <col min="16131" max="16131" width="16.5" style="2" customWidth="1"/>
    <col min="16132" max="16132" width="16" style="2" bestFit="1" customWidth="1"/>
    <col min="16133" max="16133" width="15" style="2" bestFit="1" customWidth="1"/>
    <col min="16134" max="16134" width="17.6640625" style="2" bestFit="1" customWidth="1"/>
    <col min="16135" max="16137" width="15" style="2" bestFit="1" customWidth="1"/>
    <col min="16138" max="16140" width="15.33203125" style="2" customWidth="1"/>
    <col min="16141" max="16141" width="15.1640625" style="2" customWidth="1"/>
    <col min="16142" max="16142" width="15" style="2" bestFit="1" customWidth="1"/>
    <col min="16143" max="16384" width="8.83203125" style="2"/>
  </cols>
  <sheetData>
    <row r="3" spans="5:7" s="2" customFormat="1">
      <c r="E3" s="1"/>
      <c r="F3" s="1"/>
      <c r="G3" s="1"/>
    </row>
    <row r="4" spans="5:7" s="2" customFormat="1">
      <c r="E4" s="1"/>
      <c r="F4" s="1"/>
      <c r="G4" s="1"/>
    </row>
    <row r="5" spans="5:7" s="2" customFormat="1">
      <c r="E5" s="1"/>
      <c r="F5" s="1"/>
      <c r="G5" s="1"/>
    </row>
    <row r="7" spans="5:7" s="2" customFormat="1" ht="12">
      <c r="E7" s="3"/>
      <c r="F7" s="3"/>
      <c r="G7" s="3"/>
    </row>
    <row r="12" spans="5:7" s="2" customFormat="1">
      <c r="E12" s="4"/>
      <c r="F12" s="4"/>
      <c r="G12" s="4"/>
    </row>
    <row r="13" spans="5:7" s="2" customFormat="1">
      <c r="E13" s="4"/>
      <c r="F13" s="4"/>
      <c r="G13" s="4"/>
    </row>
    <row r="18" spans="2:15">
      <c r="B18" s="5" t="s">
        <v>0</v>
      </c>
    </row>
    <row r="19" spans="2:15">
      <c r="H19" s="8"/>
    </row>
    <row r="20" spans="2:15">
      <c r="B20" s="5" t="s">
        <v>1</v>
      </c>
      <c r="C20" s="9" t="s">
        <v>2</v>
      </c>
      <c r="D20" s="9" t="s">
        <v>3</v>
      </c>
      <c r="E20" s="10" t="s">
        <v>4</v>
      </c>
      <c r="F20" s="10" t="s">
        <v>5</v>
      </c>
      <c r="G20" s="10" t="s">
        <v>6</v>
      </c>
      <c r="H20" s="11" t="s">
        <v>7</v>
      </c>
      <c r="I20" s="10" t="s">
        <v>8</v>
      </c>
      <c r="J20" s="12" t="s">
        <v>9</v>
      </c>
      <c r="K20" s="12" t="s">
        <v>10</v>
      </c>
      <c r="L20" s="12" t="s">
        <v>11</v>
      </c>
      <c r="M20" s="13" t="s">
        <v>12</v>
      </c>
      <c r="N20" s="14" t="s">
        <v>13</v>
      </c>
    </row>
    <row r="21" spans="2:15">
      <c r="B21" s="15"/>
      <c r="C21" s="16" t="s">
        <v>2</v>
      </c>
      <c r="D21" s="16" t="s">
        <v>3</v>
      </c>
      <c r="E21" s="17" t="s">
        <v>4</v>
      </c>
      <c r="F21" s="17" t="s">
        <v>5</v>
      </c>
      <c r="G21" s="17" t="s">
        <v>6</v>
      </c>
      <c r="H21" s="11" t="s">
        <v>7</v>
      </c>
      <c r="I21" s="10" t="s">
        <v>8</v>
      </c>
      <c r="J21" s="12" t="s">
        <v>9</v>
      </c>
      <c r="K21" s="12" t="s">
        <v>10</v>
      </c>
      <c r="L21" s="12" t="s">
        <v>11</v>
      </c>
      <c r="M21" s="13" t="s">
        <v>12</v>
      </c>
      <c r="N21" s="14" t="s">
        <v>13</v>
      </c>
    </row>
    <row r="22" spans="2:15">
      <c r="C22" s="18">
        <v>2004</v>
      </c>
      <c r="D22" s="18">
        <v>2005</v>
      </c>
      <c r="E22" s="19">
        <v>2006</v>
      </c>
      <c r="F22" s="19">
        <v>2007</v>
      </c>
      <c r="G22" s="19">
        <v>2008</v>
      </c>
      <c r="H22" s="20">
        <v>2009</v>
      </c>
      <c r="I22" s="19">
        <v>2010</v>
      </c>
      <c r="J22" s="19">
        <v>2011</v>
      </c>
      <c r="K22" s="19">
        <v>2012</v>
      </c>
      <c r="L22" s="19">
        <v>2013</v>
      </c>
      <c r="M22" s="19">
        <v>2014</v>
      </c>
      <c r="N22" s="21">
        <v>2015</v>
      </c>
    </row>
    <row r="23" spans="2:15" ht="12">
      <c r="B23" s="2" t="s">
        <v>14</v>
      </c>
      <c r="C23" s="22">
        <v>3578</v>
      </c>
      <c r="D23" s="22">
        <v>3504</v>
      </c>
      <c r="E23" s="23">
        <v>3518.5</v>
      </c>
      <c r="F23" s="23">
        <v>3747.5</v>
      </c>
      <c r="G23" s="23">
        <v>4129</v>
      </c>
      <c r="H23" s="24">
        <v>4688</v>
      </c>
      <c r="I23" s="23">
        <v>4790</v>
      </c>
      <c r="J23" s="25">
        <v>5173</v>
      </c>
      <c r="K23" s="25">
        <v>5609</v>
      </c>
      <c r="L23" s="25">
        <v>5732</v>
      </c>
      <c r="M23" s="25">
        <v>6631</v>
      </c>
      <c r="N23" s="26">
        <v>6769</v>
      </c>
    </row>
    <row r="24" spans="2:15" ht="12">
      <c r="B24" s="2" t="s">
        <v>15</v>
      </c>
      <c r="C24" s="22">
        <v>524112</v>
      </c>
      <c r="D24" s="22">
        <v>512858</v>
      </c>
      <c r="E24" s="23">
        <v>512858</v>
      </c>
      <c r="F24" s="23">
        <v>517858</v>
      </c>
      <c r="G24" s="23">
        <v>686674</v>
      </c>
      <c r="H24" s="24">
        <v>686674</v>
      </c>
      <c r="I24" s="23">
        <v>686674</v>
      </c>
      <c r="J24" s="23">
        <f>686674+5627+1500</f>
        <v>693801</v>
      </c>
      <c r="K24" s="23">
        <f>686674+5627+1500</f>
        <v>693801</v>
      </c>
      <c r="L24" s="23">
        <f>686674+5627+1500</f>
        <v>693801</v>
      </c>
      <c r="M24" s="27">
        <f>686674+5627+1500</f>
        <v>693801</v>
      </c>
      <c r="N24" s="28">
        <v>750534</v>
      </c>
    </row>
    <row r="25" spans="2:15" ht="12">
      <c r="B25" s="2" t="s">
        <v>16</v>
      </c>
      <c r="C25" s="22">
        <v>470641</v>
      </c>
      <c r="D25" s="22">
        <v>470641</v>
      </c>
      <c r="E25" s="23">
        <v>470641</v>
      </c>
      <c r="F25" s="23">
        <v>476268</v>
      </c>
      <c r="G25" s="23">
        <v>476268</v>
      </c>
      <c r="H25" s="24">
        <v>476268</v>
      </c>
      <c r="I25" s="23">
        <v>476268</v>
      </c>
      <c r="J25" s="23">
        <v>476268</v>
      </c>
      <c r="K25" s="23">
        <v>476269</v>
      </c>
      <c r="L25" s="23">
        <v>476270</v>
      </c>
      <c r="M25" s="27">
        <v>476271</v>
      </c>
      <c r="N25" s="28">
        <v>742271</v>
      </c>
    </row>
    <row r="26" spans="2:15">
      <c r="B26" s="2" t="s">
        <v>17</v>
      </c>
      <c r="C26" s="29">
        <v>994753</v>
      </c>
      <c r="D26" s="29">
        <v>983499</v>
      </c>
      <c r="E26" s="30">
        <v>983499</v>
      </c>
      <c r="F26" s="30">
        <v>994126</v>
      </c>
      <c r="G26" s="30">
        <v>1162942</v>
      </c>
      <c r="H26" s="31">
        <v>1162942</v>
      </c>
      <c r="I26" s="30">
        <f t="shared" ref="I26:M26" si="0">+I25+I24</f>
        <v>1162942</v>
      </c>
      <c r="J26" s="30">
        <f t="shared" si="0"/>
        <v>1170069</v>
      </c>
      <c r="K26" s="30">
        <f t="shared" si="0"/>
        <v>1170070</v>
      </c>
      <c r="L26" s="30">
        <f t="shared" si="0"/>
        <v>1170071</v>
      </c>
      <c r="M26" s="30">
        <f t="shared" si="0"/>
        <v>1170072</v>
      </c>
      <c r="N26" s="32">
        <v>1492805</v>
      </c>
    </row>
    <row r="27" spans="2:15" ht="12">
      <c r="C27" s="18"/>
      <c r="D27" s="18"/>
      <c r="E27" s="19"/>
      <c r="F27" s="19"/>
      <c r="G27" s="19"/>
      <c r="H27" s="20"/>
      <c r="I27" s="19"/>
      <c r="N27" s="33" t="s">
        <v>18</v>
      </c>
    </row>
    <row r="28" spans="2:15">
      <c r="B28" s="2" t="s">
        <v>19</v>
      </c>
      <c r="C28" s="34">
        <f>27310+29145+29333+40708+51001+62659+64462+53304+50237+51316+36103+29872</f>
        <v>525450</v>
      </c>
      <c r="D28" s="34" t="e">
        <f>+SUMIF('[2]Gas Invoices'!N2:BI2,'[1]energy &amp; water'!D20,'[2]Gas Invoices'!N6:BI6)</f>
        <v>#VALUE!</v>
      </c>
      <c r="E28" s="35" t="e">
        <f>+SUMIF('[2]Gas Invoices'!O2:BJ2,'[1]energy &amp; water'!E20,'[2]Gas Invoices'!O6:BJ6)</f>
        <v>#VALUE!</v>
      </c>
      <c r="F28" s="35" t="e">
        <f>+SUMIF('[2]Gas Invoices'!P2:BK2,'[1]energy &amp; water'!F20,'[2]Gas Invoices'!P6:BK6)</f>
        <v>#VALUE!</v>
      </c>
      <c r="G28" s="35" t="e">
        <f>+SUMIF('[2]Gas Invoices'!Q2:BL2,'[1]energy &amp; water'!G20,'[2]Gas Invoices'!Q6:BL6)</f>
        <v>#VALUE!</v>
      </c>
      <c r="H28" s="36" t="e">
        <f>+SUMIF('[2]Gas Invoices'!R2:BU2,'[1]energy &amp; water'!H20,'[2]Gas Invoices'!R6:BU6)</f>
        <v>#VALUE!</v>
      </c>
      <c r="I28" s="35" t="e">
        <f>+SUMIF('[2]Gas Invoices'!R2:CG2,'[1]energy &amp; water'!I20,'[2]Gas Invoices'!R6:CG6)</f>
        <v>#VALUE!</v>
      </c>
      <c r="J28" s="35" t="e">
        <f>+SUMIF('[2]Gas Invoices'!S2:CS2,'[1]energy &amp; water'!J20,'[2]Gas Invoices'!S6:CS6)</f>
        <v>#VALUE!</v>
      </c>
      <c r="K28" s="35">
        <f>+SUM('[2]Gas Invoices'!CT6:DE6)</f>
        <v>485191</v>
      </c>
      <c r="L28" s="35">
        <f>+SUM('[2]Gas Invoices'!DF6:DQ6)</f>
        <v>432349</v>
      </c>
      <c r="M28" s="35">
        <f>+SUM('[2]Gas Invoices'!DR6:EC6)</f>
        <v>387603</v>
      </c>
      <c r="N28" s="37">
        <v>492530</v>
      </c>
      <c r="O28" s="2">
        <v>516799</v>
      </c>
    </row>
    <row r="29" spans="2:15">
      <c r="B29" s="2" t="s">
        <v>20</v>
      </c>
      <c r="C29" s="34">
        <f>916956+901895+1040700+1033705+1097417+1032489+899094+1075594+981488+1035547+962454+910430</f>
        <v>11887769</v>
      </c>
      <c r="D29" s="34" t="e">
        <f>+SUMIF('[2]Electrical Invoices'!F2:BA2,'[1]energy &amp; water'!D20,'[2]Electrical Invoices'!F86:BA86)</f>
        <v>#VALUE!</v>
      </c>
      <c r="E29" s="35" t="e">
        <f>+SUMIF('[2]Electrical Invoices'!G2:BB2,'[1]energy &amp; water'!E20,'[2]Electrical Invoices'!G86:BB86)</f>
        <v>#VALUE!</v>
      </c>
      <c r="F29" s="35" t="e">
        <f>+SUMIF('[2]Electrical Invoices'!H2:BC2,'[1]energy &amp; water'!F20,'[2]Electrical Invoices'!H86:BC86)</f>
        <v>#VALUE!</v>
      </c>
      <c r="G29" s="35" t="e">
        <f>+SUMIF('[2]Electrical Invoices'!I2:BD2,'[1]energy &amp; water'!G20,'[2]Electrical Invoices'!I86:BD86)</f>
        <v>#VALUE!</v>
      </c>
      <c r="H29" s="36" t="e">
        <f>+SUMIF('[2]Electrical Invoices'!J2:BU2,'[1]energy &amp; water'!H20,'[2]Electrical Invoices'!J86:BU86)</f>
        <v>#VALUE!</v>
      </c>
      <c r="I29" s="35" t="e">
        <f>+SUMIF('[2]Electrical Invoices'!J2:BZ2,'[1]energy &amp; water'!I20,'[2]Electrical Invoices'!J86:BZ86)</f>
        <v>#VALUE!</v>
      </c>
      <c r="J29" s="35" t="e">
        <f>+SUMIF('[2]Electrical Invoices'!K2:CS2,'[1]energy &amp; water'!J20,'[2]Electrical Invoices'!K86:CS86)</f>
        <v>#VALUE!</v>
      </c>
      <c r="K29" s="35">
        <f>+SUM('[2]Electrical Invoices'!CL134:CW134)</f>
        <v>10632553.689999999</v>
      </c>
      <c r="L29" s="35">
        <f>+SUM('[2]Electrical Invoices'!CX134:DI134)</f>
        <v>10490511.676999999</v>
      </c>
      <c r="M29" s="35">
        <f>+SUM('[2]Electrical Invoices'!DJ134:DU134)</f>
        <v>11120514.513200002</v>
      </c>
      <c r="N29" s="26">
        <v>11875026.815999998</v>
      </c>
      <c r="O29" s="2">
        <v>12636514.513200002</v>
      </c>
    </row>
    <row r="30" spans="2:15">
      <c r="B30" s="2" t="s">
        <v>21</v>
      </c>
      <c r="C30" s="18"/>
      <c r="D30" s="18"/>
      <c r="E30" s="19"/>
      <c r="F30" s="19"/>
      <c r="G30" s="35">
        <v>322.5</v>
      </c>
      <c r="H30" s="36">
        <v>645</v>
      </c>
      <c r="I30" s="35">
        <f>322+(SUM('[2]Electrical Invoices'!BN68:BY68)/1000)</f>
        <v>2079.9247999999998</v>
      </c>
      <c r="J30" s="35">
        <f>(SUM('[2]Electrical Invoices'!BO68:BZ68)/1000)</f>
        <v>1776.2008000000001</v>
      </c>
      <c r="K30" s="35">
        <f>(SUM('[2]Electrical Invoices'!CL68:CW68)/1000)</f>
        <v>1854.7276899999999</v>
      </c>
      <c r="L30" s="35">
        <f>(SUM('[2]Electrical Invoices'!CM68:CX68)/1000)</f>
        <v>1843.5836899999999</v>
      </c>
      <c r="M30" s="35">
        <f>(SUM('[2]Electrical Invoices'!CX68:DI68)/1000)</f>
        <v>1882.087</v>
      </c>
      <c r="N30" s="38">
        <v>1837.3222599999999</v>
      </c>
    </row>
    <row r="31" spans="2:15">
      <c r="B31" s="2" t="s">
        <v>22</v>
      </c>
      <c r="C31" s="39">
        <f t="shared" ref="C31:M31" si="1">+C28/C26</f>
        <v>0.52822157862303509</v>
      </c>
      <c r="D31" s="39" t="e">
        <f t="shared" si="1"/>
        <v>#VALUE!</v>
      </c>
      <c r="E31" s="40" t="e">
        <f t="shared" si="1"/>
        <v>#VALUE!</v>
      </c>
      <c r="F31" s="40" t="e">
        <f t="shared" si="1"/>
        <v>#VALUE!</v>
      </c>
      <c r="G31" s="40" t="e">
        <f t="shared" si="1"/>
        <v>#VALUE!</v>
      </c>
      <c r="H31" s="41" t="e">
        <f t="shared" si="1"/>
        <v>#VALUE!</v>
      </c>
      <c r="I31" s="40" t="e">
        <f t="shared" si="1"/>
        <v>#VALUE!</v>
      </c>
      <c r="J31" s="40" t="e">
        <f t="shared" si="1"/>
        <v>#VALUE!</v>
      </c>
      <c r="K31" s="40">
        <f t="shared" si="1"/>
        <v>0.41466835317545103</v>
      </c>
      <c r="L31" s="40">
        <f t="shared" si="1"/>
        <v>0.36950663677674261</v>
      </c>
      <c r="M31" s="40">
        <f t="shared" si="1"/>
        <v>0.33126422989354504</v>
      </c>
      <c r="N31" s="42">
        <v>0.32993592599167337</v>
      </c>
    </row>
    <row r="32" spans="2:15">
      <c r="B32" s="2" t="s">
        <v>23</v>
      </c>
      <c r="C32" s="39">
        <f t="shared" ref="C32:M32" si="2">+C29/C26</f>
        <v>11.950473132526366</v>
      </c>
      <c r="D32" s="39" t="e">
        <f t="shared" si="2"/>
        <v>#VALUE!</v>
      </c>
      <c r="E32" s="39" t="e">
        <f t="shared" si="2"/>
        <v>#VALUE!</v>
      </c>
      <c r="F32" s="40" t="e">
        <f t="shared" si="2"/>
        <v>#VALUE!</v>
      </c>
      <c r="G32" s="40" t="e">
        <f t="shared" si="2"/>
        <v>#VALUE!</v>
      </c>
      <c r="H32" s="41" t="e">
        <f t="shared" si="2"/>
        <v>#VALUE!</v>
      </c>
      <c r="I32" s="40" t="e">
        <f t="shared" si="2"/>
        <v>#VALUE!</v>
      </c>
      <c r="J32" s="40" t="e">
        <f t="shared" si="2"/>
        <v>#VALUE!</v>
      </c>
      <c r="K32" s="40">
        <f t="shared" si="2"/>
        <v>9.087109053304502</v>
      </c>
      <c r="L32" s="40">
        <f t="shared" si="2"/>
        <v>8.96570522387103</v>
      </c>
      <c r="M32" s="40">
        <f t="shared" si="2"/>
        <v>9.5041283897059348</v>
      </c>
      <c r="N32" s="42">
        <v>7.9548412659389527</v>
      </c>
    </row>
    <row r="33" spans="1:14">
      <c r="C33" s="18"/>
      <c r="D33" s="18"/>
      <c r="E33" s="18"/>
      <c r="F33" s="19"/>
      <c r="G33" s="19"/>
      <c r="H33" s="20"/>
      <c r="I33" s="19"/>
    </row>
    <row r="34" spans="1:14" ht="12">
      <c r="B34" s="2" t="s">
        <v>24</v>
      </c>
      <c r="C34" s="29">
        <f t="shared" ref="C34:G34" si="3">+C29*3412+C28*100000</f>
        <v>93106067828</v>
      </c>
      <c r="D34" s="29" t="e">
        <f t="shared" si="3"/>
        <v>#VALUE!</v>
      </c>
      <c r="E34" s="29" t="e">
        <f t="shared" si="3"/>
        <v>#VALUE!</v>
      </c>
      <c r="F34" s="30" t="e">
        <f t="shared" si="3"/>
        <v>#VALUE!</v>
      </c>
      <c r="G34" s="30" t="e">
        <f t="shared" si="3"/>
        <v>#VALUE!</v>
      </c>
      <c r="H34" s="43" t="e">
        <f t="shared" ref="H34:L34" si="4">+(H29-H214)*3412+H28*100000</f>
        <v>#VALUE!</v>
      </c>
      <c r="I34" s="30" t="e">
        <f t="shared" si="4"/>
        <v>#VALUE!</v>
      </c>
      <c r="J34" s="30" t="e">
        <f t="shared" si="4"/>
        <v>#VALUE!</v>
      </c>
      <c r="K34" s="30">
        <f t="shared" si="4"/>
        <v>78469042312</v>
      </c>
      <c r="L34" s="30">
        <f t="shared" si="4"/>
        <v>72606844997.923996</v>
      </c>
      <c r="M34" s="30">
        <f>+(M29-M214)*3412+M28*100000</f>
        <v>70505392799.038406</v>
      </c>
      <c r="N34" s="44">
        <f>+(N29-N214)*3412+N28*100000</f>
        <v>83501648832.191986</v>
      </c>
    </row>
    <row r="35" spans="1:14" ht="12">
      <c r="B35" s="2" t="s">
        <v>25</v>
      </c>
      <c r="C35" s="29">
        <f t="shared" ref="C35:I35" si="5">+C34/C26</f>
        <v>93597.17219048347</v>
      </c>
      <c r="D35" s="29" t="e">
        <f t="shared" si="5"/>
        <v>#VALUE!</v>
      </c>
      <c r="E35" s="29" t="e">
        <f t="shared" si="5"/>
        <v>#VALUE!</v>
      </c>
      <c r="F35" s="29" t="e">
        <f t="shared" si="5"/>
        <v>#VALUE!</v>
      </c>
      <c r="G35" s="29" t="e">
        <f t="shared" si="5"/>
        <v>#VALUE!</v>
      </c>
      <c r="H35" s="45" t="e">
        <f t="shared" si="5"/>
        <v>#VALUE!</v>
      </c>
      <c r="I35" s="29" t="e">
        <f t="shared" si="5"/>
        <v>#VALUE!</v>
      </c>
      <c r="J35" s="29" t="e">
        <f>+J34/J26</f>
        <v>#VALUE!</v>
      </c>
      <c r="K35" s="29">
        <f>+K34/K26</f>
        <v>67063.545182766844</v>
      </c>
      <c r="L35" s="29">
        <f>+L34/L26</f>
        <v>62053.366845194862</v>
      </c>
      <c r="M35" s="29">
        <f>+M34/M26</f>
        <v>60257.311344121052</v>
      </c>
      <c r="N35" s="44">
        <f>+N34/N26</f>
        <v>55936.072582950881</v>
      </c>
    </row>
    <row r="36" spans="1:14">
      <c r="B36" s="2" t="s">
        <v>26</v>
      </c>
      <c r="C36" s="34">
        <f>+C29/2740+C28/188</f>
        <v>7133.548633328156</v>
      </c>
      <c r="D36" s="34" t="e">
        <f>+D29/2740+D28/188</f>
        <v>#VALUE!</v>
      </c>
      <c r="E36" s="34" t="e">
        <f>+E29/2740+E28/188</f>
        <v>#VALUE!</v>
      </c>
      <c r="F36" s="35" t="e">
        <f>+F29/2740+F28/188</f>
        <v>#VALUE!</v>
      </c>
      <c r="G36" s="35" t="e">
        <f t="shared" ref="G36:M36" si="6">+G29/2740+G28/188-(G30*1000/2740)</f>
        <v>#VALUE!</v>
      </c>
      <c r="H36" s="36" t="e">
        <f t="shared" si="6"/>
        <v>#VALUE!</v>
      </c>
      <c r="I36" s="35" t="e">
        <f t="shared" si="6"/>
        <v>#VALUE!</v>
      </c>
      <c r="J36" s="35" t="e">
        <f t="shared" si="6"/>
        <v>#VALUE!</v>
      </c>
      <c r="K36" s="35">
        <f t="shared" si="6"/>
        <v>5784.3893228762226</v>
      </c>
      <c r="L36" s="35">
        <f t="shared" si="6"/>
        <v>5455.541857345861</v>
      </c>
      <c r="M36" s="35">
        <f t="shared" si="6"/>
        <v>5433.4069585370407</v>
      </c>
      <c r="N36" s="38">
        <v>6283.2362488895787</v>
      </c>
    </row>
    <row r="37" spans="1:14">
      <c r="C37" s="18"/>
      <c r="D37" s="18"/>
      <c r="E37" s="18"/>
      <c r="F37" s="19"/>
      <c r="G37" s="19"/>
      <c r="H37" s="20"/>
      <c r="I37" s="19"/>
    </row>
    <row r="38" spans="1:14">
      <c r="B38" s="5" t="s">
        <v>27</v>
      </c>
      <c r="C38" s="18"/>
      <c r="D38" s="18"/>
      <c r="E38" s="18"/>
      <c r="F38" s="19"/>
      <c r="G38" s="19"/>
      <c r="H38" s="20"/>
      <c r="I38" s="19"/>
    </row>
    <row r="39" spans="1:14">
      <c r="B39" s="2" t="s">
        <v>28</v>
      </c>
      <c r="C39" s="34">
        <f>192880+254404+209261+92620+238948+132510+260164+247331+234182+241251+228576+195494</f>
        <v>2527621</v>
      </c>
      <c r="D39" s="34">
        <f>200073+201138+227126+254774+232428+246594+1416008</f>
        <v>2778141</v>
      </c>
      <c r="E39" s="34" t="e">
        <f>+SUM('[2]Electrical Invoices'!R72:AC73)+SUM('[2]Electrical Invoices'!R70:AC70)</f>
        <v>#REF!</v>
      </c>
      <c r="F39" s="35" t="e">
        <f>+SUM('[2]Electrical Invoices'!AD72:AO73)+SUM('[2]Electrical Invoices'!AD70:AO70)</f>
        <v>#REF!</v>
      </c>
      <c r="G39" s="35">
        <f>+SUM('[2]Electrical Invoices'!AP72:BA72)</f>
        <v>2383922</v>
      </c>
      <c r="H39" s="36">
        <f>+SUM('[2]Electrical Invoices'!AQ72:BB72)</f>
        <v>2349884</v>
      </c>
      <c r="I39" s="35">
        <f>+SUM('[2]Electrical Invoices'!BN72:BY72)</f>
        <v>2078746</v>
      </c>
      <c r="J39" s="35">
        <f>+SUM('[2]Electrical Invoices'!BZ72:CK72)</f>
        <v>1997011</v>
      </c>
      <c r="K39" s="35" t="e">
        <f>+SUM('[2]Electrical Invoices'!CL72:CW74)</f>
        <v>#REF!</v>
      </c>
      <c r="L39" s="35">
        <f>+SUM('[2]Electrical Invoices'!CX137:DI137)</f>
        <v>1346060</v>
      </c>
      <c r="M39" s="35">
        <f>+SUM('[2]Electrical Invoices'!DJ137:DU137)</f>
        <v>1451694</v>
      </c>
      <c r="N39" s="38">
        <v>1476284.9000000001</v>
      </c>
    </row>
    <row r="40" spans="1:14">
      <c r="B40" s="2" t="s">
        <v>29</v>
      </c>
      <c r="C40" s="34">
        <f>11944+15196+11850+12459+11163+30766+18156+3432+17150+9037+14834+9057</f>
        <v>165044</v>
      </c>
      <c r="D40" s="34">
        <f>23344+5102+25617+20263+17328+13671+9057+12090+13680+20337+7843+22499</f>
        <v>190831</v>
      </c>
      <c r="E40" s="34">
        <f>+SUM('[2]Gas Invoices'!Y11:AK11)</f>
        <v>191335.78000000003</v>
      </c>
      <c r="F40" s="35">
        <f>+SUM('[2]Gas Invoices'!AL11:AW11)</f>
        <v>181344.01</v>
      </c>
      <c r="G40" s="35">
        <f>+SUM('[2]Gas Invoices'!AX11:BI11)</f>
        <v>166277.84</v>
      </c>
      <c r="H40" s="36">
        <f>+SUM('[2]Gas Invoices'!AY11:BJ11)</f>
        <v>165315.24</v>
      </c>
      <c r="I40" s="35">
        <f>+SUM('[2]Gas Invoices'!BV11:CG11)</f>
        <v>174332.51</v>
      </c>
      <c r="J40" s="35">
        <f>+SUM('[2]Gas Invoices'!CN11:CY11)</f>
        <v>179761.17</v>
      </c>
      <c r="K40" s="35">
        <f>+SUM('[2]Gas Invoices'!CT11:DE11)</f>
        <v>171337.95</v>
      </c>
      <c r="L40" s="35">
        <f>+SUM('[2]Gas Invoices'!DF11:DQ11)</f>
        <v>154781.62</v>
      </c>
      <c r="M40" s="35">
        <f>+SUM('[2]Gas Invoices'!DR11:EC11)</f>
        <v>140669.90000000002</v>
      </c>
      <c r="N40" s="38">
        <v>141655.25</v>
      </c>
    </row>
    <row r="41" spans="1:14">
      <c r="B41" s="2" t="s">
        <v>30</v>
      </c>
      <c r="C41" s="29">
        <f>+D41</f>
        <v>638200</v>
      </c>
      <c r="D41" s="29">
        <f>+E41</f>
        <v>638200</v>
      </c>
      <c r="E41" s="34">
        <v>638200</v>
      </c>
      <c r="F41" s="35">
        <v>638200</v>
      </c>
      <c r="G41" s="35">
        <v>638200</v>
      </c>
      <c r="H41" s="36">
        <f t="shared" ref="H41:M41" si="7">+G41</f>
        <v>638200</v>
      </c>
      <c r="I41" s="35">
        <f t="shared" si="7"/>
        <v>638200</v>
      </c>
      <c r="J41" s="35">
        <f t="shared" si="7"/>
        <v>638200</v>
      </c>
      <c r="K41" s="35">
        <f t="shared" si="7"/>
        <v>638200</v>
      </c>
      <c r="L41" s="35">
        <f t="shared" si="7"/>
        <v>638200</v>
      </c>
      <c r="M41" s="35">
        <f t="shared" si="7"/>
        <v>638200</v>
      </c>
      <c r="N41" s="38">
        <v>638200</v>
      </c>
    </row>
    <row r="42" spans="1:14">
      <c r="C42" s="18"/>
      <c r="D42" s="18"/>
      <c r="E42" s="18"/>
      <c r="F42" s="19"/>
      <c r="G42" s="19"/>
      <c r="H42" s="20"/>
      <c r="I42" s="19"/>
      <c r="J42" s="19"/>
      <c r="K42" s="19"/>
      <c r="L42" s="19"/>
    </row>
    <row r="43" spans="1:14" ht="12">
      <c r="B43" s="2" t="s">
        <v>24</v>
      </c>
      <c r="C43" s="29">
        <f t="shared" ref="C43:N43" si="8">+C39*3412+C40*100000</f>
        <v>25128642852</v>
      </c>
      <c r="D43" s="29">
        <f t="shared" si="8"/>
        <v>28562117092</v>
      </c>
      <c r="E43" s="29" t="e">
        <f t="shared" si="8"/>
        <v>#REF!</v>
      </c>
      <c r="F43" s="30" t="e">
        <f t="shared" si="8"/>
        <v>#REF!</v>
      </c>
      <c r="G43" s="30">
        <f t="shared" si="8"/>
        <v>24761725864</v>
      </c>
      <c r="H43" s="31">
        <f t="shared" si="8"/>
        <v>24549328208</v>
      </c>
      <c r="I43" s="30">
        <f t="shared" si="8"/>
        <v>24525932352</v>
      </c>
      <c r="J43" s="30">
        <f t="shared" si="8"/>
        <v>24789918532</v>
      </c>
      <c r="K43" s="30" t="e">
        <f t="shared" si="8"/>
        <v>#REF!</v>
      </c>
      <c r="L43" s="30">
        <f t="shared" si="8"/>
        <v>20070918720</v>
      </c>
      <c r="M43" s="30">
        <f t="shared" si="8"/>
        <v>19020169928</v>
      </c>
      <c r="N43" s="46">
        <f t="shared" si="8"/>
        <v>19202609078.799999</v>
      </c>
    </row>
    <row r="44" spans="1:14">
      <c r="B44" s="2" t="s">
        <v>25</v>
      </c>
      <c r="C44" s="34">
        <f t="shared" ref="C44:H44" si="9">+C43/C41</f>
        <v>39374.244518959575</v>
      </c>
      <c r="D44" s="34">
        <f t="shared" si="9"/>
        <v>44754.179084926356</v>
      </c>
      <c r="E44" s="34" t="e">
        <f t="shared" si="9"/>
        <v>#REF!</v>
      </c>
      <c r="F44" s="35" t="e">
        <f t="shared" si="9"/>
        <v>#REF!</v>
      </c>
      <c r="G44" s="35">
        <f t="shared" si="9"/>
        <v>38799.319749294889</v>
      </c>
      <c r="H44" s="36">
        <f t="shared" si="9"/>
        <v>38466.512391099968</v>
      </c>
      <c r="I44" s="35">
        <f>+I43/I41</f>
        <v>38429.853262300217</v>
      </c>
      <c r="J44" s="35">
        <f>+J43/J41</f>
        <v>38843.495036038861</v>
      </c>
      <c r="K44" s="35" t="e">
        <f>+K43/K41</f>
        <v>#REF!</v>
      </c>
      <c r="L44" s="35">
        <f>+L43/L41</f>
        <v>31449.261548104041</v>
      </c>
      <c r="M44" s="35">
        <f>+M43/M41</f>
        <v>29802.835988718271</v>
      </c>
      <c r="N44" s="38">
        <v>30088.701157630836</v>
      </c>
    </row>
    <row r="45" spans="1:14">
      <c r="B45" s="2" t="s">
        <v>26</v>
      </c>
      <c r="C45" s="34">
        <f t="shared" ref="C45:H45" si="10">+C39/2740+C40/188</f>
        <v>1800.3830330796707</v>
      </c>
      <c r="D45" s="34">
        <f t="shared" si="10"/>
        <v>2028.9785836309986</v>
      </c>
      <c r="E45" s="34" t="e">
        <f t="shared" si="10"/>
        <v>#REF!</v>
      </c>
      <c r="F45" s="35" t="e">
        <f t="shared" si="10"/>
        <v>#REF!</v>
      </c>
      <c r="G45" s="35">
        <f t="shared" si="10"/>
        <v>1754.5011212921261</v>
      </c>
      <c r="H45" s="36">
        <f t="shared" si="10"/>
        <v>1736.9582807889424</v>
      </c>
      <c r="I45" s="35">
        <f>+I39/2740+I40/188</f>
        <v>1685.9670084640472</v>
      </c>
      <c r="J45" s="35">
        <f>+J39/2740+J40/188</f>
        <v>1685.0125675570741</v>
      </c>
      <c r="K45" s="35" t="e">
        <f>+K39/2740+K40/188</f>
        <v>#REF!</v>
      </c>
      <c r="L45" s="35">
        <f>+L39/2740+L40/188</f>
        <v>1314.5692630843298</v>
      </c>
      <c r="M45" s="35">
        <f>+M39/2740+M40/188</f>
        <v>1278.0594774033236</v>
      </c>
      <c r="N45" s="38">
        <v>1292.2754818294766</v>
      </c>
    </row>
    <row r="46" spans="1:14">
      <c r="C46" s="18"/>
      <c r="D46" s="34"/>
      <c r="E46" s="34"/>
      <c r="F46" s="35"/>
      <c r="G46" s="35"/>
      <c r="H46" s="36"/>
      <c r="I46" s="35"/>
      <c r="J46" s="35"/>
      <c r="K46" s="35"/>
      <c r="L46" s="35"/>
    </row>
    <row r="47" spans="1:14">
      <c r="B47" s="5" t="s">
        <v>31</v>
      </c>
      <c r="C47" s="18"/>
      <c r="D47" s="34"/>
      <c r="E47" s="34"/>
      <c r="F47" s="35"/>
      <c r="G47" s="35"/>
      <c r="H47" s="36"/>
      <c r="I47" s="35"/>
      <c r="J47" s="35"/>
      <c r="K47" s="35"/>
      <c r="L47" s="35"/>
    </row>
    <row r="48" spans="1:14">
      <c r="A48" s="47" t="s">
        <v>32</v>
      </c>
      <c r="B48" s="2" t="s">
        <v>33</v>
      </c>
      <c r="C48" s="18"/>
      <c r="D48" s="34"/>
      <c r="E48" s="34"/>
      <c r="F48" s="34"/>
      <c r="G48" s="34"/>
      <c r="H48" s="45" t="e">
        <f>+(H43+H34)/1000000</f>
        <v>#VALUE!</v>
      </c>
      <c r="I48" s="34"/>
      <c r="J48" s="34"/>
      <c r="K48" s="34"/>
      <c r="L48" s="34"/>
      <c r="N48" s="48">
        <f>+(N43+N34)/1000000</f>
        <v>102704.25791099199</v>
      </c>
    </row>
    <row r="49" spans="1:14">
      <c r="A49" s="47" t="s">
        <v>32</v>
      </c>
      <c r="B49" s="47" t="s">
        <v>34</v>
      </c>
      <c r="C49" s="18"/>
      <c r="D49" s="34"/>
      <c r="E49" s="34"/>
      <c r="F49" s="34"/>
      <c r="G49" s="34"/>
      <c r="H49" s="45" t="e">
        <f>+(H29-H214+H39)*3412/1000000</f>
        <v>#VALUE!</v>
      </c>
      <c r="I49" s="34"/>
      <c r="J49" s="34"/>
      <c r="K49" s="34"/>
      <c r="L49" s="34"/>
      <c r="N49" s="45">
        <f>+(N29-N214+N39)*3412/1000000</f>
        <v>39285.732910991996</v>
      </c>
    </row>
    <row r="50" spans="1:14">
      <c r="A50" s="47" t="s">
        <v>32</v>
      </c>
      <c r="B50" s="47" t="s">
        <v>30</v>
      </c>
      <c r="C50" s="18"/>
      <c r="D50" s="34"/>
      <c r="E50" s="34"/>
      <c r="F50" s="34"/>
      <c r="G50" s="34"/>
      <c r="H50" s="45">
        <f>+H41+H26</f>
        <v>1801142</v>
      </c>
      <c r="I50" s="34"/>
      <c r="J50" s="34"/>
      <c r="K50" s="34"/>
      <c r="L50" s="34"/>
      <c r="N50" s="45">
        <f>+N41+N26</f>
        <v>2131005</v>
      </c>
    </row>
    <row r="51" spans="1:14">
      <c r="A51" s="47" t="s">
        <v>32</v>
      </c>
      <c r="B51" s="47" t="s">
        <v>35</v>
      </c>
      <c r="C51" s="18"/>
      <c r="D51" s="34"/>
      <c r="E51" s="34"/>
      <c r="F51" s="34"/>
      <c r="G51" s="34"/>
      <c r="H51" s="45">
        <f>68000/3+13000+5000</f>
        <v>40666.666666666672</v>
      </c>
      <c r="I51" s="34"/>
      <c r="J51" s="34"/>
      <c r="K51" s="34"/>
      <c r="L51" s="34"/>
      <c r="N51" s="45">
        <f>68000/3+13000+5000</f>
        <v>40666.666666666672</v>
      </c>
    </row>
    <row r="52" spans="1:14">
      <c r="A52" s="47" t="s">
        <v>32</v>
      </c>
      <c r="B52" s="47" t="s">
        <v>36</v>
      </c>
      <c r="C52" s="18"/>
      <c r="D52" s="34"/>
      <c r="E52" s="34"/>
      <c r="F52" s="34"/>
      <c r="G52" s="34"/>
      <c r="H52" s="45">
        <f>4000+3000</f>
        <v>7000</v>
      </c>
      <c r="I52" s="34"/>
      <c r="J52" s="34"/>
      <c r="K52" s="34"/>
      <c r="L52" s="34"/>
      <c r="N52" s="45">
        <f>4000+3000</f>
        <v>7000</v>
      </c>
    </row>
    <row r="53" spans="1:14">
      <c r="A53" s="47" t="s">
        <v>32</v>
      </c>
      <c r="B53" s="47" t="s">
        <v>37</v>
      </c>
      <c r="C53" s="18"/>
      <c r="D53" s="34"/>
      <c r="E53" s="34"/>
      <c r="F53" s="34"/>
      <c r="G53" s="34"/>
      <c r="H53" s="45">
        <v>3277</v>
      </c>
      <c r="I53" s="34"/>
      <c r="J53" s="34"/>
      <c r="K53" s="34"/>
      <c r="L53" s="34"/>
      <c r="N53" s="45"/>
    </row>
    <row r="54" spans="1:14">
      <c r="B54" s="2" t="s">
        <v>38</v>
      </c>
      <c r="C54" s="29">
        <f t="shared" ref="C54:H54" si="11">+(C43+C34)/(C26+C41)</f>
        <v>72405.458503704634</v>
      </c>
      <c r="D54" s="29" t="e">
        <f t="shared" si="11"/>
        <v>#VALUE!</v>
      </c>
      <c r="E54" s="29" t="e">
        <f t="shared" si="11"/>
        <v>#REF!</v>
      </c>
      <c r="F54" s="29" t="e">
        <f t="shared" si="11"/>
        <v>#REF!</v>
      </c>
      <c r="G54" s="29" t="e">
        <f t="shared" si="11"/>
        <v>#VALUE!</v>
      </c>
      <c r="H54" s="45" t="e">
        <f t="shared" si="11"/>
        <v>#VALUE!</v>
      </c>
      <c r="I54" s="29" t="e">
        <f>+(I43+I34)/(I26+I41)</f>
        <v>#VALUE!</v>
      </c>
      <c r="J54" s="29" t="e">
        <f>+(J43+J34)/(J26+J41)</f>
        <v>#VALUE!</v>
      </c>
      <c r="K54" s="29" t="e">
        <f>+(K43+K34)/(K26+K41)</f>
        <v>#REF!</v>
      </c>
      <c r="L54" s="29">
        <f>+(L43+L34)/(L26+L41)</f>
        <v>51252.142913271295</v>
      </c>
      <c r="M54" s="29">
        <f>+(M43+M34)/(M26+M41)</f>
        <v>49508.902823822085</v>
      </c>
      <c r="N54" s="48">
        <v>51136.999009853091</v>
      </c>
    </row>
    <row r="55" spans="1:14">
      <c r="B55" s="2" t="s">
        <v>26</v>
      </c>
      <c r="C55" s="29">
        <f t="shared" ref="C55:H55" si="12">+C45+C36</f>
        <v>8933.9316664078269</v>
      </c>
      <c r="D55" s="29" t="e">
        <f t="shared" si="12"/>
        <v>#VALUE!</v>
      </c>
      <c r="E55" s="29" t="e">
        <f t="shared" si="12"/>
        <v>#REF!</v>
      </c>
      <c r="F55" s="29" t="e">
        <f t="shared" si="12"/>
        <v>#REF!</v>
      </c>
      <c r="G55" s="29" t="e">
        <f t="shared" si="12"/>
        <v>#VALUE!</v>
      </c>
      <c r="H55" s="45" t="e">
        <f t="shared" si="12"/>
        <v>#VALUE!</v>
      </c>
      <c r="I55" s="29" t="e">
        <f>+I45+I36</f>
        <v>#VALUE!</v>
      </c>
      <c r="J55" s="29" t="e">
        <f>+J45+J36</f>
        <v>#VALUE!</v>
      </c>
      <c r="K55" s="29" t="e">
        <f>+K45+K36</f>
        <v>#REF!</v>
      </c>
      <c r="L55" s="29">
        <f>+L45+L36</f>
        <v>6770.1111204301906</v>
      </c>
      <c r="M55" s="29">
        <f>+M45+M36</f>
        <v>6711.4664359403641</v>
      </c>
      <c r="N55" s="48">
        <v>7575.5117307190558</v>
      </c>
    </row>
    <row r="56" spans="1:14">
      <c r="B56" s="2" t="s">
        <v>39</v>
      </c>
      <c r="C56" s="39">
        <f t="shared" ref="C56:H56" si="13">+C55/(C41+C26)*1000</f>
        <v>5.4710280494342625</v>
      </c>
      <c r="D56" s="39" t="e">
        <f t="shared" si="13"/>
        <v>#VALUE!</v>
      </c>
      <c r="E56" s="39" t="e">
        <f t="shared" si="13"/>
        <v>#REF!</v>
      </c>
      <c r="F56" s="39" t="e">
        <f t="shared" si="13"/>
        <v>#REF!</v>
      </c>
      <c r="G56" s="39" t="e">
        <f t="shared" si="13"/>
        <v>#VALUE!</v>
      </c>
      <c r="H56" s="49" t="e">
        <f t="shared" si="13"/>
        <v>#VALUE!</v>
      </c>
      <c r="I56" s="39" t="e">
        <f>+I55/(I41+I26)*1000</f>
        <v>#VALUE!</v>
      </c>
      <c r="J56" s="39" t="e">
        <f>+J55/(J41+J26)*1000</f>
        <v>#VALUE!</v>
      </c>
      <c r="K56" s="39" t="e">
        <f>+K55/(K41+K26)*1000</f>
        <v>#REF!</v>
      </c>
      <c r="L56" s="39">
        <f>+L55/(L41+L26)*1000</f>
        <v>3.7439693057236387</v>
      </c>
      <c r="M56" s="39">
        <f>+M55/(M41+M26)*1000</f>
        <v>3.7115358950093595</v>
      </c>
      <c r="N56" s="50">
        <v>3.5549009649057863</v>
      </c>
    </row>
    <row r="57" spans="1:14">
      <c r="E57" s="18"/>
    </row>
    <row r="59" spans="1:14">
      <c r="B59" s="47" t="s">
        <v>40</v>
      </c>
      <c r="F59" s="4"/>
    </row>
    <row r="60" spans="1:14" ht="12">
      <c r="C60" s="23">
        <f t="shared" ref="C60:L60" si="14">+C23*1000</f>
        <v>3578000</v>
      </c>
      <c r="D60" s="23">
        <f t="shared" si="14"/>
        <v>3504000</v>
      </c>
      <c r="E60" s="23">
        <f t="shared" si="14"/>
        <v>3518500</v>
      </c>
      <c r="F60" s="23">
        <f t="shared" si="14"/>
        <v>3747500</v>
      </c>
      <c r="G60" s="23">
        <f t="shared" si="14"/>
        <v>4129000</v>
      </c>
      <c r="H60" s="24">
        <f t="shared" si="14"/>
        <v>4688000</v>
      </c>
      <c r="I60" s="23">
        <f t="shared" si="14"/>
        <v>4790000</v>
      </c>
      <c r="J60" s="23">
        <f t="shared" si="14"/>
        <v>5173000</v>
      </c>
      <c r="K60" s="23">
        <f t="shared" si="14"/>
        <v>5609000</v>
      </c>
      <c r="L60" s="23">
        <f t="shared" si="14"/>
        <v>5732000</v>
      </c>
      <c r="M60" s="23">
        <f>+M23*1000</f>
        <v>6631000</v>
      </c>
      <c r="N60" s="51">
        <v>6769000</v>
      </c>
    </row>
    <row r="64" spans="1:14">
      <c r="B64" s="5" t="s">
        <v>41</v>
      </c>
    </row>
    <row r="65" spans="2:14">
      <c r="B65" s="5" t="s">
        <v>42</v>
      </c>
    </row>
    <row r="66" spans="2:14">
      <c r="B66" s="2" t="s">
        <v>43</v>
      </c>
      <c r="C66" s="4">
        <f t="shared" ref="C66:I66" si="15">C28/188</f>
        <v>2794.9468085106382</v>
      </c>
      <c r="D66" s="4" t="e">
        <f t="shared" si="15"/>
        <v>#VALUE!</v>
      </c>
      <c r="E66" s="4" t="e">
        <f t="shared" si="15"/>
        <v>#VALUE!</v>
      </c>
      <c r="F66" s="52" t="e">
        <f t="shared" si="15"/>
        <v>#VALUE!</v>
      </c>
      <c r="G66" s="4" t="e">
        <f t="shared" si="15"/>
        <v>#VALUE!</v>
      </c>
      <c r="H66" s="53" t="e">
        <f t="shared" si="15"/>
        <v>#VALUE!</v>
      </c>
      <c r="I66" s="4" t="e">
        <f t="shared" si="15"/>
        <v>#VALUE!</v>
      </c>
      <c r="J66" s="4" t="e">
        <f>J28/188</f>
        <v>#VALUE!</v>
      </c>
      <c r="K66" s="4">
        <f>K28/188</f>
        <v>2580.8031914893618</v>
      </c>
      <c r="L66" s="4">
        <f>L28/188</f>
        <v>2299.7287234042551</v>
      </c>
      <c r="M66" s="4">
        <f>M28/188</f>
        <v>2061.7180851063831</v>
      </c>
      <c r="N66" s="54">
        <v>2619.8404255319151</v>
      </c>
    </row>
    <row r="67" spans="2:14">
      <c r="B67" s="2" t="s">
        <v>44</v>
      </c>
      <c r="C67" s="4">
        <f>+C29/2740</f>
        <v>4338.6018248175178</v>
      </c>
      <c r="D67" s="4" t="e">
        <f>+D29/2740</f>
        <v>#VALUE!</v>
      </c>
      <c r="E67" s="4" t="e">
        <f>+E29/2740</f>
        <v>#VALUE!</v>
      </c>
      <c r="F67" s="52" t="e">
        <f>+F29/2740</f>
        <v>#VALUE!</v>
      </c>
      <c r="G67" s="4" t="e">
        <f t="shared" ref="G67:M67" si="16">+G29/2740-(G30*1000/2740)</f>
        <v>#VALUE!</v>
      </c>
      <c r="H67" s="53" t="e">
        <f t="shared" si="16"/>
        <v>#VALUE!</v>
      </c>
      <c r="I67" s="4" t="e">
        <f t="shared" si="16"/>
        <v>#VALUE!</v>
      </c>
      <c r="J67" s="4" t="e">
        <f t="shared" si="16"/>
        <v>#VALUE!</v>
      </c>
      <c r="K67" s="4">
        <f t="shared" si="16"/>
        <v>3203.5861313868609</v>
      </c>
      <c r="L67" s="4">
        <f t="shared" si="16"/>
        <v>3155.8131339416059</v>
      </c>
      <c r="M67" s="4">
        <f t="shared" si="16"/>
        <v>3371.6888734306576</v>
      </c>
      <c r="N67" s="54">
        <v>3663.3958233576636</v>
      </c>
    </row>
    <row r="68" spans="2:14">
      <c r="B68" s="2" t="s">
        <v>45</v>
      </c>
      <c r="C68" s="4">
        <f t="shared" ref="C68:I68" si="17">+C67+C66</f>
        <v>7133.548633328156</v>
      </c>
      <c r="D68" s="4" t="e">
        <f t="shared" si="17"/>
        <v>#VALUE!</v>
      </c>
      <c r="E68" s="4" t="e">
        <f t="shared" si="17"/>
        <v>#VALUE!</v>
      </c>
      <c r="F68" s="52" t="e">
        <f t="shared" si="17"/>
        <v>#VALUE!</v>
      </c>
      <c r="G68" s="4" t="e">
        <f t="shared" si="17"/>
        <v>#VALUE!</v>
      </c>
      <c r="H68" s="53" t="e">
        <f t="shared" si="17"/>
        <v>#VALUE!</v>
      </c>
      <c r="I68" s="4" t="e">
        <f t="shared" si="17"/>
        <v>#VALUE!</v>
      </c>
      <c r="J68" s="4" t="e">
        <f>+J67+J66</f>
        <v>#VALUE!</v>
      </c>
      <c r="K68" s="4">
        <f>+K67+K66</f>
        <v>5784.3893228762226</v>
      </c>
      <c r="L68" s="4">
        <f>+L67+L66</f>
        <v>5455.541857345861</v>
      </c>
      <c r="M68" s="4">
        <f>+M67+M66</f>
        <v>5433.4069585370407</v>
      </c>
      <c r="N68" s="54">
        <v>6283.2362488895787</v>
      </c>
    </row>
    <row r="69" spans="2:14">
      <c r="B69" s="5" t="s">
        <v>46</v>
      </c>
      <c r="C69" s="4"/>
      <c r="D69" s="4"/>
      <c r="E69" s="4"/>
      <c r="F69" s="52"/>
      <c r="G69" s="4"/>
      <c r="H69" s="53"/>
    </row>
    <row r="70" spans="2:14">
      <c r="B70" s="2" t="s">
        <v>43</v>
      </c>
      <c r="C70" s="4">
        <f t="shared" ref="C70:H70" si="18">+C40/188</f>
        <v>877.89361702127655</v>
      </c>
      <c r="D70" s="4">
        <f t="shared" si="18"/>
        <v>1015.0585106382979</v>
      </c>
      <c r="E70" s="4">
        <f t="shared" si="18"/>
        <v>1017.7435106382981</v>
      </c>
      <c r="F70" s="52">
        <f t="shared" si="18"/>
        <v>964.59579787234043</v>
      </c>
      <c r="G70" s="4">
        <f t="shared" si="18"/>
        <v>884.45659574468084</v>
      </c>
      <c r="H70" s="53">
        <f t="shared" si="18"/>
        <v>879.33638297872335</v>
      </c>
      <c r="I70" s="4">
        <f>+I40/188</f>
        <v>927.30058510638298</v>
      </c>
      <c r="J70" s="4">
        <f>+J40/188</f>
        <v>956.17643617021281</v>
      </c>
      <c r="K70" s="4">
        <f>+K40/188</f>
        <v>911.3720744680852</v>
      </c>
      <c r="L70" s="4">
        <f>+L40/188</f>
        <v>823.30648936170212</v>
      </c>
      <c r="M70" s="4">
        <f>+M40/188</f>
        <v>748.24414893617029</v>
      </c>
      <c r="N70" s="54">
        <v>753.48537234042556</v>
      </c>
    </row>
    <row r="71" spans="2:14">
      <c r="B71" s="2" t="s">
        <v>44</v>
      </c>
      <c r="C71" s="4">
        <f t="shared" ref="C71:H71" si="19">+C39/2740</f>
        <v>922.48941605839411</v>
      </c>
      <c r="D71" s="4">
        <f t="shared" si="19"/>
        <v>1013.9200729927007</v>
      </c>
      <c r="E71" s="4" t="e">
        <f t="shared" si="19"/>
        <v>#REF!</v>
      </c>
      <c r="F71" s="52" t="e">
        <f t="shared" si="19"/>
        <v>#REF!</v>
      </c>
      <c r="G71" s="4">
        <f t="shared" si="19"/>
        <v>870.04452554744523</v>
      </c>
      <c r="H71" s="53">
        <f t="shared" si="19"/>
        <v>857.62189781021902</v>
      </c>
      <c r="I71" s="4">
        <f>+I39/2740</f>
        <v>758.66642335766426</v>
      </c>
      <c r="J71" s="4">
        <f>+J39/2740</f>
        <v>728.83613138686133</v>
      </c>
      <c r="K71" s="4" t="e">
        <f>+K39/2740</f>
        <v>#REF!</v>
      </c>
      <c r="L71" s="4">
        <f>+L39/2740</f>
        <v>491.26277372262774</v>
      </c>
      <c r="M71" s="4">
        <f>+M39/2740</f>
        <v>529.81532846715334</v>
      </c>
      <c r="N71" s="54">
        <v>538.79010948905113</v>
      </c>
    </row>
    <row r="72" spans="2:14">
      <c r="B72" s="2" t="s">
        <v>47</v>
      </c>
      <c r="C72" s="4">
        <f t="shared" ref="C72:H72" si="20">+C71+C70</f>
        <v>1800.3830330796707</v>
      </c>
      <c r="D72" s="4">
        <f t="shared" si="20"/>
        <v>2028.9785836309986</v>
      </c>
      <c r="E72" s="4" t="e">
        <f t="shared" si="20"/>
        <v>#REF!</v>
      </c>
      <c r="F72" s="52" t="e">
        <f t="shared" si="20"/>
        <v>#REF!</v>
      </c>
      <c r="G72" s="4">
        <f t="shared" si="20"/>
        <v>1754.5011212921261</v>
      </c>
      <c r="H72" s="53">
        <f t="shared" si="20"/>
        <v>1736.9582807889424</v>
      </c>
      <c r="I72" s="4">
        <f>+I71+I70</f>
        <v>1685.9670084640472</v>
      </c>
      <c r="J72" s="4">
        <f>+J71+J70</f>
        <v>1685.0125675570741</v>
      </c>
      <c r="K72" s="4" t="e">
        <f>+K71+K70</f>
        <v>#REF!</v>
      </c>
      <c r="L72" s="4">
        <f>+L71+L70</f>
        <v>1314.5692630843298</v>
      </c>
      <c r="M72" s="4">
        <f>+M71+M70</f>
        <v>1278.0594774033236</v>
      </c>
      <c r="N72" s="54">
        <v>1292.2754818294766</v>
      </c>
    </row>
    <row r="73" spans="2:14">
      <c r="B73" s="5" t="s">
        <v>48</v>
      </c>
      <c r="C73" s="4"/>
      <c r="D73" s="4"/>
      <c r="E73" s="4"/>
      <c r="F73" s="52"/>
      <c r="G73" s="4"/>
      <c r="H73" s="53"/>
      <c r="I73" s="4"/>
      <c r="J73" s="4"/>
      <c r="K73" s="4"/>
      <c r="L73" s="4"/>
    </row>
    <row r="74" spans="2:14">
      <c r="B74" s="2" t="s">
        <v>43</v>
      </c>
      <c r="C74" s="4">
        <f>+C66+C70</f>
        <v>3672.8404255319147</v>
      </c>
      <c r="D74" s="4" t="e">
        <f t="shared" ref="D74:I74" si="21">+D66+D70</f>
        <v>#VALUE!</v>
      </c>
      <c r="E74" s="4" t="e">
        <f t="shared" si="21"/>
        <v>#VALUE!</v>
      </c>
      <c r="F74" s="52" t="e">
        <f t="shared" si="21"/>
        <v>#VALUE!</v>
      </c>
      <c r="G74" s="4" t="e">
        <f t="shared" si="21"/>
        <v>#VALUE!</v>
      </c>
      <c r="H74" s="53" t="e">
        <f t="shared" si="21"/>
        <v>#VALUE!</v>
      </c>
      <c r="I74" s="4" t="e">
        <f t="shared" si="21"/>
        <v>#VALUE!</v>
      </c>
      <c r="J74" s="4" t="e">
        <f>+J66+J70</f>
        <v>#VALUE!</v>
      </c>
      <c r="K74" s="4">
        <f>+K66+K70</f>
        <v>3492.1752659574468</v>
      </c>
      <c r="L74" s="4">
        <f>+L66+L70</f>
        <v>3123.0352127659571</v>
      </c>
      <c r="M74" s="4">
        <f>+M66+M70</f>
        <v>2809.9622340425535</v>
      </c>
      <c r="N74" s="54">
        <v>3373.3257978723404</v>
      </c>
    </row>
    <row r="75" spans="2:14">
      <c r="B75" s="2" t="s">
        <v>44</v>
      </c>
      <c r="C75" s="4">
        <f>+C71+C67</f>
        <v>5261.0912408759123</v>
      </c>
      <c r="D75" s="4" t="e">
        <f t="shared" ref="D75:I75" si="22">+D71+D67</f>
        <v>#VALUE!</v>
      </c>
      <c r="E75" s="4" t="e">
        <f t="shared" si="22"/>
        <v>#REF!</v>
      </c>
      <c r="F75" s="52" t="e">
        <f t="shared" si="22"/>
        <v>#REF!</v>
      </c>
      <c r="G75" s="4" t="e">
        <f t="shared" si="22"/>
        <v>#VALUE!</v>
      </c>
      <c r="H75" s="53" t="e">
        <f t="shared" si="22"/>
        <v>#VALUE!</v>
      </c>
      <c r="I75" s="4" t="e">
        <f t="shared" si="22"/>
        <v>#VALUE!</v>
      </c>
      <c r="J75" s="4" t="e">
        <f>+J71+J67</f>
        <v>#VALUE!</v>
      </c>
      <c r="K75" s="4" t="e">
        <f>+K71+K67</f>
        <v>#REF!</v>
      </c>
      <c r="L75" s="4">
        <f>+L71+L67</f>
        <v>3647.0759076642335</v>
      </c>
      <c r="M75" s="4">
        <f>+M71+M67</f>
        <v>3901.5042018978111</v>
      </c>
      <c r="N75" s="54">
        <v>4202.1859328467144</v>
      </c>
    </row>
    <row r="76" spans="2:14">
      <c r="B76" s="5" t="s">
        <v>49</v>
      </c>
      <c r="C76" s="4">
        <f t="shared" ref="C76:I76" si="23">+C75+C74</f>
        <v>8933.9316664078269</v>
      </c>
      <c r="D76" s="4" t="e">
        <f t="shared" si="23"/>
        <v>#VALUE!</v>
      </c>
      <c r="E76" s="4" t="e">
        <f t="shared" si="23"/>
        <v>#REF!</v>
      </c>
      <c r="F76" s="52" t="e">
        <f t="shared" si="23"/>
        <v>#REF!</v>
      </c>
      <c r="G76" s="4" t="e">
        <f t="shared" si="23"/>
        <v>#VALUE!</v>
      </c>
      <c r="H76" s="53" t="e">
        <f t="shared" si="23"/>
        <v>#VALUE!</v>
      </c>
      <c r="I76" s="4" t="e">
        <f t="shared" si="23"/>
        <v>#VALUE!</v>
      </c>
      <c r="J76" s="4" t="e">
        <f>+J75+J74</f>
        <v>#VALUE!</v>
      </c>
      <c r="K76" s="4" t="e">
        <f>+K75+K74</f>
        <v>#REF!</v>
      </c>
      <c r="L76" s="4">
        <f>+L75+L74</f>
        <v>6770.1111204301906</v>
      </c>
      <c r="M76" s="4">
        <f>+M75+M74</f>
        <v>6711.466435940365</v>
      </c>
      <c r="N76" s="54">
        <v>7575.5117307190549</v>
      </c>
    </row>
    <row r="80" spans="2:14">
      <c r="B80" s="2" t="s">
        <v>50</v>
      </c>
    </row>
    <row r="81" spans="2:8" s="2" customFormat="1" ht="12">
      <c r="B81" s="2" t="s">
        <v>51</v>
      </c>
      <c r="E81" s="55">
        <v>40</v>
      </c>
      <c r="F81" s="55">
        <v>40</v>
      </c>
      <c r="G81" s="55">
        <v>40</v>
      </c>
      <c r="H81" s="56">
        <v>40</v>
      </c>
    </row>
    <row r="82" spans="2:8" s="2" customFormat="1" ht="12">
      <c r="B82" s="2" t="s">
        <v>52</v>
      </c>
      <c r="E82" s="55">
        <v>87</v>
      </c>
      <c r="F82" s="55">
        <v>87</v>
      </c>
      <c r="G82" s="55">
        <v>87</v>
      </c>
      <c r="H82" s="56">
        <v>87</v>
      </c>
    </row>
    <row r="83" spans="2:8" s="2" customFormat="1" ht="12">
      <c r="B83" s="2" t="s">
        <v>53</v>
      </c>
      <c r="E83" s="55">
        <v>9129</v>
      </c>
      <c r="F83" s="55">
        <v>9129</v>
      </c>
      <c r="G83" s="55">
        <v>9129</v>
      </c>
      <c r="H83" s="56">
        <v>9129</v>
      </c>
    </row>
    <row r="85" spans="2:8" s="2" customFormat="1" ht="12">
      <c r="B85" s="5" t="s">
        <v>54</v>
      </c>
      <c r="E85" s="55" t="e">
        <f>+SUM(E76:E83)</f>
        <v>#REF!</v>
      </c>
      <c r="F85" s="55" t="e">
        <f>+SUM(F76:F83)</f>
        <v>#REF!</v>
      </c>
      <c r="G85" s="55" t="e">
        <f>+SUM(G76:G83)</f>
        <v>#VALUE!</v>
      </c>
      <c r="H85" s="56" t="e">
        <f>+SUM(H76:H83)</f>
        <v>#VALUE!</v>
      </c>
    </row>
    <row r="87" spans="2:8" s="2" customFormat="1" ht="12">
      <c r="B87" s="2" t="s">
        <v>55</v>
      </c>
      <c r="E87" s="57" t="e">
        <f>+E85/E23</f>
        <v>#REF!</v>
      </c>
      <c r="F87" s="57" t="e">
        <f>+F85/F23</f>
        <v>#REF!</v>
      </c>
      <c r="G87" s="57" t="e">
        <f>+G85/G23</f>
        <v>#VALUE!</v>
      </c>
      <c r="H87" s="58" t="e">
        <f>+H85/H23</f>
        <v>#VALUE!</v>
      </c>
    </row>
    <row r="88" spans="2:8" s="2" customFormat="1" ht="12">
      <c r="B88" s="2" t="s">
        <v>56</v>
      </c>
      <c r="E88" s="57" t="e">
        <f>+E85/(E26+E41)*1000</f>
        <v>#REF!</v>
      </c>
      <c r="F88" s="57" t="e">
        <f>+F85/(F26+F41)*1000</f>
        <v>#REF!</v>
      </c>
      <c r="G88" s="57" t="e">
        <f>+G85/(G26+G41)*1000</f>
        <v>#VALUE!</v>
      </c>
      <c r="H88" s="58" t="e">
        <f>+H85/(H26+H41)*1000</f>
        <v>#VALUE!</v>
      </c>
    </row>
    <row r="91" spans="2:8" s="2" customFormat="1">
      <c r="F91" s="59" t="e">
        <f>1356/E85</f>
        <v>#REF!</v>
      </c>
      <c r="G91" s="59" t="e">
        <f>1356/F85</f>
        <v>#REF!</v>
      </c>
      <c r="H91" s="6"/>
    </row>
    <row r="94" spans="2:8" s="2" customFormat="1" ht="12">
      <c r="B94" s="2" t="s">
        <v>57</v>
      </c>
      <c r="E94" s="2">
        <v>2006</v>
      </c>
      <c r="F94" s="2">
        <v>2007</v>
      </c>
      <c r="G94" s="2">
        <v>2008</v>
      </c>
      <c r="H94" s="6">
        <v>2009</v>
      </c>
    </row>
    <row r="95" spans="2:8" s="2" customFormat="1">
      <c r="B95" s="2" t="s">
        <v>58</v>
      </c>
      <c r="H95" s="53">
        <v>-44915</v>
      </c>
    </row>
    <row r="97" spans="2:7" s="2" customFormat="1">
      <c r="B97" s="2" t="s">
        <v>59</v>
      </c>
      <c r="C97" s="2" t="s">
        <v>60</v>
      </c>
      <c r="E97" s="4">
        <v>-250000</v>
      </c>
    </row>
    <row r="98" spans="2:7" s="2" customFormat="1">
      <c r="B98" s="2" t="s">
        <v>61</v>
      </c>
      <c r="C98" s="2" t="s">
        <v>62</v>
      </c>
      <c r="E98" s="4">
        <v>-6000</v>
      </c>
    </row>
    <row r="99" spans="2:7" s="2" customFormat="1">
      <c r="E99" s="4"/>
    </row>
    <row r="100" spans="2:7" s="2" customFormat="1">
      <c r="B100" s="2" t="s">
        <v>63</v>
      </c>
      <c r="C100" s="2" t="s">
        <v>60</v>
      </c>
      <c r="E100" s="4">
        <v>-173272</v>
      </c>
    </row>
    <row r="101" spans="2:7" s="2" customFormat="1">
      <c r="B101" s="2" t="s">
        <v>61</v>
      </c>
      <c r="E101" s="4"/>
    </row>
    <row r="102" spans="2:7" s="2" customFormat="1">
      <c r="E102" s="4"/>
    </row>
    <row r="103" spans="2:7" s="2" customFormat="1">
      <c r="B103" s="2" t="s">
        <v>64</v>
      </c>
      <c r="C103" s="2" t="s">
        <v>60</v>
      </c>
      <c r="E103" s="4">
        <v>-339280</v>
      </c>
    </row>
    <row r="104" spans="2:7" s="2" customFormat="1">
      <c r="B104" s="2" t="s">
        <v>61</v>
      </c>
      <c r="C104" s="2" t="s">
        <v>62</v>
      </c>
      <c r="E104" s="4">
        <v>-26139</v>
      </c>
    </row>
    <row r="106" spans="2:7" s="2" customFormat="1">
      <c r="B106" s="2" t="s">
        <v>65</v>
      </c>
      <c r="C106" s="2" t="s">
        <v>60</v>
      </c>
      <c r="F106" s="4">
        <v>-360772</v>
      </c>
    </row>
    <row r="107" spans="2:7" s="2" customFormat="1">
      <c r="B107" s="2" t="s">
        <v>61</v>
      </c>
      <c r="E107" s="4"/>
    </row>
    <row r="108" spans="2:7" s="2" customFormat="1">
      <c r="E108" s="4"/>
    </row>
    <row r="109" spans="2:7" s="2" customFormat="1">
      <c r="B109" s="2" t="s">
        <v>66</v>
      </c>
      <c r="C109" s="2" t="s">
        <v>60</v>
      </c>
      <c r="F109" s="4">
        <v>-533205</v>
      </c>
    </row>
    <row r="110" spans="2:7" s="2" customFormat="1">
      <c r="B110" s="2" t="s">
        <v>61</v>
      </c>
      <c r="C110" s="2" t="s">
        <v>62</v>
      </c>
      <c r="F110" s="4">
        <v>-22458</v>
      </c>
    </row>
    <row r="111" spans="2:7" s="2" customFormat="1">
      <c r="F111" s="4"/>
    </row>
    <row r="112" spans="2:7" s="2" customFormat="1">
      <c r="B112" s="2" t="s">
        <v>67</v>
      </c>
      <c r="C112" s="2" t="s">
        <v>60</v>
      </c>
      <c r="F112" s="4"/>
      <c r="G112" s="4">
        <v>-704688</v>
      </c>
    </row>
    <row r="113" spans="2:14">
      <c r="B113" s="2" t="s">
        <v>61</v>
      </c>
      <c r="C113" s="2" t="s">
        <v>62</v>
      </c>
      <c r="F113" s="4"/>
      <c r="G113" s="4">
        <v>-38315</v>
      </c>
    </row>
    <row r="114" spans="2:14">
      <c r="F114" s="4"/>
      <c r="G114" s="4"/>
    </row>
    <row r="115" spans="2:14">
      <c r="B115" s="2" t="s">
        <v>68</v>
      </c>
      <c r="C115" s="2" t="s">
        <v>60</v>
      </c>
      <c r="D115" s="2" t="s">
        <v>69</v>
      </c>
      <c r="F115" s="4"/>
      <c r="G115" s="4"/>
      <c r="H115" s="53">
        <v>-346426</v>
      </c>
    </row>
    <row r="116" spans="2:14">
      <c r="C116" s="2" t="s">
        <v>62</v>
      </c>
      <c r="F116" s="4"/>
      <c r="G116" s="4"/>
      <c r="H116" s="53">
        <v>-3297</v>
      </c>
    </row>
    <row r="117" spans="2:14">
      <c r="F117" s="4"/>
      <c r="G117" s="4"/>
      <c r="H117" s="53"/>
      <c r="K117" s="2" t="s">
        <v>70</v>
      </c>
    </row>
    <row r="118" spans="2:14">
      <c r="B118" s="2" t="s">
        <v>71</v>
      </c>
      <c r="C118" s="2" t="s">
        <v>60</v>
      </c>
      <c r="D118" s="2" t="s">
        <v>72</v>
      </c>
      <c r="F118" s="4"/>
      <c r="G118" s="4"/>
      <c r="H118" s="53"/>
      <c r="J118" s="60">
        <v>-373800</v>
      </c>
      <c r="K118" s="60">
        <v>-100000</v>
      </c>
      <c r="L118" s="60"/>
    </row>
    <row r="119" spans="2:14">
      <c r="F119" s="4"/>
      <c r="G119" s="4"/>
      <c r="H119" s="53"/>
    </row>
    <row r="120" spans="2:14">
      <c r="B120" s="2" t="s">
        <v>48</v>
      </c>
      <c r="C120" s="2" t="s">
        <v>60</v>
      </c>
      <c r="E120" s="4">
        <f t="shared" ref="E120:J120" si="24">+SUMIF($C97:$C118,$C120,E97:E118)</f>
        <v>-762552</v>
      </c>
      <c r="F120" s="4">
        <f t="shared" si="24"/>
        <v>-893977</v>
      </c>
      <c r="G120" s="4">
        <f t="shared" si="24"/>
        <v>-704688</v>
      </c>
      <c r="H120" s="53">
        <f t="shared" si="24"/>
        <v>-346426</v>
      </c>
      <c r="I120" s="4">
        <f t="shared" si="24"/>
        <v>0</v>
      </c>
      <c r="J120" s="4">
        <f t="shared" si="24"/>
        <v>-373800</v>
      </c>
      <c r="K120" s="4">
        <f>+SUMIF($C97:$C118,$C120,K97:K118)</f>
        <v>-100000</v>
      </c>
      <c r="L120" s="4">
        <f>+SUMIF($C97:$C118,$C120,L97:L118)</f>
        <v>0</v>
      </c>
      <c r="M120" s="4">
        <f>+SUMIF($C97:$C118,$C120,M97:M118)</f>
        <v>0</v>
      </c>
      <c r="N120" s="54">
        <v>0</v>
      </c>
    </row>
    <row r="121" spans="2:14">
      <c r="C121" s="2" t="s">
        <v>62</v>
      </c>
      <c r="E121" s="4">
        <f t="shared" ref="E121:J121" si="25">+SUMIF($C97:$C118,$C121,E97:E118)</f>
        <v>-32139</v>
      </c>
      <c r="F121" s="4">
        <f t="shared" si="25"/>
        <v>-22458</v>
      </c>
      <c r="G121" s="4">
        <f t="shared" si="25"/>
        <v>-38315</v>
      </c>
      <c r="H121" s="53">
        <f t="shared" si="25"/>
        <v>-3297</v>
      </c>
      <c r="I121" s="4">
        <f t="shared" si="25"/>
        <v>0</v>
      </c>
      <c r="J121" s="4">
        <f t="shared" si="25"/>
        <v>0</v>
      </c>
      <c r="K121" s="4">
        <f>+SUMIF($C97:$C118,$C121,K97:K118)</f>
        <v>0</v>
      </c>
      <c r="L121" s="4">
        <f>+SUMIF($C97:$C118,$C121,L97:L118)</f>
        <v>0</v>
      </c>
      <c r="M121" s="4">
        <f>+SUMIF($C97:$C118,$C121,M97:M118)</f>
        <v>0</v>
      </c>
      <c r="N121" s="54">
        <v>0</v>
      </c>
    </row>
    <row r="123" spans="2:14">
      <c r="C123" s="2" t="s">
        <v>73</v>
      </c>
      <c r="F123" s="55">
        <f>+SUM($E120:F120)</f>
        <v>-1656529</v>
      </c>
      <c r="G123" s="55">
        <f>+SUM($E120:G120)</f>
        <v>-2361217</v>
      </c>
      <c r="H123" s="56">
        <f>+SUM($E120:H120)</f>
        <v>-2707643</v>
      </c>
      <c r="I123" s="55">
        <f>+SUM($E120:I120)</f>
        <v>-2707643</v>
      </c>
      <c r="J123" s="55">
        <f>+SUM($E120:J120)</f>
        <v>-3081443</v>
      </c>
      <c r="K123" s="55">
        <f>+SUM($E120:K120)</f>
        <v>-3181443</v>
      </c>
      <c r="L123" s="55">
        <f>+SUM($E120:L120)</f>
        <v>-3181443</v>
      </c>
      <c r="M123" s="55">
        <f>+SUM($E120:M120)</f>
        <v>-3181443</v>
      </c>
      <c r="N123" s="61">
        <v>-3181443</v>
      </c>
    </row>
    <row r="124" spans="2:14">
      <c r="C124" s="2" t="s">
        <v>74</v>
      </c>
      <c r="F124" s="55">
        <f>+SUM($E121:F121)</f>
        <v>-54597</v>
      </c>
      <c r="G124" s="55">
        <f>+SUM($E121:G121)</f>
        <v>-92912</v>
      </c>
      <c r="H124" s="56">
        <f>+SUM($E121:H121)</f>
        <v>-96209</v>
      </c>
      <c r="I124" s="55">
        <f>+SUM($E121:I121)</f>
        <v>-96209</v>
      </c>
      <c r="J124" s="55">
        <f>+SUM($E121:J121)</f>
        <v>-96209</v>
      </c>
      <c r="K124" s="55">
        <f>+SUM($E121:K121)</f>
        <v>-96209</v>
      </c>
      <c r="L124" s="55">
        <f>+SUM($E121:L121)</f>
        <v>-96209</v>
      </c>
      <c r="M124" s="55">
        <f>+SUM($E121:M121)</f>
        <v>-96209</v>
      </c>
      <c r="N124" s="61">
        <v>-96209</v>
      </c>
    </row>
    <row r="125" spans="2:14">
      <c r="F125" s="4"/>
      <c r="G125" s="4"/>
      <c r="H125" s="53"/>
    </row>
    <row r="126" spans="2:14">
      <c r="F126" s="4"/>
      <c r="G126" s="4"/>
      <c r="H126" s="53"/>
    </row>
    <row r="127" spans="2:14">
      <c r="F127" s="4"/>
      <c r="G127" s="4"/>
    </row>
    <row r="129" spans="2:14">
      <c r="D129" s="2" t="s">
        <v>75</v>
      </c>
      <c r="E129" s="55">
        <f>+(E97+E100+E103)/2740+(E98+E104)/188</f>
        <v>-449.25577729461099</v>
      </c>
      <c r="F129" s="55">
        <f>+(F106+F109)/2740+F110/188</f>
        <v>-445.72642491070042</v>
      </c>
      <c r="G129" s="55">
        <f>+(G112)/2740+G113/188</f>
        <v>-460.98859294921567</v>
      </c>
      <c r="H129" s="56">
        <f>+(H115+H118)/2740+H116/188</f>
        <v>-143.97008075788165</v>
      </c>
      <c r="I129" s="55">
        <f>+(I115+I118)/2740+I116/188</f>
        <v>0</v>
      </c>
      <c r="J129" s="55">
        <f>+(J115+J118)/2740+J116/188</f>
        <v>-136.42335766423358</v>
      </c>
      <c r="K129" s="55"/>
      <c r="L129" s="55"/>
    </row>
    <row r="130" spans="2:14">
      <c r="E130" s="62" t="e">
        <f>+E129/E85</f>
        <v>#REF!</v>
      </c>
      <c r="F130" s="62" t="e">
        <f>+F129/F85</f>
        <v>#REF!</v>
      </c>
      <c r="G130" s="62" t="e">
        <f>+G129/G85</f>
        <v>#VALUE!</v>
      </c>
      <c r="H130" s="63"/>
      <c r="I130" s="62"/>
      <c r="J130" s="62"/>
      <c r="K130" s="62"/>
      <c r="L130" s="62"/>
    </row>
    <row r="131" spans="2:14">
      <c r="E131" s="55"/>
      <c r="F131" s="55">
        <f>+SUM($E129:F129)</f>
        <v>-894.98220220531141</v>
      </c>
      <c r="G131" s="55">
        <f>+SUM($E129:G129)</f>
        <v>-1355.970795154527</v>
      </c>
      <c r="H131" s="56">
        <f>+SUM($E129:H129)</f>
        <v>-1499.9408759124085</v>
      </c>
      <c r="I131" s="55">
        <f>+SUM($E129:I129)</f>
        <v>-1499.9408759124085</v>
      </c>
      <c r="J131" s="55">
        <f>+SUM($E129:J129)</f>
        <v>-1636.3642335766422</v>
      </c>
      <c r="K131" s="55"/>
      <c r="L131" s="55"/>
    </row>
    <row r="132" spans="2:14">
      <c r="E132" s="62"/>
      <c r="F132" s="62" t="e">
        <f>+F131/E85</f>
        <v>#REF!</v>
      </c>
      <c r="G132" s="62" t="e">
        <f>+G131/F85</f>
        <v>#REF!</v>
      </c>
      <c r="H132" s="63" t="e">
        <f>+H131/G85</f>
        <v>#VALUE!</v>
      </c>
      <c r="I132" s="62" t="e">
        <f>+I131/H85</f>
        <v>#VALUE!</v>
      </c>
      <c r="J132" s="62" t="e">
        <f>+J131/I85</f>
        <v>#DIV/0!</v>
      </c>
      <c r="K132" s="62"/>
      <c r="L132" s="62"/>
    </row>
    <row r="133" spans="2:14">
      <c r="E133" s="62"/>
      <c r="F133" s="62"/>
      <c r="G133" s="62"/>
      <c r="H133" s="63"/>
    </row>
    <row r="134" spans="2:14">
      <c r="E134" s="62"/>
      <c r="F134" s="62"/>
      <c r="G134" s="62"/>
      <c r="H134" s="63"/>
    </row>
    <row r="135" spans="2:14" ht="12">
      <c r="B135" s="2" t="s">
        <v>76</v>
      </c>
      <c r="F135" s="15" t="s">
        <v>77</v>
      </c>
      <c r="G135" s="15" t="s">
        <v>78</v>
      </c>
      <c r="H135" s="8"/>
      <c r="I135" s="15"/>
      <c r="M135" s="2" t="s">
        <v>79</v>
      </c>
      <c r="N135" s="64" t="s">
        <v>80</v>
      </c>
    </row>
    <row r="136" spans="2:14">
      <c r="B136" s="2" t="s">
        <v>81</v>
      </c>
      <c r="C136" s="65"/>
      <c r="D136" s="4"/>
      <c r="F136" s="4">
        <v>5600</v>
      </c>
      <c r="G136" s="4">
        <v>136000</v>
      </c>
      <c r="I136" s="4"/>
      <c r="M136" s="4">
        <v>60000</v>
      </c>
      <c r="N136" s="54">
        <v>270000</v>
      </c>
    </row>
    <row r="137" spans="2:14">
      <c r="B137" s="2" t="s">
        <v>60</v>
      </c>
      <c r="F137" s="4">
        <v>70000</v>
      </c>
      <c r="G137" s="4">
        <v>1278516</v>
      </c>
      <c r="I137" s="4"/>
      <c r="M137" s="4">
        <f>8.6*M136</f>
        <v>516000</v>
      </c>
      <c r="N137" s="54">
        <v>1000000</v>
      </c>
    </row>
    <row r="138" spans="2:14">
      <c r="B138" s="2" t="s">
        <v>62</v>
      </c>
      <c r="F138" s="4">
        <v>2464</v>
      </c>
      <c r="G138" s="4">
        <v>19360</v>
      </c>
      <c r="I138" s="4"/>
      <c r="M138" s="4">
        <f>0.27*M136</f>
        <v>16200.000000000002</v>
      </c>
      <c r="N138" s="54">
        <v>68250</v>
      </c>
    </row>
    <row r="139" spans="2:14">
      <c r="B139" s="2" t="s">
        <v>82</v>
      </c>
      <c r="F139" s="4"/>
      <c r="G139" s="4"/>
      <c r="I139" s="4"/>
      <c r="M139" s="4"/>
    </row>
    <row r="140" spans="2:14">
      <c r="B140" s="2" t="s">
        <v>60</v>
      </c>
      <c r="F140" s="4">
        <f>+SUM($F137:F137)</f>
        <v>70000</v>
      </c>
      <c r="G140" s="4">
        <f>+SUM($F137:G137)</f>
        <v>1348516</v>
      </c>
      <c r="H140" s="53">
        <f>+SUM($F137:H137)</f>
        <v>1348516</v>
      </c>
      <c r="I140" s="4"/>
      <c r="M140" s="4">
        <f>+SUM($F137:M137)</f>
        <v>1864516</v>
      </c>
    </row>
    <row r="141" spans="2:14">
      <c r="B141" s="2" t="s">
        <v>62</v>
      </c>
      <c r="F141" s="4">
        <f>+SUM($F138:F138)</f>
        <v>2464</v>
      </c>
      <c r="G141" s="4">
        <f>+SUM($F138:G138)</f>
        <v>21824</v>
      </c>
      <c r="H141" s="53">
        <f>+SUM($F138:H138)</f>
        <v>21824</v>
      </c>
      <c r="I141" s="4"/>
      <c r="M141" s="4">
        <f>+SUM($F138:M138)</f>
        <v>38024</v>
      </c>
    </row>
    <row r="143" spans="2:14">
      <c r="C143" s="2" t="s">
        <v>83</v>
      </c>
    </row>
    <row r="144" spans="2:14">
      <c r="C144" s="2" t="s">
        <v>73</v>
      </c>
      <c r="F144" s="55">
        <f t="shared" ref="F144:L145" si="26">+F123+F140</f>
        <v>-1586529</v>
      </c>
      <c r="G144" s="55">
        <f t="shared" si="26"/>
        <v>-1012701</v>
      </c>
      <c r="H144" s="56">
        <f t="shared" si="26"/>
        <v>-1359127</v>
      </c>
      <c r="I144" s="55">
        <f t="shared" si="26"/>
        <v>-2707643</v>
      </c>
      <c r="J144" s="55">
        <f t="shared" si="26"/>
        <v>-3081443</v>
      </c>
      <c r="K144" s="55">
        <f t="shared" si="26"/>
        <v>-3181443</v>
      </c>
      <c r="L144" s="55">
        <f t="shared" si="26"/>
        <v>-3181443</v>
      </c>
      <c r="M144" s="55">
        <f>+M123+M140</f>
        <v>-1316927</v>
      </c>
      <c r="N144" s="61">
        <v>-3181443</v>
      </c>
    </row>
    <row r="145" spans="3:14">
      <c r="C145" s="2" t="s">
        <v>74</v>
      </c>
      <c r="F145" s="55">
        <f t="shared" si="26"/>
        <v>-52133</v>
      </c>
      <c r="G145" s="55">
        <f t="shared" si="26"/>
        <v>-71088</v>
      </c>
      <c r="H145" s="56">
        <f t="shared" si="26"/>
        <v>-74385</v>
      </c>
      <c r="I145" s="55">
        <f t="shared" si="26"/>
        <v>-96209</v>
      </c>
      <c r="J145" s="55">
        <f t="shared" si="26"/>
        <v>-96209</v>
      </c>
      <c r="K145" s="55">
        <f t="shared" si="26"/>
        <v>-96209</v>
      </c>
      <c r="L145" s="55">
        <f t="shared" si="26"/>
        <v>-96209</v>
      </c>
      <c r="M145" s="55">
        <f>+M124+M141</f>
        <v>-58185</v>
      </c>
      <c r="N145" s="61">
        <v>-96209</v>
      </c>
    </row>
    <row r="148" spans="3:14">
      <c r="C148" s="2" t="s">
        <v>84</v>
      </c>
      <c r="G148" s="55"/>
    </row>
    <row r="149" spans="3:14">
      <c r="C149" s="2" t="s">
        <v>85</v>
      </c>
      <c r="E149" s="2" t="s">
        <v>86</v>
      </c>
      <c r="G149" s="55" t="e">
        <f>+D29+G140-G29</f>
        <v>#VALUE!</v>
      </c>
    </row>
    <row r="150" spans="3:14">
      <c r="C150" s="2" t="s">
        <v>87</v>
      </c>
      <c r="G150" s="55" t="e">
        <f>+D28+G141-G28</f>
        <v>#VALUE!</v>
      </c>
    </row>
    <row r="152" spans="3:14">
      <c r="C152" s="2" t="s">
        <v>88</v>
      </c>
      <c r="D152" s="2" t="s">
        <v>85</v>
      </c>
      <c r="G152" s="1" t="e">
        <f>+G149*0.112</f>
        <v>#VALUE!</v>
      </c>
    </row>
    <row r="153" spans="3:14">
      <c r="D153" s="2" t="s">
        <v>87</v>
      </c>
      <c r="G153" s="1" t="e">
        <f>+G150*0.71</f>
        <v>#VALUE!</v>
      </c>
    </row>
    <row r="154" spans="3:14">
      <c r="G154" s="3" t="e">
        <f>+G153+G152</f>
        <v>#VALUE!</v>
      </c>
    </row>
    <row r="164" spans="2:14">
      <c r="B164" s="2" t="s">
        <v>89</v>
      </c>
      <c r="C164" s="55">
        <f t="shared" ref="C164:H165" si="27">+C74</f>
        <v>3672.8404255319147</v>
      </c>
      <c r="D164" s="55" t="e">
        <f t="shared" si="27"/>
        <v>#VALUE!</v>
      </c>
      <c r="E164" s="55" t="e">
        <f t="shared" si="27"/>
        <v>#VALUE!</v>
      </c>
      <c r="F164" s="55" t="e">
        <f t="shared" si="27"/>
        <v>#VALUE!</v>
      </c>
      <c r="G164" s="55" t="e">
        <f t="shared" si="27"/>
        <v>#VALUE!</v>
      </c>
      <c r="H164" s="56" t="e">
        <f t="shared" si="27"/>
        <v>#VALUE!</v>
      </c>
    </row>
    <row r="165" spans="2:14">
      <c r="B165" s="2" t="s">
        <v>90</v>
      </c>
      <c r="C165" s="55">
        <f t="shared" si="27"/>
        <v>5261.0912408759123</v>
      </c>
      <c r="D165" s="55" t="e">
        <f t="shared" si="27"/>
        <v>#VALUE!</v>
      </c>
      <c r="E165" s="55" t="e">
        <f t="shared" si="27"/>
        <v>#REF!</v>
      </c>
      <c r="F165" s="55" t="e">
        <f t="shared" si="27"/>
        <v>#REF!</v>
      </c>
      <c r="G165" s="55" t="e">
        <f t="shared" si="27"/>
        <v>#VALUE!</v>
      </c>
      <c r="H165" s="56" t="e">
        <f t="shared" si="27"/>
        <v>#VALUE!</v>
      </c>
    </row>
    <row r="166" spans="2:14">
      <c r="B166" s="2" t="s">
        <v>50</v>
      </c>
      <c r="C166" s="2">
        <f t="shared" ref="C166:H169" si="28">+C80</f>
        <v>0</v>
      </c>
      <c r="D166" s="2">
        <f t="shared" si="28"/>
        <v>0</v>
      </c>
      <c r="E166" s="2">
        <f t="shared" si="28"/>
        <v>0</v>
      </c>
      <c r="F166" s="2">
        <f t="shared" si="28"/>
        <v>0</v>
      </c>
      <c r="G166" s="2">
        <f t="shared" si="28"/>
        <v>0</v>
      </c>
      <c r="H166" s="6">
        <f t="shared" si="28"/>
        <v>0</v>
      </c>
    </row>
    <row r="167" spans="2:14">
      <c r="B167" s="2" t="s">
        <v>51</v>
      </c>
      <c r="C167" s="2">
        <f t="shared" si="28"/>
        <v>0</v>
      </c>
      <c r="D167" s="2">
        <f t="shared" si="28"/>
        <v>0</v>
      </c>
      <c r="E167" s="2">
        <f t="shared" si="28"/>
        <v>40</v>
      </c>
      <c r="F167" s="2">
        <f t="shared" si="28"/>
        <v>40</v>
      </c>
      <c r="G167" s="2">
        <f t="shared" si="28"/>
        <v>40</v>
      </c>
      <c r="H167" s="6">
        <f t="shared" si="28"/>
        <v>40</v>
      </c>
    </row>
    <row r="168" spans="2:14">
      <c r="B168" s="2" t="s">
        <v>52</v>
      </c>
      <c r="C168" s="2">
        <f t="shared" si="28"/>
        <v>0</v>
      </c>
      <c r="D168" s="2">
        <f t="shared" si="28"/>
        <v>0</v>
      </c>
      <c r="E168" s="2">
        <f t="shared" si="28"/>
        <v>87</v>
      </c>
      <c r="F168" s="2">
        <f t="shared" si="28"/>
        <v>87</v>
      </c>
      <c r="G168" s="2">
        <f t="shared" si="28"/>
        <v>87</v>
      </c>
      <c r="H168" s="6">
        <f t="shared" si="28"/>
        <v>87</v>
      </c>
    </row>
    <row r="169" spans="2:14">
      <c r="B169" s="2" t="s">
        <v>53</v>
      </c>
      <c r="C169" s="2">
        <f t="shared" si="28"/>
        <v>0</v>
      </c>
      <c r="D169" s="2">
        <f t="shared" si="28"/>
        <v>0</v>
      </c>
      <c r="E169" s="2">
        <f t="shared" si="28"/>
        <v>9129</v>
      </c>
      <c r="F169" s="2">
        <f t="shared" si="28"/>
        <v>9129</v>
      </c>
      <c r="G169" s="2">
        <f t="shared" si="28"/>
        <v>9129</v>
      </c>
      <c r="H169" s="6">
        <f t="shared" si="28"/>
        <v>9129</v>
      </c>
    </row>
    <row r="170" spans="2:14">
      <c r="B170" s="2" t="s">
        <v>48</v>
      </c>
      <c r="C170" s="55">
        <f t="shared" ref="C170:H170" si="29">+SUM(C165:C169)</f>
        <v>5261.0912408759123</v>
      </c>
      <c r="D170" s="55" t="e">
        <f t="shared" si="29"/>
        <v>#VALUE!</v>
      </c>
      <c r="E170" s="55" t="e">
        <f t="shared" si="29"/>
        <v>#REF!</v>
      </c>
      <c r="F170" s="55" t="e">
        <f t="shared" si="29"/>
        <v>#REF!</v>
      </c>
      <c r="G170" s="55" t="e">
        <f t="shared" si="29"/>
        <v>#VALUE!</v>
      </c>
      <c r="H170" s="56" t="e">
        <f t="shared" si="29"/>
        <v>#VALUE!</v>
      </c>
    </row>
    <row r="175" spans="2:14" ht="12">
      <c r="B175" s="66" t="str">
        <f>+B20</f>
        <v>Main Campus:</v>
      </c>
      <c r="N175" s="67" t="s">
        <v>91</v>
      </c>
    </row>
    <row r="176" spans="2:14" ht="12">
      <c r="C176" s="16" t="s">
        <v>2</v>
      </c>
      <c r="D176" s="16" t="s">
        <v>3</v>
      </c>
      <c r="E176" s="17" t="s">
        <v>4</v>
      </c>
      <c r="F176" s="17" t="s">
        <v>5</v>
      </c>
      <c r="G176" s="17" t="s">
        <v>6</v>
      </c>
      <c r="H176" s="11" t="s">
        <v>7</v>
      </c>
      <c r="I176" s="10" t="s">
        <v>8</v>
      </c>
      <c r="J176" s="12" t="s">
        <v>9</v>
      </c>
      <c r="K176" s="12" t="s">
        <v>10</v>
      </c>
      <c r="L176" s="12" t="s">
        <v>11</v>
      </c>
      <c r="M176" s="68" t="s">
        <v>12</v>
      </c>
      <c r="N176" s="69" t="s">
        <v>13</v>
      </c>
    </row>
    <row r="177" spans="2:14" ht="12">
      <c r="M177" s="47"/>
      <c r="N177" s="67"/>
    </row>
    <row r="178" spans="2:14" ht="12">
      <c r="B178" s="2" t="str">
        <f t="shared" ref="B178:M181" si="30">+B23</f>
        <v>FTE's</v>
      </c>
      <c r="C178" s="22">
        <f t="shared" si="30"/>
        <v>3578</v>
      </c>
      <c r="D178" s="22">
        <f t="shared" si="30"/>
        <v>3504</v>
      </c>
      <c r="E178" s="22">
        <f t="shared" si="30"/>
        <v>3518.5</v>
      </c>
      <c r="F178" s="22">
        <f t="shared" si="30"/>
        <v>3747.5</v>
      </c>
      <c r="G178" s="22">
        <f t="shared" si="30"/>
        <v>4129</v>
      </c>
      <c r="H178" s="70">
        <f t="shared" si="30"/>
        <v>4688</v>
      </c>
      <c r="I178" s="22">
        <f t="shared" si="30"/>
        <v>4790</v>
      </c>
      <c r="J178" s="22">
        <f t="shared" si="30"/>
        <v>5173</v>
      </c>
      <c r="K178" s="22">
        <f t="shared" si="30"/>
        <v>5609</v>
      </c>
      <c r="L178" s="22">
        <f t="shared" si="30"/>
        <v>5732</v>
      </c>
      <c r="M178" s="71">
        <f t="shared" si="30"/>
        <v>6631</v>
      </c>
      <c r="N178" s="72">
        <v>6769</v>
      </c>
    </row>
    <row r="179" spans="2:14" ht="12">
      <c r="B179" s="2" t="str">
        <f t="shared" si="30"/>
        <v>State FT2</v>
      </c>
      <c r="C179" s="22">
        <f t="shared" si="30"/>
        <v>524112</v>
      </c>
      <c r="D179" s="22">
        <f t="shared" si="30"/>
        <v>512858</v>
      </c>
      <c r="E179" s="22">
        <f t="shared" si="30"/>
        <v>512858</v>
      </c>
      <c r="F179" s="22">
        <f t="shared" si="30"/>
        <v>517858</v>
      </c>
      <c r="G179" s="22">
        <f t="shared" si="30"/>
        <v>686674</v>
      </c>
      <c r="H179" s="70">
        <f t="shared" si="30"/>
        <v>686674</v>
      </c>
      <c r="I179" s="22">
        <f t="shared" si="30"/>
        <v>686674</v>
      </c>
      <c r="J179" s="22">
        <f t="shared" si="30"/>
        <v>693801</v>
      </c>
      <c r="K179" s="22">
        <f t="shared" si="30"/>
        <v>693801</v>
      </c>
      <c r="L179" s="22">
        <f t="shared" si="30"/>
        <v>693801</v>
      </c>
      <c r="M179" s="71">
        <f t="shared" si="30"/>
        <v>693801</v>
      </c>
      <c r="N179" s="72">
        <v>750534</v>
      </c>
    </row>
    <row r="180" spans="2:14" ht="12">
      <c r="B180" s="2" t="str">
        <f t="shared" si="30"/>
        <v>Corp FT2</v>
      </c>
      <c r="C180" s="22">
        <f t="shared" si="30"/>
        <v>470641</v>
      </c>
      <c r="D180" s="22">
        <f t="shared" si="30"/>
        <v>470641</v>
      </c>
      <c r="E180" s="22">
        <f t="shared" si="30"/>
        <v>470641</v>
      </c>
      <c r="F180" s="22">
        <f t="shared" si="30"/>
        <v>476268</v>
      </c>
      <c r="G180" s="22">
        <f t="shared" si="30"/>
        <v>476268</v>
      </c>
      <c r="H180" s="70">
        <f t="shared" si="30"/>
        <v>476268</v>
      </c>
      <c r="I180" s="22">
        <f t="shared" si="30"/>
        <v>476268</v>
      </c>
      <c r="J180" s="22">
        <f t="shared" si="30"/>
        <v>476268</v>
      </c>
      <c r="K180" s="22">
        <f t="shared" si="30"/>
        <v>476269</v>
      </c>
      <c r="L180" s="22">
        <f t="shared" si="30"/>
        <v>476270</v>
      </c>
      <c r="M180" s="71">
        <f t="shared" si="30"/>
        <v>476271</v>
      </c>
      <c r="N180" s="72">
        <v>742271</v>
      </c>
    </row>
    <row r="181" spans="2:14" ht="12">
      <c r="B181" s="2" t="str">
        <f t="shared" si="30"/>
        <v>Total FT2</v>
      </c>
      <c r="C181" s="29">
        <f t="shared" si="30"/>
        <v>994753</v>
      </c>
      <c r="D181" s="29">
        <f t="shared" si="30"/>
        <v>983499</v>
      </c>
      <c r="E181" s="29">
        <f t="shared" si="30"/>
        <v>983499</v>
      </c>
      <c r="F181" s="29">
        <f t="shared" si="30"/>
        <v>994126</v>
      </c>
      <c r="G181" s="29">
        <f t="shared" si="30"/>
        <v>1162942</v>
      </c>
      <c r="H181" s="45">
        <f t="shared" si="30"/>
        <v>1162942</v>
      </c>
      <c r="I181" s="29">
        <f t="shared" si="30"/>
        <v>1162942</v>
      </c>
      <c r="J181" s="29">
        <f t="shared" si="30"/>
        <v>1170069</v>
      </c>
      <c r="K181" s="29">
        <f t="shared" si="30"/>
        <v>1170070</v>
      </c>
      <c r="L181" s="29">
        <f t="shared" si="30"/>
        <v>1170071</v>
      </c>
      <c r="M181" s="73">
        <f t="shared" si="30"/>
        <v>1170072</v>
      </c>
      <c r="N181" s="74">
        <v>1492805</v>
      </c>
    </row>
    <row r="182" spans="2:14" ht="12">
      <c r="C182" s="18"/>
      <c r="D182" s="18"/>
      <c r="E182" s="18"/>
      <c r="F182" s="18"/>
      <c r="G182" s="18"/>
      <c r="H182" s="75"/>
      <c r="I182" s="18"/>
      <c r="J182" s="18"/>
      <c r="K182" s="18"/>
      <c r="L182" s="18"/>
      <c r="M182" s="76"/>
      <c r="N182" s="77"/>
    </row>
    <row r="183" spans="2:14">
      <c r="B183" s="2" t="str">
        <f t="shared" ref="B183:M187" si="31">+B28</f>
        <v>Natural Gas Usage Therms</v>
      </c>
      <c r="C183" s="34">
        <f t="shared" si="31"/>
        <v>525450</v>
      </c>
      <c r="D183" s="34" t="e">
        <f t="shared" si="31"/>
        <v>#VALUE!</v>
      </c>
      <c r="E183" s="34" t="e">
        <f t="shared" si="31"/>
        <v>#VALUE!</v>
      </c>
      <c r="F183" s="34" t="e">
        <f t="shared" si="31"/>
        <v>#VALUE!</v>
      </c>
      <c r="G183" s="34" t="e">
        <f t="shared" si="31"/>
        <v>#VALUE!</v>
      </c>
      <c r="H183" s="78" t="e">
        <f t="shared" si="31"/>
        <v>#VALUE!</v>
      </c>
      <c r="I183" s="34" t="e">
        <f t="shared" si="31"/>
        <v>#VALUE!</v>
      </c>
      <c r="J183" s="34" t="e">
        <f t="shared" si="31"/>
        <v>#VALUE!</v>
      </c>
      <c r="K183" s="34">
        <f t="shared" si="31"/>
        <v>485191</v>
      </c>
      <c r="L183" s="34">
        <f t="shared" si="31"/>
        <v>432349</v>
      </c>
      <c r="M183" s="71">
        <f t="shared" si="31"/>
        <v>387603</v>
      </c>
      <c r="N183" s="72">
        <v>492530</v>
      </c>
    </row>
    <row r="184" spans="2:14">
      <c r="B184" s="2" t="str">
        <f t="shared" si="31"/>
        <v>Electricity Usage KWH</v>
      </c>
      <c r="C184" s="34">
        <f t="shared" si="31"/>
        <v>11887769</v>
      </c>
      <c r="D184" s="34" t="e">
        <f t="shared" si="31"/>
        <v>#VALUE!</v>
      </c>
      <c r="E184" s="34" t="e">
        <f t="shared" si="31"/>
        <v>#VALUE!</v>
      </c>
      <c r="F184" s="34" t="e">
        <f t="shared" si="31"/>
        <v>#VALUE!</v>
      </c>
      <c r="G184" s="34" t="e">
        <f t="shared" si="31"/>
        <v>#VALUE!</v>
      </c>
      <c r="H184" s="78" t="e">
        <f t="shared" si="31"/>
        <v>#VALUE!</v>
      </c>
      <c r="I184" s="34" t="e">
        <f t="shared" si="31"/>
        <v>#VALUE!</v>
      </c>
      <c r="J184" s="34" t="e">
        <f t="shared" si="31"/>
        <v>#VALUE!</v>
      </c>
      <c r="K184" s="34">
        <f t="shared" si="31"/>
        <v>10632553.689999999</v>
      </c>
      <c r="L184" s="34">
        <f t="shared" si="31"/>
        <v>10490511.676999999</v>
      </c>
      <c r="M184" s="71">
        <f t="shared" si="31"/>
        <v>11120514.513200002</v>
      </c>
      <c r="N184" s="72">
        <v>11875026.815999998</v>
      </c>
    </row>
    <row r="185" spans="2:14" ht="12">
      <c r="B185" s="2" t="str">
        <f t="shared" si="31"/>
        <v>REC's Owned</v>
      </c>
      <c r="C185" s="18">
        <f t="shared" si="31"/>
        <v>0</v>
      </c>
      <c r="D185" s="18">
        <f t="shared" si="31"/>
        <v>0</v>
      </c>
      <c r="E185" s="18">
        <f t="shared" si="31"/>
        <v>0</v>
      </c>
      <c r="F185" s="18">
        <f t="shared" si="31"/>
        <v>0</v>
      </c>
      <c r="G185" s="79">
        <f t="shared" si="31"/>
        <v>322.5</v>
      </c>
      <c r="H185" s="80">
        <f t="shared" si="31"/>
        <v>645</v>
      </c>
      <c r="I185" s="79">
        <f t="shared" si="31"/>
        <v>2079.9247999999998</v>
      </c>
      <c r="J185" s="79">
        <f t="shared" si="31"/>
        <v>1776.2008000000001</v>
      </c>
      <c r="K185" s="79">
        <f t="shared" si="31"/>
        <v>1854.7276899999999</v>
      </c>
      <c r="L185" s="79">
        <f t="shared" si="31"/>
        <v>1843.5836899999999</v>
      </c>
      <c r="M185" s="81">
        <f t="shared" si="31"/>
        <v>1882.087</v>
      </c>
      <c r="N185" s="82">
        <v>1837.3222599999999</v>
      </c>
    </row>
    <row r="186" spans="2:14" ht="12">
      <c r="B186" s="2" t="str">
        <f t="shared" si="31"/>
        <v>Therms/ft2 yr (Benchmark .45)</v>
      </c>
      <c r="C186" s="39">
        <f t="shared" si="31"/>
        <v>0.52822157862303509</v>
      </c>
      <c r="D186" s="39" t="e">
        <f t="shared" si="31"/>
        <v>#VALUE!</v>
      </c>
      <c r="E186" s="39" t="e">
        <f t="shared" si="31"/>
        <v>#VALUE!</v>
      </c>
      <c r="F186" s="39" t="e">
        <f t="shared" si="31"/>
        <v>#VALUE!</v>
      </c>
      <c r="G186" s="39" t="e">
        <f t="shared" si="31"/>
        <v>#VALUE!</v>
      </c>
      <c r="H186" s="49" t="e">
        <f t="shared" si="31"/>
        <v>#VALUE!</v>
      </c>
      <c r="I186" s="39" t="e">
        <f t="shared" si="31"/>
        <v>#VALUE!</v>
      </c>
      <c r="J186" s="39" t="e">
        <f t="shared" si="31"/>
        <v>#VALUE!</v>
      </c>
      <c r="K186" s="39">
        <f t="shared" si="31"/>
        <v>0.41466835317545103</v>
      </c>
      <c r="L186" s="39">
        <f t="shared" si="31"/>
        <v>0.36950663677674261</v>
      </c>
      <c r="M186" s="83">
        <f t="shared" si="31"/>
        <v>0.33126422989354504</v>
      </c>
      <c r="N186" s="84">
        <v>0.32993592599167337</v>
      </c>
    </row>
    <row r="187" spans="2:14" ht="12">
      <c r="B187" s="2" t="str">
        <f t="shared" si="31"/>
        <v>kwh/ft2 yr (Benchmark 12)</v>
      </c>
      <c r="C187" s="39">
        <f t="shared" si="31"/>
        <v>11.950473132526366</v>
      </c>
      <c r="D187" s="39" t="e">
        <f t="shared" si="31"/>
        <v>#VALUE!</v>
      </c>
      <c r="E187" s="39" t="e">
        <f t="shared" si="31"/>
        <v>#VALUE!</v>
      </c>
      <c r="F187" s="39" t="e">
        <f t="shared" si="31"/>
        <v>#VALUE!</v>
      </c>
      <c r="G187" s="39" t="e">
        <f t="shared" si="31"/>
        <v>#VALUE!</v>
      </c>
      <c r="H187" s="49" t="e">
        <f t="shared" si="31"/>
        <v>#VALUE!</v>
      </c>
      <c r="I187" s="39" t="e">
        <f t="shared" si="31"/>
        <v>#VALUE!</v>
      </c>
      <c r="J187" s="39" t="e">
        <f t="shared" si="31"/>
        <v>#VALUE!</v>
      </c>
      <c r="K187" s="39">
        <f t="shared" si="31"/>
        <v>9.087109053304502</v>
      </c>
      <c r="L187" s="39">
        <f t="shared" si="31"/>
        <v>8.96570522387103</v>
      </c>
      <c r="M187" s="83">
        <f t="shared" si="31"/>
        <v>9.5041283897059348</v>
      </c>
      <c r="N187" s="84">
        <v>7.9548412659389527</v>
      </c>
    </row>
    <row r="188" spans="2:14">
      <c r="B188" s="47" t="s">
        <v>92</v>
      </c>
      <c r="D188" s="85">
        <v>122.59871441689623</v>
      </c>
      <c r="E188" s="85">
        <v>103.87052341597796</v>
      </c>
      <c r="F188" s="85">
        <v>126.54155188246098</v>
      </c>
      <c r="G188" s="85">
        <v>131.472681359045</v>
      </c>
      <c r="H188" s="86">
        <v>135.96877869605143</v>
      </c>
      <c r="I188" s="85">
        <v>152.48852157943068</v>
      </c>
      <c r="J188" s="85">
        <v>181.29935720844813</v>
      </c>
      <c r="K188" s="85">
        <v>173.11065197428834</v>
      </c>
      <c r="L188" s="85">
        <v>168.84756657483931</v>
      </c>
      <c r="M188" s="87">
        <v>157</v>
      </c>
    </row>
    <row r="191" spans="2:14">
      <c r="B191" s="2" t="s">
        <v>93</v>
      </c>
      <c r="C191" s="4"/>
      <c r="D191" s="4"/>
      <c r="E191" s="1" t="e">
        <f>+SUMIF('[2]Electrical Invoices'!$F2:$BV2,'[1]energy &amp; water'!E20,'[2]Electrical Invoices'!$F120:$BV120)</f>
        <v>#VALUE!</v>
      </c>
      <c r="F191" s="1" t="e">
        <f>+SUMIF('[2]Electrical Invoices'!$F2:$BV2,'[1]energy &amp; water'!F20,'[2]Electrical Invoices'!$F120:$BV120)</f>
        <v>#VALUE!</v>
      </c>
      <c r="G191" s="1" t="e">
        <f>+SUMIF('[2]Electrical Invoices'!$F2:$BV2,'[1]energy &amp; water'!G20,'[2]Electrical Invoices'!$F120:$BV120)</f>
        <v>#VALUE!</v>
      </c>
      <c r="H191" s="88" t="e">
        <f>+SUMIF('[2]Electrical Invoices'!$F2:$BV2,'[1]energy &amp; water'!H20,'[2]Electrical Invoices'!$F120:$BV120)</f>
        <v>#VALUE!</v>
      </c>
      <c r="I191" s="1" t="e">
        <f>+SUMIF('[2]Electrical Invoices'!$F2:$EB2,'[1]energy &amp; water'!I20,'[2]Electrical Invoices'!$F120:$EB120)</f>
        <v>#VALUE!</v>
      </c>
      <c r="J191" s="1" t="e">
        <f>+SUMIF('[2]Electrical Invoices'!$F2:$EB2,'[1]energy &amp; water'!J20,'[2]Electrical Invoices'!$F120:$EB120)</f>
        <v>#VALUE!</v>
      </c>
      <c r="K191" s="1" t="e">
        <f>+SUMIF('[2]Electrical Invoices'!$F2:$EB2,'[1]energy &amp; water'!K20,'[2]Electrical Invoices'!$F120:$EB120)</f>
        <v>#VALUE!</v>
      </c>
      <c r="L191" s="1" t="e">
        <f>+SUMIF('[2]Electrical Invoices'!$F2:$EB2,'[1]energy &amp; water'!L20,'[2]Electrical Invoices'!$F120:$EB120)</f>
        <v>#VALUE!</v>
      </c>
      <c r="M191" s="1" t="e">
        <f>+SUMIF('[2]Electrical Invoices'!$F2:$EB2,'[1]energy &amp; water'!M20,'[2]Electrical Invoices'!$F120:$EB120)</f>
        <v>#VALUE!</v>
      </c>
    </row>
    <row r="192" spans="2:14">
      <c r="B192" s="2" t="s">
        <v>94</v>
      </c>
      <c r="E192" s="1" t="e">
        <f>+SUMIF('[2]Gas Invoices'!$N2:$DZ2,'[1]energy &amp; water'!E20,'[2]Gas Invoices'!$N7:$DZ7)</f>
        <v>#VALUE!</v>
      </c>
      <c r="F192" s="1" t="e">
        <f>+SUMIF('[2]Gas Invoices'!$N2:$DZ2,'[1]energy &amp; water'!F20,'[2]Gas Invoices'!$N7:$DZ7)</f>
        <v>#VALUE!</v>
      </c>
      <c r="G192" s="1" t="e">
        <f>+SUMIF('[2]Gas Invoices'!$N2:$DZ2,'[1]energy &amp; water'!G20,'[2]Gas Invoices'!$N7:$DZ7)</f>
        <v>#VALUE!</v>
      </c>
      <c r="H192" s="88" t="e">
        <f>+SUMIF('[2]Gas Invoices'!$N2:$DZ2,'[1]energy &amp; water'!H20,'[2]Gas Invoices'!$N7:$DZ7)</f>
        <v>#VALUE!</v>
      </c>
      <c r="I192" s="1" t="e">
        <f>+SUMIF('[2]Gas Invoices'!$N2:$DZ2,'[1]energy &amp; water'!I20,'[2]Gas Invoices'!$N7:$DZ7)</f>
        <v>#VALUE!</v>
      </c>
      <c r="J192" s="1" t="e">
        <f>+SUMIF('[2]Gas Invoices'!$N2:$DZ2,'[1]energy &amp; water'!J20,'[2]Gas Invoices'!$N7:$DZ7)</f>
        <v>#VALUE!</v>
      </c>
      <c r="K192" s="1" t="e">
        <f>+SUMIF('[2]Gas Invoices'!$N2:$DZ2,'[1]energy &amp; water'!K20,'[2]Gas Invoices'!$N7:$DZ7)</f>
        <v>#VALUE!</v>
      </c>
      <c r="L192" s="1" t="e">
        <f>+SUMIF('[2]Gas Invoices'!$N2:$DZ2,'[1]energy &amp; water'!L20,'[2]Gas Invoices'!$N7:$DZ7)</f>
        <v>#VALUE!</v>
      </c>
      <c r="M192" s="1" t="e">
        <f>+SUMIF('[2]Gas Invoices'!$N2:$EZ2,'[1]energy &amp; water'!M20,'[2]Gas Invoices'!$N7:$EZ7)</f>
        <v>#VALUE!</v>
      </c>
    </row>
    <row r="193" spans="2:14">
      <c r="B193" s="2" t="s">
        <v>95</v>
      </c>
      <c r="E193" s="1">
        <v>292670</v>
      </c>
      <c r="F193" s="1">
        <v>333905</v>
      </c>
      <c r="G193" s="1">
        <v>382647</v>
      </c>
      <c r="H193" s="88">
        <v>445940</v>
      </c>
      <c r="I193" s="1">
        <v>471525</v>
      </c>
      <c r="J193" s="1">
        <v>534446</v>
      </c>
      <c r="K193" s="1">
        <v>561285</v>
      </c>
      <c r="L193" s="1">
        <v>553568</v>
      </c>
      <c r="M193" s="1">
        <v>561727</v>
      </c>
    </row>
    <row r="194" spans="2:14">
      <c r="B194" s="2" t="s">
        <v>96</v>
      </c>
      <c r="E194" s="3" t="e">
        <f t="shared" ref="E194:L194" si="32">+SUM(E191:E193)</f>
        <v>#VALUE!</v>
      </c>
      <c r="F194" s="3" t="e">
        <f t="shared" si="32"/>
        <v>#VALUE!</v>
      </c>
      <c r="G194" s="3" t="e">
        <f t="shared" si="32"/>
        <v>#VALUE!</v>
      </c>
      <c r="H194" s="89" t="e">
        <f t="shared" si="32"/>
        <v>#VALUE!</v>
      </c>
      <c r="I194" s="3" t="e">
        <f t="shared" si="32"/>
        <v>#VALUE!</v>
      </c>
      <c r="J194" s="3" t="e">
        <f t="shared" si="32"/>
        <v>#VALUE!</v>
      </c>
      <c r="K194" s="3" t="e">
        <f t="shared" si="32"/>
        <v>#VALUE!</v>
      </c>
      <c r="L194" s="3" t="e">
        <f t="shared" si="32"/>
        <v>#VALUE!</v>
      </c>
      <c r="M194" s="3" t="e">
        <f>+SUM(M191:M193)</f>
        <v>#VALUE!</v>
      </c>
    </row>
    <row r="196" spans="2:14">
      <c r="B196" s="47" t="s">
        <v>97</v>
      </c>
      <c r="E196" s="90" t="e">
        <f>+E191/E184</f>
        <v>#VALUE!</v>
      </c>
      <c r="F196" s="90" t="e">
        <f t="shared" ref="F196:L196" si="33">+F191/F184</f>
        <v>#VALUE!</v>
      </c>
      <c r="G196" s="90" t="e">
        <f t="shared" si="33"/>
        <v>#VALUE!</v>
      </c>
      <c r="H196" s="91" t="e">
        <f t="shared" si="33"/>
        <v>#VALUE!</v>
      </c>
      <c r="I196" s="90" t="e">
        <f t="shared" si="33"/>
        <v>#VALUE!</v>
      </c>
      <c r="J196" s="90" t="e">
        <f t="shared" si="33"/>
        <v>#VALUE!</v>
      </c>
      <c r="K196" s="90" t="e">
        <f t="shared" si="33"/>
        <v>#VALUE!</v>
      </c>
      <c r="L196" s="90" t="e">
        <f t="shared" si="33"/>
        <v>#VALUE!</v>
      </c>
      <c r="M196" s="90" t="e">
        <f>+M191/M184</f>
        <v>#VALUE!</v>
      </c>
    </row>
    <row r="197" spans="2:14">
      <c r="B197" s="47" t="s">
        <v>98</v>
      </c>
      <c r="E197" s="90" t="e">
        <f>+E192/E183</f>
        <v>#VALUE!</v>
      </c>
      <c r="F197" s="90" t="e">
        <f t="shared" ref="F197:L197" si="34">+F192/F183</f>
        <v>#VALUE!</v>
      </c>
      <c r="G197" s="90" t="e">
        <f t="shared" si="34"/>
        <v>#VALUE!</v>
      </c>
      <c r="H197" s="91" t="e">
        <f t="shared" si="34"/>
        <v>#VALUE!</v>
      </c>
      <c r="I197" s="90" t="e">
        <f t="shared" si="34"/>
        <v>#VALUE!</v>
      </c>
      <c r="J197" s="90" t="e">
        <f t="shared" si="34"/>
        <v>#VALUE!</v>
      </c>
      <c r="K197" s="90" t="e">
        <f t="shared" si="34"/>
        <v>#VALUE!</v>
      </c>
      <c r="L197" s="90" t="e">
        <f t="shared" si="34"/>
        <v>#VALUE!</v>
      </c>
      <c r="M197" s="90" t="e">
        <f>+M192/M183</f>
        <v>#VALUE!</v>
      </c>
    </row>
    <row r="198" spans="2:14">
      <c r="B198" s="47" t="s">
        <v>99</v>
      </c>
      <c r="E198" s="4">
        <f>+E193/E188</f>
        <v>2817.6424877337226</v>
      </c>
      <c r="F198" s="4">
        <f t="shared" ref="F198:L198" si="35">+F193/F188</f>
        <v>2638.698475186633</v>
      </c>
      <c r="G198" s="4">
        <f t="shared" si="35"/>
        <v>2910.4677568339166</v>
      </c>
      <c r="H198" s="53">
        <f t="shared" si="35"/>
        <v>3279.723509151077</v>
      </c>
      <c r="I198" s="4">
        <f t="shared" si="35"/>
        <v>3092.1999578465611</v>
      </c>
      <c r="J198" s="4">
        <f t="shared" si="35"/>
        <v>2947.8648365284776</v>
      </c>
      <c r="K198" s="4">
        <f t="shared" si="35"/>
        <v>3242.3481374408211</v>
      </c>
      <c r="L198" s="4">
        <f t="shared" si="35"/>
        <v>3278.5074208021751</v>
      </c>
      <c r="M198" s="4">
        <f>+M193/M188</f>
        <v>3577.8789808917199</v>
      </c>
    </row>
    <row r="202" spans="2:14">
      <c r="B202" s="15"/>
      <c r="C202" s="16" t="s">
        <v>2</v>
      </c>
      <c r="D202" s="16" t="s">
        <v>3</v>
      </c>
      <c r="E202" s="17" t="s">
        <v>4</v>
      </c>
      <c r="F202" s="17" t="s">
        <v>5</v>
      </c>
      <c r="G202" s="17" t="s">
        <v>6</v>
      </c>
      <c r="H202" s="11" t="s">
        <v>7</v>
      </c>
      <c r="I202" s="10" t="s">
        <v>8</v>
      </c>
      <c r="J202" s="12" t="s">
        <v>9</v>
      </c>
      <c r="K202" s="12" t="s">
        <v>10</v>
      </c>
      <c r="L202" s="12" t="s">
        <v>11</v>
      </c>
      <c r="M202" s="13" t="s">
        <v>12</v>
      </c>
      <c r="N202" s="14" t="s">
        <v>13</v>
      </c>
    </row>
    <row r="203" spans="2:14">
      <c r="C203" s="92">
        <f>+(1/((C204/(1000*2204.6))))</f>
        <v>2739.7149736068513</v>
      </c>
      <c r="D203" s="92">
        <f>+(1/((D204/(1000*2204.6))))</f>
        <v>2944.6404132298026</v>
      </c>
      <c r="E203" s="92">
        <f>+(1/((E204/(1000*2204.6))))</f>
        <v>3182.7003085869605</v>
      </c>
      <c r="F203" s="85">
        <f t="shared" ref="F203:K203" si="36">+(1/((F204/(1000*2204.6))))</f>
        <v>3466.3522012578615</v>
      </c>
      <c r="G203" s="85">
        <f t="shared" si="36"/>
        <v>3439.313572542902</v>
      </c>
      <c r="H203" s="86">
        <f t="shared" si="36"/>
        <v>3834.086956521739</v>
      </c>
      <c r="I203" s="85">
        <f t="shared" si="36"/>
        <v>4954.1573033707864</v>
      </c>
      <c r="J203" s="85">
        <f t="shared" si="36"/>
        <v>5609.6692111959292</v>
      </c>
      <c r="K203" s="85">
        <f t="shared" si="36"/>
        <v>4954.1573033707864</v>
      </c>
      <c r="L203" s="85">
        <f>+(1/((L204/(1000*2204.6))))</f>
        <v>5162.9976580796256</v>
      </c>
      <c r="M203" s="92">
        <f>+(1/((M204/(1000*2204.6))))</f>
        <v>5162.9976580796256</v>
      </c>
      <c r="N203" s="93">
        <v>5162.9976580796256</v>
      </c>
    </row>
    <row r="204" spans="2:14" ht="12">
      <c r="B204" s="47" t="s">
        <v>100</v>
      </c>
      <c r="C204" s="94">
        <v>804.68224659794851</v>
      </c>
      <c r="D204" s="94">
        <f>+C204-56</f>
        <v>748.68224659794851</v>
      </c>
      <c r="E204" s="94">
        <f>+D204-56</f>
        <v>692.68224659794851</v>
      </c>
      <c r="F204" s="2">
        <v>636</v>
      </c>
      <c r="G204" s="2">
        <v>641</v>
      </c>
      <c r="H204" s="6">
        <v>575</v>
      </c>
      <c r="I204" s="2">
        <v>445</v>
      </c>
      <c r="J204" s="2">
        <v>393</v>
      </c>
      <c r="K204" s="2">
        <v>445</v>
      </c>
      <c r="L204" s="2">
        <v>427</v>
      </c>
      <c r="M204" s="95">
        <v>427</v>
      </c>
      <c r="N204" s="67">
        <v>427</v>
      </c>
    </row>
    <row r="205" spans="2:14">
      <c r="B205" s="47" t="s">
        <v>101</v>
      </c>
      <c r="C205" s="55">
        <f>+C36</f>
        <v>7133.548633328156</v>
      </c>
      <c r="D205" s="55" t="e">
        <f t="shared" ref="D205:M205" si="37">+D36</f>
        <v>#VALUE!</v>
      </c>
      <c r="E205" s="55" t="e">
        <f t="shared" si="37"/>
        <v>#VALUE!</v>
      </c>
      <c r="F205" s="55" t="e">
        <f t="shared" si="37"/>
        <v>#VALUE!</v>
      </c>
      <c r="G205" s="55" t="e">
        <f t="shared" si="37"/>
        <v>#VALUE!</v>
      </c>
      <c r="H205" s="56" t="e">
        <f t="shared" si="37"/>
        <v>#VALUE!</v>
      </c>
      <c r="I205" s="55" t="e">
        <f t="shared" si="37"/>
        <v>#VALUE!</v>
      </c>
      <c r="J205" s="55" t="e">
        <f t="shared" si="37"/>
        <v>#VALUE!</v>
      </c>
      <c r="K205" s="55">
        <f t="shared" si="37"/>
        <v>5784.3893228762226</v>
      </c>
      <c r="L205" s="55">
        <f t="shared" si="37"/>
        <v>5455.541857345861</v>
      </c>
      <c r="M205" s="55">
        <f t="shared" si="37"/>
        <v>5433.4069585370407</v>
      </c>
      <c r="N205" s="61">
        <v>6283.2362488895787</v>
      </c>
    </row>
    <row r="206" spans="2:14">
      <c r="B206" s="47" t="s">
        <v>102</v>
      </c>
      <c r="C206" s="55">
        <f>+C29/C203+C28/188-(C30*1000/C203)</f>
        <v>7134</v>
      </c>
      <c r="D206" s="55" t="e">
        <f>+D29/D203+D28/188-(D30*1000/D203)</f>
        <v>#VALUE!</v>
      </c>
      <c r="E206" s="55" t="e">
        <f>+E29/E203+E28/188-(E30*1000/E203)</f>
        <v>#VALUE!</v>
      </c>
      <c r="F206" s="55" t="e">
        <f t="shared" ref="F206:M206" si="38">+F29/F203+F28/188-(F30*1000/F203)</f>
        <v>#VALUE!</v>
      </c>
      <c r="G206" s="55" t="e">
        <f t="shared" si="38"/>
        <v>#VALUE!</v>
      </c>
      <c r="H206" s="56" t="e">
        <f t="shared" si="38"/>
        <v>#VALUE!</v>
      </c>
      <c r="I206" s="55" t="e">
        <f t="shared" si="38"/>
        <v>#VALUE!</v>
      </c>
      <c r="J206" s="55" t="e">
        <f t="shared" si="38"/>
        <v>#VALUE!</v>
      </c>
      <c r="K206" s="55">
        <f t="shared" si="38"/>
        <v>4352.6133021670357</v>
      </c>
      <c r="L206" s="55">
        <f>+L29/L203+L28/188-(L30*1000/L203)</f>
        <v>3974.5170071967791</v>
      </c>
      <c r="M206" s="55">
        <f t="shared" si="38"/>
        <v>3851.0715043826235</v>
      </c>
      <c r="N206" s="61">
        <v>4564.0025617071851</v>
      </c>
    </row>
    <row r="207" spans="2:14">
      <c r="B207" s="47" t="s">
        <v>103</v>
      </c>
      <c r="C207" s="55">
        <f>+(C29)/C203+C28/188</f>
        <v>7134</v>
      </c>
      <c r="D207" s="55" t="e">
        <f>+(D29)/D203+D28/188</f>
        <v>#VALUE!</v>
      </c>
      <c r="E207" s="55" t="e">
        <f>+(E29)/E203+E28/188</f>
        <v>#VALUE!</v>
      </c>
      <c r="F207" s="55" t="e">
        <f>+(F29)/F203+F28/188</f>
        <v>#VALUE!</v>
      </c>
      <c r="G207" s="55" t="e">
        <f>+(G29-'[2]Electrical Invoices'!EP68)/G203+G28/188-(G30*1000/G203)</f>
        <v>#VALUE!</v>
      </c>
      <c r="H207" s="56" t="e">
        <f>+(H29-'[2]Electrical Invoices'!EQ68)/H203+H28/188-(H30*1000/H203)</f>
        <v>#VALUE!</v>
      </c>
      <c r="I207" s="55" t="e">
        <f>+(I29-'[2]Electrical Invoices'!ER68)/I203+I28/188-(232*1000/I203)</f>
        <v>#VALUE!</v>
      </c>
      <c r="J207" s="55" t="e">
        <f>+(J29-'[2]Electrical Invoices'!ES68)/J203+J28/188</f>
        <v>#VALUE!</v>
      </c>
      <c r="K207" s="55">
        <f>+(K29-'[2]Electrical Invoices'!ET68)/K203+K28/188</f>
        <v>4352.6133021670357</v>
      </c>
      <c r="L207" s="55">
        <f>+(L29-'[2]Electrical Invoices'!EU68)/L203+L28/188</f>
        <v>3967.0594578136715</v>
      </c>
      <c r="M207" s="55">
        <f>+(M29-'[2]Electrical Invoices'!EV68)/M203+M28/188</f>
        <v>3863.763162279748</v>
      </c>
      <c r="N207" s="61">
        <v>4603.2621185428916</v>
      </c>
    </row>
    <row r="209" spans="1:16">
      <c r="A209" s="47" t="s">
        <v>104</v>
      </c>
      <c r="B209" s="47" t="s">
        <v>105</v>
      </c>
      <c r="C209" s="55">
        <f>+C28/188</f>
        <v>2794.9468085106382</v>
      </c>
      <c r="D209" s="55" t="e">
        <f t="shared" ref="D209:M209" si="39">+D28/188</f>
        <v>#VALUE!</v>
      </c>
      <c r="E209" s="55" t="e">
        <f t="shared" si="39"/>
        <v>#VALUE!</v>
      </c>
      <c r="F209" s="55" t="e">
        <f t="shared" si="39"/>
        <v>#VALUE!</v>
      </c>
      <c r="G209" s="55" t="e">
        <f t="shared" si="39"/>
        <v>#VALUE!</v>
      </c>
      <c r="H209" s="56" t="e">
        <f t="shared" si="39"/>
        <v>#VALUE!</v>
      </c>
      <c r="I209" s="55" t="e">
        <f t="shared" si="39"/>
        <v>#VALUE!</v>
      </c>
      <c r="J209" s="55" t="e">
        <f t="shared" si="39"/>
        <v>#VALUE!</v>
      </c>
      <c r="K209" s="55">
        <f t="shared" si="39"/>
        <v>2580.8031914893618</v>
      </c>
      <c r="L209" s="55">
        <f t="shared" si="39"/>
        <v>2299.7287234042551</v>
      </c>
      <c r="M209" s="55">
        <f t="shared" si="39"/>
        <v>2061.7180851063831</v>
      </c>
      <c r="N209" s="61">
        <v>2619.8404255319151</v>
      </c>
    </row>
    <row r="210" spans="1:16">
      <c r="A210" s="47" t="s">
        <v>106</v>
      </c>
      <c r="B210" s="47" t="s">
        <v>107</v>
      </c>
      <c r="C210" s="55">
        <f>+C206-C209</f>
        <v>4339.0531914893618</v>
      </c>
      <c r="D210" s="55" t="e">
        <f t="shared" ref="D210:M210" si="40">+D206-D209</f>
        <v>#VALUE!</v>
      </c>
      <c r="E210" s="55" t="e">
        <f t="shared" si="40"/>
        <v>#VALUE!</v>
      </c>
      <c r="F210" s="55" t="e">
        <f t="shared" si="40"/>
        <v>#VALUE!</v>
      </c>
      <c r="G210" s="55" t="e">
        <f t="shared" si="40"/>
        <v>#VALUE!</v>
      </c>
      <c r="H210" s="56" t="e">
        <f t="shared" si="40"/>
        <v>#VALUE!</v>
      </c>
      <c r="I210" s="55" t="e">
        <f t="shared" si="40"/>
        <v>#VALUE!</v>
      </c>
      <c r="J210" s="55" t="e">
        <f t="shared" si="40"/>
        <v>#VALUE!</v>
      </c>
      <c r="K210" s="55">
        <f t="shared" si="40"/>
        <v>1771.8101106776739</v>
      </c>
      <c r="L210" s="55">
        <f t="shared" si="40"/>
        <v>1674.788283792524</v>
      </c>
      <c r="M210" s="55">
        <f t="shared" si="40"/>
        <v>1789.3534192762404</v>
      </c>
      <c r="N210" s="61">
        <v>1944.16213617527</v>
      </c>
    </row>
    <row r="211" spans="1:16">
      <c r="B211" s="47" t="s">
        <v>105</v>
      </c>
      <c r="C211" s="59">
        <f>+C209/C206</f>
        <v>0.39177835835585062</v>
      </c>
      <c r="D211" s="59" t="e">
        <f t="shared" ref="D211:M211" si="41">+D209/D206</f>
        <v>#VALUE!</v>
      </c>
      <c r="E211" s="59" t="e">
        <f t="shared" si="41"/>
        <v>#VALUE!</v>
      </c>
      <c r="F211" s="59" t="e">
        <f t="shared" si="41"/>
        <v>#VALUE!</v>
      </c>
      <c r="G211" s="59" t="e">
        <f t="shared" si="41"/>
        <v>#VALUE!</v>
      </c>
      <c r="H211" s="96" t="e">
        <f t="shared" si="41"/>
        <v>#VALUE!</v>
      </c>
      <c r="I211" s="59" t="e">
        <f t="shared" si="41"/>
        <v>#VALUE!</v>
      </c>
      <c r="J211" s="59" t="e">
        <f t="shared" si="41"/>
        <v>#VALUE!</v>
      </c>
      <c r="K211" s="59">
        <f t="shared" si="41"/>
        <v>0.59293188076332382</v>
      </c>
      <c r="L211" s="59">
        <f t="shared" si="41"/>
        <v>0.57861841306505069</v>
      </c>
      <c r="M211" s="59">
        <f t="shared" si="41"/>
        <v>0.53536219277156816</v>
      </c>
      <c r="N211" s="97">
        <v>0.57402255807497893</v>
      </c>
    </row>
    <row r="212" spans="1:16">
      <c r="B212" s="47" t="s">
        <v>107</v>
      </c>
      <c r="C212" s="59">
        <f>+C210/C206</f>
        <v>0.60822164164414938</v>
      </c>
      <c r="D212" s="59" t="e">
        <f t="shared" ref="D212:M212" si="42">+D210/D206</f>
        <v>#VALUE!</v>
      </c>
      <c r="E212" s="59" t="e">
        <f t="shared" si="42"/>
        <v>#VALUE!</v>
      </c>
      <c r="F212" s="59" t="e">
        <f t="shared" si="42"/>
        <v>#VALUE!</v>
      </c>
      <c r="G212" s="59" t="e">
        <f t="shared" si="42"/>
        <v>#VALUE!</v>
      </c>
      <c r="H212" s="96" t="e">
        <f t="shared" si="42"/>
        <v>#VALUE!</v>
      </c>
      <c r="I212" s="59" t="e">
        <f t="shared" si="42"/>
        <v>#VALUE!</v>
      </c>
      <c r="J212" s="59" t="e">
        <f t="shared" si="42"/>
        <v>#VALUE!</v>
      </c>
      <c r="K212" s="59">
        <f t="shared" si="42"/>
        <v>0.40706811923667624</v>
      </c>
      <c r="L212" s="59">
        <f t="shared" si="42"/>
        <v>0.42138158693494926</v>
      </c>
      <c r="M212" s="59">
        <f t="shared" si="42"/>
        <v>0.46463780722843184</v>
      </c>
      <c r="N212" s="97">
        <v>0.42597744192502113</v>
      </c>
    </row>
    <row r="214" spans="1:16">
      <c r="B214" t="s">
        <v>108</v>
      </c>
      <c r="D214" s="4"/>
      <c r="E214" s="4"/>
      <c r="F214" s="4"/>
      <c r="G214" s="4"/>
      <c r="H214" s="53">
        <v>42384</v>
      </c>
      <c r="I214" s="4">
        <v>1757924.8</v>
      </c>
      <c r="J214" s="4">
        <v>1862081</v>
      </c>
      <c r="K214" s="4">
        <v>1854727.69</v>
      </c>
      <c r="L214" s="4">
        <v>1882087</v>
      </c>
      <c r="M214" s="4">
        <v>1816560</v>
      </c>
      <c r="N214" s="54">
        <v>1837322</v>
      </c>
    </row>
    <row r="215" spans="1:16">
      <c r="B215" s="47" t="s">
        <v>109</v>
      </c>
      <c r="H215" s="98">
        <f>+H214*3412/1000000</f>
        <v>144.61420799999999</v>
      </c>
      <c r="N215" s="54">
        <f>+N214*3412/1000000</f>
        <v>6268.9426640000001</v>
      </c>
    </row>
    <row r="218" spans="1:16" ht="12">
      <c r="B218" s="2" t="s">
        <v>110</v>
      </c>
      <c r="H218" s="56" t="e">
        <f>+H29+H39</f>
        <v>#VALUE!</v>
      </c>
      <c r="N218" s="99">
        <f>+N29+N39</f>
        <v>13351311.715999998</v>
      </c>
    </row>
    <row r="219" spans="1:16" ht="12">
      <c r="B219" s="2" t="s">
        <v>111</v>
      </c>
      <c r="H219" s="56" t="e">
        <f>+H28+H40</f>
        <v>#VALUE!</v>
      </c>
      <c r="N219" s="99">
        <f>+N28+N40</f>
        <v>634185.25</v>
      </c>
    </row>
    <row r="220" spans="1:16">
      <c r="H220" s="6" t="s">
        <v>112</v>
      </c>
      <c r="N220" s="7" t="s">
        <v>113</v>
      </c>
    </row>
    <row r="221" spans="1:16">
      <c r="B221" s="2" t="s">
        <v>114</v>
      </c>
      <c r="H221" s="6">
        <v>4</v>
      </c>
      <c r="I221" s="2" t="e">
        <f>+(H$218-H$214)*H221/100</f>
        <v>#VALUE!</v>
      </c>
      <c r="J221" s="100" t="e">
        <f>+I221/H$218</f>
        <v>#VALUE!</v>
      </c>
      <c r="N221" s="7">
        <v>5</v>
      </c>
      <c r="O221" s="2">
        <f>+(N$218-N$214)*N221/100</f>
        <v>575699.48579999991</v>
      </c>
      <c r="P221" s="100">
        <f>+O221/N$218</f>
        <v>4.3119320262000237E-2</v>
      </c>
    </row>
    <row r="222" spans="1:16">
      <c r="B222" s="2" t="s">
        <v>115</v>
      </c>
      <c r="H222" s="6">
        <v>5</v>
      </c>
      <c r="I222" s="2" t="e">
        <f t="shared" ref="I222:I228" si="43">+(H$218-H$214)*H222/100</f>
        <v>#VALUE!</v>
      </c>
      <c r="J222" s="100" t="e">
        <f t="shared" ref="J222:J228" si="44">+I222/H$218</f>
        <v>#VALUE!</v>
      </c>
      <c r="N222" s="7">
        <v>5</v>
      </c>
      <c r="O222" s="2">
        <f t="shared" ref="O222:O228" si="45">+(N$218-N$214)*N222/100</f>
        <v>575699.48579999991</v>
      </c>
      <c r="P222" s="100">
        <f t="shared" ref="P222:P228" si="46">+O222/N$218</f>
        <v>4.3119320262000237E-2</v>
      </c>
    </row>
    <row r="223" spans="1:16">
      <c r="B223" s="2" t="s">
        <v>116</v>
      </c>
      <c r="H223" s="6">
        <f>4+18</f>
        <v>22</v>
      </c>
      <c r="I223" s="2" t="e">
        <f t="shared" si="43"/>
        <v>#VALUE!</v>
      </c>
      <c r="J223" s="100" t="e">
        <f t="shared" si="44"/>
        <v>#VALUE!</v>
      </c>
      <c r="N223" s="7">
        <f>1+8</f>
        <v>9</v>
      </c>
      <c r="O223" s="2">
        <f t="shared" si="45"/>
        <v>1036259.0744399998</v>
      </c>
      <c r="P223" s="100">
        <f t="shared" si="46"/>
        <v>7.7614776471600422E-2</v>
      </c>
    </row>
    <row r="224" spans="1:16">
      <c r="B224" s="2" t="s">
        <v>117</v>
      </c>
      <c r="H224" s="6">
        <v>0</v>
      </c>
      <c r="I224" s="57" t="e">
        <f>+(H$218-H$214)*H224/100+H214</f>
        <v>#VALUE!</v>
      </c>
      <c r="J224" s="100" t="e">
        <f t="shared" si="44"/>
        <v>#VALUE!</v>
      </c>
      <c r="N224" s="7">
        <v>9</v>
      </c>
      <c r="O224" s="57">
        <f>+(N$218-N$214)*N224/100+N214</f>
        <v>2873581.0744399996</v>
      </c>
      <c r="P224" s="100">
        <f t="shared" si="46"/>
        <v>0.21522837123159563</v>
      </c>
    </row>
    <row r="225" spans="1:16">
      <c r="B225" s="2" t="s">
        <v>118</v>
      </c>
      <c r="H225" s="6">
        <v>6</v>
      </c>
      <c r="I225" s="2" t="e">
        <f t="shared" si="43"/>
        <v>#VALUE!</v>
      </c>
      <c r="J225" s="100" t="e">
        <f t="shared" si="44"/>
        <v>#VALUE!</v>
      </c>
      <c r="N225" s="7">
        <v>7</v>
      </c>
      <c r="O225" s="2">
        <f t="shared" si="45"/>
        <v>805979.28011999989</v>
      </c>
      <c r="P225" s="100">
        <f t="shared" si="46"/>
        <v>6.036704836680034E-2</v>
      </c>
    </row>
    <row r="226" spans="1:16">
      <c r="B226" s="2" t="s">
        <v>119</v>
      </c>
      <c r="H226" s="6">
        <v>0</v>
      </c>
      <c r="I226" s="2" t="e">
        <f t="shared" si="43"/>
        <v>#VALUE!</v>
      </c>
      <c r="J226" s="100" t="e">
        <f t="shared" si="44"/>
        <v>#VALUE!</v>
      </c>
      <c r="N226" s="7">
        <v>0</v>
      </c>
      <c r="O226" s="2">
        <f t="shared" si="45"/>
        <v>0</v>
      </c>
      <c r="P226" s="100">
        <f t="shared" si="46"/>
        <v>0</v>
      </c>
    </row>
    <row r="227" spans="1:16">
      <c r="B227" s="2" t="s">
        <v>120</v>
      </c>
      <c r="H227" s="6">
        <f>25+15+1</f>
        <v>41</v>
      </c>
      <c r="I227" s="2" t="e">
        <f t="shared" si="43"/>
        <v>#VALUE!</v>
      </c>
      <c r="J227" s="100" t="e">
        <f t="shared" si="44"/>
        <v>#VALUE!</v>
      </c>
      <c r="N227" s="7">
        <f>24+21</f>
        <v>45</v>
      </c>
      <c r="O227" s="2">
        <f t="shared" si="45"/>
        <v>5181295.3721999992</v>
      </c>
      <c r="P227" s="100">
        <f t="shared" si="46"/>
        <v>0.38807388235800216</v>
      </c>
    </row>
    <row r="228" spans="1:16">
      <c r="B228" s="2" t="s">
        <v>121</v>
      </c>
      <c r="H228" s="6">
        <v>22</v>
      </c>
      <c r="I228" s="2" t="e">
        <f t="shared" si="43"/>
        <v>#VALUE!</v>
      </c>
      <c r="J228" s="100" t="e">
        <f t="shared" si="44"/>
        <v>#VALUE!</v>
      </c>
      <c r="N228" s="7">
        <v>21</v>
      </c>
      <c r="O228" s="2">
        <f t="shared" si="45"/>
        <v>2417937.8403599993</v>
      </c>
      <c r="P228" s="100">
        <f t="shared" si="46"/>
        <v>0.18110114510040098</v>
      </c>
    </row>
    <row r="229" spans="1:16">
      <c r="B229" s="2" t="s">
        <v>122</v>
      </c>
    </row>
    <row r="232" spans="1:16">
      <c r="I232" s="101" t="s">
        <v>123</v>
      </c>
    </row>
    <row r="233" spans="1:16">
      <c r="A233" s="47" t="s">
        <v>124</v>
      </c>
      <c r="B233" s="47" t="s">
        <v>125</v>
      </c>
      <c r="I233" s="98">
        <v>66424</v>
      </c>
      <c r="J233" s="102"/>
      <c r="K233" s="102"/>
      <c r="L233" s="102"/>
      <c r="M233" s="102"/>
      <c r="N233" s="103">
        <v>42013</v>
      </c>
    </row>
    <row r="234" spans="1:16">
      <c r="A234" s="47" t="s">
        <v>126</v>
      </c>
      <c r="B234" s="47" t="s">
        <v>127</v>
      </c>
      <c r="I234" s="98">
        <v>35050</v>
      </c>
      <c r="J234" s="102"/>
      <c r="K234" s="102"/>
      <c r="L234" s="102"/>
      <c r="M234" s="102"/>
      <c r="N234" s="103">
        <v>29537</v>
      </c>
    </row>
    <row r="235" spans="1:16">
      <c r="A235" s="47"/>
      <c r="B235" s="47" t="s">
        <v>128</v>
      </c>
      <c r="I235" s="98">
        <f>+I233*748</f>
        <v>49685152</v>
      </c>
      <c r="J235" s="102"/>
      <c r="K235" s="102"/>
      <c r="L235" s="102"/>
      <c r="M235" s="102"/>
      <c r="N235" s="103">
        <f>+N233*748</f>
        <v>31425724</v>
      </c>
    </row>
    <row r="236" spans="1:16">
      <c r="A236" s="47"/>
      <c r="B236" s="47" t="s">
        <v>129</v>
      </c>
      <c r="I236" s="98">
        <f>+I234*748</f>
        <v>26217400</v>
      </c>
      <c r="J236" s="102"/>
      <c r="K236" s="102"/>
      <c r="L236" s="102"/>
      <c r="M236" s="102"/>
      <c r="N236" s="103">
        <f>+N234*748</f>
        <v>22093676</v>
      </c>
    </row>
    <row r="237" spans="1:16">
      <c r="A237" s="47" t="s">
        <v>130</v>
      </c>
      <c r="B237" s="47" t="s">
        <v>131</v>
      </c>
      <c r="I237" s="98">
        <f>+I236+I235</f>
        <v>75902552</v>
      </c>
      <c r="J237" s="102"/>
      <c r="K237" s="102"/>
      <c r="L237" s="102"/>
      <c r="M237" s="102"/>
      <c r="N237" s="103">
        <f>+N236+N235</f>
        <v>53519400</v>
      </c>
    </row>
    <row r="238" spans="1:16">
      <c r="I238" s="6"/>
    </row>
    <row r="239" spans="1:16">
      <c r="I239" s="6"/>
    </row>
    <row r="240" spans="1:16">
      <c r="I240" s="6"/>
    </row>
    <row r="241" spans="1:14">
      <c r="I241" s="6"/>
    </row>
    <row r="242" spans="1:14">
      <c r="I242" s="6"/>
      <c r="N242" s="103"/>
    </row>
    <row r="243" spans="1:14">
      <c r="A243" s="47"/>
      <c r="B243" s="47" t="s">
        <v>132</v>
      </c>
      <c r="I243" s="98">
        <v>33923</v>
      </c>
      <c r="N243" s="103">
        <v>28914</v>
      </c>
    </row>
    <row r="244" spans="1:14">
      <c r="B244" s="47" t="s">
        <v>133</v>
      </c>
      <c r="I244" s="98">
        <f>+I234</f>
        <v>35050</v>
      </c>
      <c r="N244" s="103">
        <f>+N234</f>
        <v>29537</v>
      </c>
    </row>
    <row r="245" spans="1:14">
      <c r="A245" s="47" t="s">
        <v>134</v>
      </c>
      <c r="B245" s="47" t="s">
        <v>135</v>
      </c>
      <c r="I245" s="98">
        <f>+(I244+I243)*748</f>
        <v>51591804</v>
      </c>
      <c r="N245" s="103">
        <f>+(N244+N243)*748</f>
        <v>43721348</v>
      </c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Raak</dc:creator>
  <cp:lastModifiedBy>Lacey Raak</cp:lastModifiedBy>
  <dcterms:created xsi:type="dcterms:W3CDTF">2016-06-24T04:18:13Z</dcterms:created>
  <dcterms:modified xsi:type="dcterms:W3CDTF">2016-06-24T04:18:42Z</dcterms:modified>
</cp:coreProperties>
</file>