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maryame.jebbari\Desktop\"/>
    </mc:Choice>
  </mc:AlternateContent>
  <xr:revisionPtr revIDLastSave="0" documentId="13_ncr:1_{A60DC56B-1522-4B3B-8109-F0BB87371F7A}" xr6:coauthVersionLast="45" xr6:coauthVersionMax="45" xr10:uidLastSave="{00000000-0000-0000-0000-000000000000}"/>
  <bookViews>
    <workbookView xWindow="-110" yWindow="-110" windowWidth="19420" windowHeight="10420" xr2:uid="{E6AE0E61-3971-4DFA-B4BA-3EA7E8427B46}"/>
  </bookViews>
  <sheets>
    <sheet name="Sheets Description" sheetId="8" r:id="rId1"/>
    <sheet name="Score Part 1" sheetId="1" r:id="rId2"/>
    <sheet name="Score Part 2" sheetId="2" r:id="rId3"/>
    <sheet name="Data Energy Campus" sheetId="3" r:id="rId4"/>
    <sheet name="Energy Experimental farm" sheetId="4" r:id="rId5"/>
    <sheet name="Renewbale Energy UM6P" sheetId="5" r:id="rId6"/>
    <sheet name="Purchased Electricity UM6P" sheetId="7" r:id="rId7"/>
    <sheet name="Energy Generators UM6P" sheetId="10" r:id="rId8"/>
    <sheet name="Total Degree Days" sheetId="11" r:id="rId9"/>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 i="2" l="1"/>
  <c r="E16" i="2" s="1"/>
  <c r="C16" i="2"/>
  <c r="D16" i="2"/>
  <c r="D15" i="2"/>
  <c r="C15" i="2"/>
  <c r="B15" i="2"/>
  <c r="E15" i="2" s="1"/>
  <c r="E13" i="1"/>
  <c r="C9" i="1"/>
  <c r="B9" i="1"/>
  <c r="B8" i="1"/>
  <c r="D7" i="1"/>
  <c r="B7" i="1"/>
  <c r="C7" i="1"/>
  <c r="D6" i="1"/>
  <c r="C6" i="1"/>
  <c r="B6" i="1"/>
  <c r="D5" i="2"/>
  <c r="C5" i="2"/>
  <c r="D5" i="10" l="1"/>
  <c r="E5" i="10"/>
  <c r="F5" i="10"/>
  <c r="D6" i="10"/>
  <c r="E6" i="10"/>
  <c r="F6" i="10"/>
  <c r="H6" i="10"/>
  <c r="D7" i="10"/>
  <c r="E7" i="10"/>
  <c r="H7" i="10" s="1"/>
  <c r="F7" i="10"/>
  <c r="F8" i="10"/>
  <c r="G8" i="10"/>
  <c r="H5" i="10" l="1"/>
  <c r="H8" i="10" s="1"/>
  <c r="D8" i="10"/>
  <c r="E8" i="10"/>
  <c r="C12" i="2" l="1"/>
  <c r="D12" i="2"/>
  <c r="C7" i="2"/>
  <c r="D7" i="2"/>
  <c r="E13" i="2"/>
  <c r="E14" i="2"/>
  <c r="D7" i="3"/>
  <c r="D10" i="2" s="1"/>
  <c r="C10" i="2"/>
  <c r="E8" i="2"/>
  <c r="E9" i="2"/>
  <c r="B5" i="3"/>
  <c r="B5" i="2" s="1"/>
  <c r="E5" i="2" s="1"/>
  <c r="B7" i="3"/>
  <c r="B12" i="2" s="1"/>
  <c r="E12" i="2" l="1"/>
  <c r="B10" i="2"/>
  <c r="E10" i="2" s="1"/>
  <c r="G5" i="7"/>
  <c r="G6" i="7"/>
  <c r="G7" i="7"/>
  <c r="G8" i="7"/>
  <c r="G9" i="7"/>
  <c r="G10" i="7"/>
  <c r="G11" i="7"/>
  <c r="G12" i="7"/>
  <c r="G13" i="7"/>
  <c r="G14" i="7"/>
  <c r="G15" i="7"/>
  <c r="G16" i="7"/>
  <c r="D17" i="7"/>
  <c r="E17" i="7"/>
  <c r="F17" i="7"/>
  <c r="G17" i="7"/>
  <c r="E14" i="1" l="1"/>
  <c r="E7" i="1"/>
  <c r="E8" i="1"/>
  <c r="E9" i="1"/>
  <c r="E6" i="1"/>
  <c r="B11" i="1"/>
  <c r="C11" i="1"/>
  <c r="C12" i="1"/>
  <c r="F11" i="5"/>
  <c r="H11" i="5" s="1"/>
  <c r="F10" i="5"/>
  <c r="G10" i="5" s="1"/>
  <c r="F9" i="5"/>
  <c r="G9" i="5" s="1"/>
  <c r="F8" i="5"/>
  <c r="H8" i="5" s="1"/>
  <c r="F7" i="5"/>
  <c r="G7" i="5" s="1"/>
  <c r="F6" i="5"/>
  <c r="H6" i="5" s="1"/>
  <c r="F5" i="5"/>
  <c r="H5" i="5" s="1"/>
  <c r="D5" i="3"/>
  <c r="D11" i="1" s="1"/>
  <c r="D4" i="3"/>
  <c r="B12" i="4"/>
  <c r="B11" i="4"/>
  <c r="E11" i="1" l="1"/>
  <c r="H9" i="5"/>
  <c r="G11" i="5"/>
  <c r="D12" i="1"/>
  <c r="E10" i="1"/>
  <c r="H7" i="5"/>
  <c r="G5" i="5"/>
  <c r="H10" i="5"/>
  <c r="G8" i="5"/>
  <c r="G6" i="5"/>
  <c r="H12" i="5" l="1"/>
  <c r="G12" i="5"/>
  <c r="G13" i="5" l="1"/>
  <c r="B4" i="3" s="1"/>
  <c r="B7" i="2" l="1"/>
  <c r="E7" i="2" s="1"/>
  <c r="B12" i="1"/>
  <c r="E12" i="1" s="1"/>
  <c r="E16" i="1" s="1"/>
</calcChain>
</file>

<file path=xl/sharedStrings.xml><?xml version="1.0" encoding="utf-8"?>
<sst xmlns="http://schemas.openxmlformats.org/spreadsheetml/2006/main" count="164" uniqueCount="125">
  <si>
    <t xml:space="preserve">A : Imported electricity, Performance year (KWH) </t>
  </si>
  <si>
    <t>B : Electricity from on-site, non-combustion facilities/Devices (Renewable Energy), Performance year (KWH)</t>
  </si>
  <si>
    <t>D : Imported steam, hot water, performance year (MMBtu)</t>
  </si>
  <si>
    <t>Total energy consumption (site energy), performance year (MMBtu)</t>
  </si>
  <si>
    <t>C : Electricity from on-site, non-combustion facilities/Devices (Renewable Energy), Performance year (KWH)</t>
  </si>
  <si>
    <t>E : Imported steam, hot water, performance year (MMBtu)</t>
  </si>
  <si>
    <t>B : Source-site ratio for grid Purchased electricity</t>
  </si>
  <si>
    <t xml:space="preserve">A : Imported electricity, Baseline year(KWH) </t>
  </si>
  <si>
    <t>C : Electricity from on-site, non-combustion facilities/Devices (Renewable Energy), Baseline year(KWH)</t>
  </si>
  <si>
    <t>E : Imported steam, hot water, Baseline year (MMBtu)</t>
  </si>
  <si>
    <t xml:space="preserve">GEP </t>
  </si>
  <si>
    <t>Experimental Farm</t>
  </si>
  <si>
    <t>UM6P</t>
  </si>
  <si>
    <t>Production Solar Enegry 2019</t>
  </si>
  <si>
    <t>Étiquettes de lignes</t>
  </si>
  <si>
    <t>Somme de KW/JOUR/ON GRID</t>
  </si>
  <si>
    <t>Somme de KW/JOUR/ OFF GRID</t>
  </si>
  <si>
    <t>Total Solar Energy Produced</t>
  </si>
  <si>
    <t>Total energy on Grid 2019 (KWH)</t>
  </si>
  <si>
    <t xml:space="preserve">Total energy off Grid 2019 (KWH) </t>
  </si>
  <si>
    <t xml:space="preserve">Total Energy Purchased </t>
  </si>
  <si>
    <t>Total Purchased energy 2018 (KWH)</t>
  </si>
  <si>
    <t>Total Purchased energy 2019 (KWH)</t>
  </si>
  <si>
    <t>Thermo electrical energy in the UM6P</t>
  </si>
  <si>
    <t xml:space="preserve">Localisation </t>
  </si>
  <si>
    <t>Nombre de ballon auxiliaire</t>
  </si>
  <si>
    <t>Capacite de ballon en L</t>
  </si>
  <si>
    <t>Puissance resistance d'appui / ballon ECS (KW)</t>
  </si>
  <si>
    <t>Puissance globale / localisation (KW)</t>
  </si>
  <si>
    <t>Energie consommee en periode froide (KWh)</t>
  </si>
  <si>
    <t>Energie consommee en periode chaude (KWh)</t>
  </si>
  <si>
    <t>HG1</t>
  </si>
  <si>
    <t>HG3</t>
  </si>
  <si>
    <t xml:space="preserve">Batiment sportif </t>
  </si>
  <si>
    <t>batiment d'enseignement</t>
  </si>
  <si>
    <t>Restaurant universite</t>
  </si>
  <si>
    <t>HG2</t>
  </si>
  <si>
    <t>HG4</t>
  </si>
  <si>
    <t>Total</t>
  </si>
  <si>
    <t>Total annuel</t>
  </si>
  <si>
    <t>Total Campus</t>
  </si>
  <si>
    <t xml:space="preserve">Campus EUI-Adjusted Floor Area (Square meter) </t>
  </si>
  <si>
    <t>C : Stationary fuels used on site to generate electricty and thermal energy (KWH)</t>
  </si>
  <si>
    <t xml:space="preserve">Part 1 : Site energy use per unit of floor area </t>
  </si>
  <si>
    <t>Inputs</t>
  </si>
  <si>
    <t>% Estimated</t>
  </si>
  <si>
    <t>HDD 19</t>
  </si>
  <si>
    <t>GMMX</t>
  </si>
  <si>
    <t>Station ID:</t>
  </si>
  <si>
    <t>Marrakech, MA (8.04W,31.61N)</t>
  </si>
  <si>
    <t>Station:</t>
  </si>
  <si>
    <t>Estimates were made to account for missing data: the "% Estimated" column shows how much each figure was affected (0% is best, 100% is worst)</t>
  </si>
  <si>
    <t>Accuracy:</t>
  </si>
  <si>
    <t>www.degreedays.net</t>
  </si>
  <si>
    <t>Source:</t>
  </si>
  <si>
    <t>Description:</t>
  </si>
  <si>
    <t xml:space="preserve">Solar energy generated on site, 2018 (KWH) </t>
  </si>
  <si>
    <t>Total Puchased Electricity from ONEE, 2018 (KWH)</t>
  </si>
  <si>
    <t>Dec</t>
  </si>
  <si>
    <t>Nov</t>
  </si>
  <si>
    <t>Oct</t>
  </si>
  <si>
    <t>Sep</t>
  </si>
  <si>
    <t>Aout</t>
  </si>
  <si>
    <t>Juil</t>
  </si>
  <si>
    <t>Juin</t>
  </si>
  <si>
    <t>Mai</t>
  </si>
  <si>
    <t>Avr</t>
  </si>
  <si>
    <t>Mars</t>
  </si>
  <si>
    <t>Fev</t>
  </si>
  <si>
    <t>Jan</t>
  </si>
  <si>
    <t>Moyenne</t>
  </si>
  <si>
    <t xml:space="preserve">Energie electrique achetée en KWH </t>
  </si>
  <si>
    <t xml:space="preserve">Solar energy generated on site, 2019 (KWH) </t>
  </si>
  <si>
    <t>Total Puchased Electricity from ONEE, 2019 (KWH)</t>
  </si>
  <si>
    <t>D : Stationary fuels used on site to generate electricty and thermal energy. Performance year (KWH)</t>
  </si>
  <si>
    <t>D : Stationary fuels used on site to generate electricty and thermal energy. Baseline year (KWH)</t>
  </si>
  <si>
    <t>Electricity produced from electrogen group, 2019 (KWH)</t>
  </si>
  <si>
    <t>Electricity produced from electrogen group, 2018 (KWH)</t>
  </si>
  <si>
    <t>Input data experimental farm</t>
  </si>
  <si>
    <t>Score Part 1</t>
  </si>
  <si>
    <t>Score Part 2</t>
  </si>
  <si>
    <t>Energy Experimental Farm</t>
  </si>
  <si>
    <t xml:space="preserve">This sheet details the input values required in the criterion. The inputs are specified in accordance with their nomination in the technical manual formula. Each value in the 5th column is the sum of the three values related to the three parts of the campus scope (UM6P, Experimental Farm and the Green Energy park). The values of the baseline year are related to 2018. The total gross floor area of the campus has not changed from 2018 to 2019. Concerning the imported electricity, we have considerated 66% of the total purchased energy that is resulted from primary sources. While the 34% remain value is added to the renewable energy on site because according to the national ministry of mine and energy, 34% of the energy distributed around the country results from clean and renewble energy (Solar, Eolen, Hydraulics). Find the info in the following link  https://www.mem.gov.ma/Pages/secteur.aspx?e=2. The Source-site ratio for grid Purchased electricity (B) chosen is 2,5 according to the STARS technical manual. </t>
  </si>
  <si>
    <t xml:space="preserve">This sheet details the input values required in the criterion. The inputs are specified in accordance with their nomination in the STARS technical manual formula and the information are related to the performance year 2019. Each value in the 5th column is the sum of the three values related to the three parts of the campus scope (UM6P, Experimental Farm and the Green Energy park). Imported electricity of UM6P is calculated based on the electrical billing during the three year period (2017-2019) detailed in the sheet "Purchased electricity" where only data of 2018 and 2019 is considerated. Renewable energy in campus is detailed in the sheet "Data Energy Campus".  Stationary fuels used on site to generate electricty concerns the electricity produced by the generators on site which the energy genereted is calculated in the sheet " ". The value is given in KWH so it has been multiplied by 0,0032 in the formula of The total energy comsumption. </t>
  </si>
  <si>
    <t>Data Energy Campus</t>
  </si>
  <si>
    <t xml:space="preserve"> This sheet is a sum up of the input data related to energy consumption in each part of the campus scope (UM6P, Experimental Farm and the Green Energy Park) during both the performance and the baseline year. The on site renewbale energy is genereted by photovoltaic panels in the campus. </t>
  </si>
  <si>
    <t xml:space="preserve">This sheet details the purchased energy according to the monthual billing of 2018 and 2019, in addition to the renewable energy produced on site by the photovoltaic panels in the farm. This energy used is split on two parts (On Grid and Off Grid energy). </t>
  </si>
  <si>
    <t>Renewbale energy UM6P</t>
  </si>
  <si>
    <t>Purchased electricity UM6P</t>
  </si>
  <si>
    <t>Total Degree days</t>
  </si>
  <si>
    <t xml:space="preserve">This sheet visualizes data of purchased energy consolidated after collecting electrical bills from the general administration of the university during the 3 year period 2017-2019. Only data of 2018 and 2019 is considerated in order to be in harmony with other available data (Gross Floor area, Renewbale energy ...)  </t>
  </si>
  <si>
    <t xml:space="preserve">This sheet describes the thermoelectrical energy generated by the photovoltaic panels that are installed on the roof of the detailed buildings. In the first step, we have calculated the electrical power of each installation multiplied by the functionning duration which split on two period (Heat and cold). During the heat period (4 months), the panels function 0,5 H/day. During the cold period (7 months), they function 5 hours/day. The panels don't function the month of August. </t>
  </si>
  <si>
    <t>OP 5 : Building Energy Efficiency</t>
  </si>
  <si>
    <t xml:space="preserve">This sheet describes the electrical energy generated by the generators on site. They were mainly used during electrical blackouts that took place in 2019 and 2018. In the first step, we have calculated the electrical power of each generator multiplied by the functionning duration wich is the duration of the blackouts, vacuum tests and annual maintenance. </t>
  </si>
  <si>
    <t>Total (KWh)</t>
  </si>
  <si>
    <t>GE de 1500L</t>
  </si>
  <si>
    <t>GE de 150L</t>
  </si>
  <si>
    <t>GE de 200L</t>
  </si>
  <si>
    <t>Entretien 4h/an</t>
  </si>
  <si>
    <t>testes à vide 15min/sem =13h/an</t>
  </si>
  <si>
    <t>Coupures electriques 6h</t>
  </si>
  <si>
    <t>Total (kWh)</t>
  </si>
  <si>
    <t>Quantité</t>
  </si>
  <si>
    <t>Energie generée (kWh)</t>
  </si>
  <si>
    <t>puissance (kW)</t>
  </si>
  <si>
    <t>Type par reservoir interne</t>
  </si>
  <si>
    <t>Energy generators UM6P</t>
  </si>
  <si>
    <t>Sheets description</t>
  </si>
  <si>
    <t>A : Gross floor Area of Building Space (Square Feet)</t>
  </si>
  <si>
    <t>Total Degree days Performance year (°F)</t>
  </si>
  <si>
    <t>B : Floor Area of Laboratory (Square Feet)</t>
  </si>
  <si>
    <t>C : Floor Area of healthcare space (Square Feet)</t>
  </si>
  <si>
    <t>D : Floor Area of other energy intensive space (Square Feet)</t>
  </si>
  <si>
    <t>Feb</t>
  </si>
  <si>
    <t>Mar</t>
  </si>
  <si>
    <t>Apr</t>
  </si>
  <si>
    <t>May</t>
  </si>
  <si>
    <t>Jun</t>
  </si>
  <si>
    <t>Jul</t>
  </si>
  <si>
    <t>Aug</t>
  </si>
  <si>
    <t>B : Gross floor Area of Building Space (Square feet), Baseline year</t>
  </si>
  <si>
    <t>D : Gross floor Area of Building Space (Square feet), Baseline year</t>
  </si>
  <si>
    <t>CDD 19</t>
  </si>
  <si>
    <t>Celsius-based 2-year-average (2018 to 2019) cooling and heating degree days with a base temperature of 19 C</t>
  </si>
  <si>
    <t>This sheet is generated from the online simulation https://www.degreedays.net/ generate of the average heating and cooling degree days of Benguerir City. It's Celsius-based 2-year-average (2018 to 2019) cooling and heating degree days with a base temperature of 19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</si>
</sst>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sz val="11"/>
      <color rgb="FF000000"/>
      <name val="Calibri"/>
      <family val="2"/>
    </font>
    <font>
      <sz val="11"/>
      <name val="Calibri"/>
      <family val="2"/>
      <scheme val="minor"/>
    </font>
    <font>
      <u/>
      <sz val="11"/>
      <color theme="10"/>
      <name val="Calibri"/>
      <family val="2"/>
      <scheme val="minor"/>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rgb="FFFFFFFF"/>
        <bgColor indexed="64"/>
      </patternFill>
    </fill>
    <fill>
      <patternFill patternType="solid">
        <fgColor theme="0"/>
        <bgColor indexed="64"/>
      </patternFill>
    </fill>
    <fill>
      <patternFill patternType="solid">
        <fgColor theme="9" tint="0.39997558519241921"/>
        <bgColor indexed="64"/>
      </patternFill>
    </fill>
    <fill>
      <patternFill patternType="solid">
        <fgColor rgb="FF00B0F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4" tint="0.79998168889431442"/>
        <bgColor theme="4" tint="0.79998168889431442"/>
      </patternFill>
    </fill>
    <fill>
      <patternFill patternType="solid">
        <fgColor theme="5"/>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7"/>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s>
  <borders count="6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s>
  <cellStyleXfs count="8">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8" fillId="0" borderId="0" applyNumberFormat="0" applyFill="0" applyBorder="0" applyAlignment="0" applyProtection="0"/>
  </cellStyleXfs>
  <cellXfs count="229">
    <xf numFmtId="0" fontId="0" fillId="0" borderId="0" xfId="0"/>
    <xf numFmtId="0" fontId="0" fillId="0" borderId="2" xfId="0" applyBorder="1" applyAlignment="1">
      <alignment horizontal="center" vertical="center"/>
    </xf>
    <xf numFmtId="0" fontId="0" fillId="0" borderId="6" xfId="0"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6" xfId="0" applyFont="1" applyBorder="1" applyAlignment="1">
      <alignment horizontal="center" vertical="center"/>
    </xf>
    <xf numFmtId="0" fontId="0" fillId="8" borderId="19" xfId="0" applyFill="1" applyBorder="1" applyAlignment="1">
      <alignment horizontal="left" vertical="center" wrapText="1"/>
    </xf>
    <xf numFmtId="0" fontId="0" fillId="8" borderId="21" xfId="0" applyFill="1" applyBorder="1" applyAlignment="1">
      <alignment horizontal="left" vertical="center" wrapText="1"/>
    </xf>
    <xf numFmtId="0" fontId="0" fillId="0" borderId="0" xfId="0" applyAlignment="1">
      <alignment horizontal="center"/>
    </xf>
    <xf numFmtId="0" fontId="0" fillId="8" borderId="24" xfId="0" applyFill="1" applyBorder="1" applyAlignment="1">
      <alignment horizontal="left" vertical="center" wrapText="1"/>
    </xf>
    <xf numFmtId="0" fontId="0" fillId="8" borderId="25" xfId="0" applyFill="1" applyBorder="1" applyAlignment="1">
      <alignment horizontal="left" vertical="center" wrapText="1"/>
    </xf>
    <xf numFmtId="0" fontId="0" fillId="8" borderId="26" xfId="0" applyFill="1" applyBorder="1" applyAlignment="1">
      <alignment horizontal="left" vertical="center" wrapText="1"/>
    </xf>
    <xf numFmtId="0" fontId="0" fillId="0" borderId="11" xfId="0" applyBorder="1"/>
    <xf numFmtId="0" fontId="0" fillId="0" borderId="11" xfId="0" applyBorder="1" applyAlignment="1">
      <alignment horizontal="center" vertical="center"/>
    </xf>
    <xf numFmtId="0" fontId="6" fillId="9" borderId="11" xfId="0" applyFont="1" applyFill="1" applyBorder="1" applyAlignment="1">
      <alignment horizontal="center" vertical="center" wrapText="1"/>
    </xf>
    <xf numFmtId="0" fontId="7" fillId="0" borderId="11" xfId="0" applyFont="1" applyBorder="1" applyAlignment="1">
      <alignment horizontal="center" vertical="center"/>
    </xf>
    <xf numFmtId="0" fontId="7" fillId="10" borderId="11" xfId="2" applyFont="1" applyFill="1" applyBorder="1" applyAlignment="1">
      <alignment horizontal="center" vertical="center"/>
    </xf>
    <xf numFmtId="0" fontId="0" fillId="0" borderId="1" xfId="0" applyBorder="1"/>
    <xf numFmtId="0" fontId="0" fillId="0" borderId="34" xfId="0" applyBorder="1"/>
    <xf numFmtId="0" fontId="0" fillId="0" borderId="2" xfId="0" applyBorder="1"/>
    <xf numFmtId="0" fontId="0" fillId="0" borderId="4" xfId="0" applyBorder="1"/>
    <xf numFmtId="0" fontId="6" fillId="9" borderId="3" xfId="0" applyFont="1" applyFill="1" applyBorder="1" applyAlignment="1">
      <alignment horizontal="center" vertical="center" wrapText="1"/>
    </xf>
    <xf numFmtId="0" fontId="7" fillId="0" borderId="3" xfId="0" applyFont="1" applyBorder="1" applyAlignment="1">
      <alignment horizontal="center" vertical="center"/>
    </xf>
    <xf numFmtId="0" fontId="7" fillId="10" borderId="3" xfId="2" applyFont="1" applyFill="1" applyBorder="1" applyAlignment="1">
      <alignment horizontal="center" vertical="center"/>
    </xf>
    <xf numFmtId="0" fontId="0" fillId="0" borderId="35" xfId="0" applyBorder="1"/>
    <xf numFmtId="0" fontId="0" fillId="0" borderId="6" xfId="0" applyBorder="1"/>
    <xf numFmtId="0" fontId="0" fillId="0" borderId="4" xfId="0" applyBorder="1" applyAlignment="1">
      <alignment horizontal="center" vertical="center"/>
    </xf>
    <xf numFmtId="0" fontId="0" fillId="0" borderId="1"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15" borderId="20" xfId="0" applyFont="1" applyFill="1" applyBorder="1"/>
    <xf numFmtId="17" fontId="5" fillId="0" borderId="40" xfId="0" applyNumberFormat="1" applyFont="1" applyBorder="1" applyAlignment="1">
      <alignment horizontal="center" vertical="center"/>
    </xf>
    <xf numFmtId="17" fontId="5" fillId="0" borderId="34" xfId="0" applyNumberFormat="1" applyFont="1" applyBorder="1" applyAlignment="1">
      <alignment horizontal="center" vertical="center"/>
    </xf>
    <xf numFmtId="17" fontId="5" fillId="0" borderId="2" xfId="0" applyNumberFormat="1" applyFont="1" applyBorder="1" applyAlignment="1">
      <alignment horizontal="center" vertical="center"/>
    </xf>
    <xf numFmtId="0" fontId="5" fillId="15" borderId="29" xfId="0" applyFont="1" applyFill="1" applyBorder="1"/>
    <xf numFmtId="0" fontId="0" fillId="0" borderId="41" xfId="0" applyBorder="1" applyAlignment="1">
      <alignment horizontal="center" vertical="center"/>
    </xf>
    <xf numFmtId="0" fontId="5" fillId="15" borderId="22" xfId="0" applyFont="1" applyFill="1" applyBorder="1"/>
    <xf numFmtId="0" fontId="0" fillId="0" borderId="42" xfId="0" applyBorder="1" applyAlignment="1">
      <alignment horizontal="center" vertical="center"/>
    </xf>
    <xf numFmtId="0" fontId="0" fillId="0" borderId="43" xfId="0" applyBorder="1" applyAlignment="1">
      <alignment horizontal="center"/>
    </xf>
    <xf numFmtId="0" fontId="0" fillId="0" borderId="44" xfId="0" applyBorder="1" applyAlignment="1">
      <alignment horizontal="center"/>
    </xf>
    <xf numFmtId="0" fontId="0" fillId="0" borderId="32" xfId="0" applyBorder="1"/>
    <xf numFmtId="0" fontId="0" fillId="0" borderId="46" xfId="0" applyBorder="1" applyAlignment="1">
      <alignment horizontal="center" vertical="center"/>
    </xf>
    <xf numFmtId="0" fontId="0" fillId="0" borderId="20" xfId="0" applyBorder="1"/>
    <xf numFmtId="0" fontId="0" fillId="0" borderId="22" xfId="0" applyBorder="1"/>
    <xf numFmtId="0" fontId="0" fillId="13" borderId="17" xfId="0" applyFill="1" applyBorder="1" applyAlignment="1">
      <alignment horizontal="center"/>
    </xf>
    <xf numFmtId="0" fontId="0" fillId="13" borderId="36" xfId="0" applyFill="1" applyBorder="1" applyAlignment="1">
      <alignment horizontal="center"/>
    </xf>
    <xf numFmtId="0" fontId="0" fillId="13" borderId="37" xfId="0" applyFill="1" applyBorder="1" applyAlignment="1">
      <alignment horizontal="center"/>
    </xf>
    <xf numFmtId="0" fontId="0" fillId="17" borderId="15" xfId="0" applyFill="1" applyBorder="1" applyAlignment="1">
      <alignment horizontal="center" vertical="center" wrapText="1"/>
    </xf>
    <xf numFmtId="0" fontId="0" fillId="17" borderId="9" xfId="0" applyFill="1" applyBorder="1" applyAlignment="1">
      <alignment horizontal="center" vertical="center" wrapText="1"/>
    </xf>
    <xf numFmtId="0" fontId="0" fillId="17" borderId="47" xfId="0" applyFill="1" applyBorder="1" applyAlignment="1">
      <alignment horizontal="center" vertical="center" wrapText="1"/>
    </xf>
    <xf numFmtId="0" fontId="0" fillId="17" borderId="16" xfId="0" applyFill="1" applyBorder="1" applyAlignment="1">
      <alignment horizontal="center" vertical="center" wrapText="1"/>
    </xf>
    <xf numFmtId="0" fontId="0" fillId="17" borderId="39" xfId="0" applyFill="1" applyBorder="1" applyAlignment="1">
      <alignment horizontal="center" vertical="center" wrapText="1"/>
    </xf>
    <xf numFmtId="0" fontId="0" fillId="17" borderId="10" xfId="0" applyFill="1" applyBorder="1" applyAlignment="1">
      <alignment horizontal="center" vertical="center" wrapText="1"/>
    </xf>
    <xf numFmtId="0" fontId="0" fillId="8" borderId="48" xfId="0" applyFill="1" applyBorder="1" applyAlignment="1">
      <alignment horizontal="center" vertical="center" wrapText="1"/>
    </xf>
    <xf numFmtId="0" fontId="0" fillId="0" borderId="49"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1" fillId="6" borderId="15" xfId="5" applyBorder="1" applyAlignment="1">
      <alignment horizontal="center" vertical="center" wrapText="1"/>
    </xf>
    <xf numFmtId="0" fontId="1" fillId="6" borderId="10" xfId="5" applyBorder="1" applyAlignment="1">
      <alignment horizontal="center" vertical="center" wrapText="1"/>
    </xf>
    <xf numFmtId="0" fontId="6" fillId="9" borderId="53" xfId="0" applyFont="1" applyFill="1" applyBorder="1" applyAlignment="1">
      <alignment horizontal="center" vertical="center" wrapText="1"/>
    </xf>
    <xf numFmtId="0" fontId="0" fillId="0" borderId="53" xfId="0" applyBorder="1" applyAlignment="1">
      <alignment horizontal="center" vertical="center"/>
    </xf>
    <xf numFmtId="0" fontId="0" fillId="0" borderId="29" xfId="0" applyBorder="1"/>
    <xf numFmtId="0" fontId="0" fillId="0" borderId="30" xfId="0" applyBorder="1"/>
    <xf numFmtId="0" fontId="0" fillId="0" borderId="7"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7" fillId="0" borderId="14" xfId="0" applyFont="1" applyBorder="1" applyAlignment="1">
      <alignment horizontal="center" vertical="center"/>
    </xf>
    <xf numFmtId="0" fontId="0" fillId="0" borderId="38" xfId="0" applyBorder="1" applyAlignment="1">
      <alignment horizontal="center" vertical="center"/>
    </xf>
    <xf numFmtId="0" fontId="0" fillId="0" borderId="56" xfId="0" applyBorder="1" applyAlignment="1">
      <alignment horizontal="center" vertical="center"/>
    </xf>
    <xf numFmtId="0" fontId="0" fillId="0" borderId="14" xfId="0" applyBorder="1" applyAlignment="1">
      <alignment horizontal="center" vertical="center"/>
    </xf>
    <xf numFmtId="2" fontId="0" fillId="18" borderId="13" xfId="0" applyNumberFormat="1" applyFill="1" applyBorder="1" applyAlignment="1">
      <alignment horizontal="center" vertical="center"/>
    </xf>
    <xf numFmtId="0" fontId="0" fillId="19" borderId="13" xfId="0" applyFill="1" applyBorder="1" applyAlignment="1">
      <alignment horizontal="center"/>
    </xf>
    <xf numFmtId="0" fontId="0" fillId="16" borderId="9" xfId="0" applyFill="1" applyBorder="1" applyAlignment="1">
      <alignment horizontal="center"/>
    </xf>
    <xf numFmtId="0" fontId="0" fillId="16" borderId="47" xfId="0" applyFill="1" applyBorder="1" applyAlignment="1">
      <alignment horizontal="center"/>
    </xf>
    <xf numFmtId="0" fontId="0" fillId="16" borderId="59" xfId="0" applyFill="1" applyBorder="1" applyAlignment="1">
      <alignment horizontal="center"/>
    </xf>
    <xf numFmtId="0" fontId="0" fillId="16" borderId="13" xfId="0" applyFill="1" applyBorder="1" applyAlignment="1">
      <alignment horizontal="center"/>
    </xf>
    <xf numFmtId="0" fontId="0" fillId="8" borderId="60" xfId="0" applyFill="1" applyBorder="1" applyAlignment="1">
      <alignment horizontal="left" vertical="center" wrapText="1"/>
    </xf>
    <xf numFmtId="0" fontId="0" fillId="16" borderId="17" xfId="0" applyFill="1" applyBorder="1" applyAlignment="1">
      <alignment horizontal="center"/>
    </xf>
    <xf numFmtId="0" fontId="0" fillId="16" borderId="36" xfId="0" applyFill="1" applyBorder="1" applyAlignment="1">
      <alignment horizontal="center"/>
    </xf>
    <xf numFmtId="0" fontId="0" fillId="16" borderId="52" xfId="0" applyFill="1" applyBorder="1" applyAlignment="1">
      <alignment horizontal="center"/>
    </xf>
    <xf numFmtId="0" fontId="0" fillId="16" borderId="32" xfId="0" applyFill="1" applyBorder="1" applyAlignment="1">
      <alignment horizontal="center"/>
    </xf>
    <xf numFmtId="0" fontId="7" fillId="0" borderId="1" xfId="0" applyFont="1" applyBorder="1" applyAlignment="1">
      <alignment horizontal="center" vertical="center"/>
    </xf>
    <xf numFmtId="0" fontId="7" fillId="0" borderId="34" xfId="0" applyFont="1" applyBorder="1" applyAlignment="1">
      <alignment horizontal="center" vertical="center"/>
    </xf>
    <xf numFmtId="0" fontId="7" fillId="10" borderId="5" xfId="1" applyFont="1" applyFill="1" applyBorder="1" applyAlignment="1">
      <alignment horizontal="center" vertical="center"/>
    </xf>
    <xf numFmtId="0" fontId="7" fillId="0" borderId="35" xfId="0" applyFont="1" applyBorder="1" applyAlignment="1">
      <alignment horizontal="center" vertical="center"/>
    </xf>
    <xf numFmtId="0" fontId="2" fillId="2" borderId="39" xfId="1" applyBorder="1"/>
    <xf numFmtId="0" fontId="2" fillId="2" borderId="9" xfId="1" applyBorder="1"/>
    <xf numFmtId="0" fontId="0" fillId="0" borderId="0" xfId="0" applyAlignment="1">
      <alignment vertical="center"/>
    </xf>
    <xf numFmtId="0" fontId="0" fillId="0" borderId="45" xfId="0" applyBorder="1" applyAlignment="1">
      <alignment vertical="center"/>
    </xf>
    <xf numFmtId="0" fontId="0" fillId="20" borderId="15" xfId="0" applyFill="1" applyBorder="1" applyAlignment="1">
      <alignment horizontal="center" vertical="center"/>
    </xf>
    <xf numFmtId="0" fontId="0" fillId="0" borderId="60" xfId="0" applyBorder="1" applyAlignment="1">
      <alignment horizontal="center" vertical="center"/>
    </xf>
    <xf numFmtId="0" fontId="0" fillId="0" borderId="60" xfId="0" applyBorder="1" applyAlignment="1">
      <alignment horizontal="left" vertical="center"/>
    </xf>
    <xf numFmtId="0" fontId="0" fillId="0" borderId="48" xfId="0" applyBorder="1" applyAlignment="1">
      <alignment vertical="center"/>
    </xf>
    <xf numFmtId="0" fontId="0" fillId="20" borderId="29" xfId="0" applyFill="1" applyBorder="1" applyAlignment="1">
      <alignment horizontal="center" vertical="center"/>
    </xf>
    <xf numFmtId="0" fontId="0" fillId="0" borderId="21" xfId="0" applyBorder="1" applyAlignment="1">
      <alignment horizontal="center" vertical="center"/>
    </xf>
    <xf numFmtId="0" fontId="0" fillId="0" borderId="21" xfId="0" applyBorder="1" applyAlignment="1">
      <alignment horizontal="left" vertical="center"/>
    </xf>
    <xf numFmtId="0" fontId="0" fillId="0" borderId="15" xfId="0" applyBorder="1" applyAlignment="1">
      <alignment horizontal="center" vertical="center"/>
    </xf>
    <xf numFmtId="0" fontId="0" fillId="0" borderId="32" xfId="0" applyBorder="1" applyAlignment="1">
      <alignment vertical="center"/>
    </xf>
    <xf numFmtId="0" fontId="0" fillId="20" borderId="31" xfId="0" applyFill="1" applyBorder="1" applyAlignment="1">
      <alignment horizontal="center" vertical="center"/>
    </xf>
    <xf numFmtId="0" fontId="0" fillId="0" borderId="19" xfId="0" applyBorder="1" applyAlignment="1">
      <alignment horizontal="left" vertical="center"/>
    </xf>
    <xf numFmtId="0" fontId="0" fillId="0" borderId="13" xfId="0" applyBorder="1" applyAlignment="1">
      <alignment vertical="center"/>
    </xf>
    <xf numFmtId="0" fontId="0" fillId="20" borderId="13" xfId="0" applyFill="1" applyBorder="1" applyAlignment="1">
      <alignment horizontal="center" vertical="center"/>
    </xf>
    <xf numFmtId="0" fontId="0" fillId="0" borderId="26" xfId="0" applyBorder="1" applyAlignment="1">
      <alignment horizontal="center" vertical="center"/>
    </xf>
    <xf numFmtId="0" fontId="0" fillId="0" borderId="0" xfId="0" applyAlignment="1">
      <alignment horizontal="center" vertical="center"/>
    </xf>
    <xf numFmtId="0" fontId="7" fillId="10" borderId="7" xfId="1" applyFont="1" applyFill="1" applyBorder="1" applyAlignment="1">
      <alignment horizontal="center" vertical="center"/>
    </xf>
    <xf numFmtId="0" fontId="7" fillId="10" borderId="54" xfId="1" applyFont="1" applyFill="1" applyBorder="1" applyAlignment="1">
      <alignment horizontal="center" vertical="center"/>
    </xf>
    <xf numFmtId="0" fontId="7" fillId="10" borderId="14" xfId="1" applyFont="1" applyFill="1" applyBorder="1" applyAlignment="1">
      <alignment horizontal="center" vertical="center"/>
    </xf>
    <xf numFmtId="0" fontId="7" fillId="0" borderId="38" xfId="0" applyFont="1" applyBorder="1" applyAlignment="1">
      <alignment horizontal="center" vertical="center"/>
    </xf>
    <xf numFmtId="0" fontId="0" fillId="19" borderId="32" xfId="0" applyFill="1" applyBorder="1" applyAlignment="1">
      <alignment horizontal="center"/>
    </xf>
    <xf numFmtId="0" fontId="0" fillId="0" borderId="61" xfId="0" applyBorder="1" applyAlignment="1">
      <alignment horizontal="center" vertical="center"/>
    </xf>
    <xf numFmtId="0" fontId="2" fillId="2" borderId="10" xfId="1" applyBorder="1" applyAlignment="1">
      <alignment vertical="center"/>
    </xf>
    <xf numFmtId="0" fontId="0" fillId="20" borderId="26" xfId="0" applyFill="1" applyBorder="1" applyAlignment="1">
      <alignment horizontal="center" vertical="center"/>
    </xf>
    <xf numFmtId="0" fontId="0" fillId="20" borderId="30" xfId="0" applyFill="1" applyBorder="1" applyAlignment="1">
      <alignment horizontal="center" vertical="center"/>
    </xf>
    <xf numFmtId="0" fontId="2" fillId="18" borderId="9" xfId="1" applyFill="1" applyBorder="1" applyAlignment="1">
      <alignment horizontal="center"/>
    </xf>
    <xf numFmtId="0" fontId="2" fillId="18" borderId="16" xfId="1" applyFill="1" applyBorder="1" applyAlignment="1">
      <alignment horizontal="center"/>
    </xf>
    <xf numFmtId="2" fontId="0" fillId="21" borderId="31" xfId="0" applyNumberFormat="1" applyFill="1" applyBorder="1" applyAlignment="1">
      <alignment horizontal="center" vertical="center"/>
    </xf>
    <xf numFmtId="2" fontId="0" fillId="21" borderId="29" xfId="0" applyNumberFormat="1" applyFill="1" applyBorder="1" applyAlignment="1">
      <alignment horizontal="center" vertical="center"/>
    </xf>
    <xf numFmtId="2" fontId="0" fillId="21" borderId="30" xfId="0" applyNumberFormat="1" applyFill="1" applyBorder="1" applyAlignment="1">
      <alignment horizontal="center" vertical="center"/>
    </xf>
    <xf numFmtId="2" fontId="7" fillId="21" borderId="20" xfId="0" applyNumberFormat="1" applyFont="1" applyFill="1" applyBorder="1" applyAlignment="1">
      <alignment horizontal="center" vertical="center"/>
    </xf>
    <xf numFmtId="2" fontId="7" fillId="21" borderId="29" xfId="0" applyNumberFormat="1" applyFont="1" applyFill="1" applyBorder="1" applyAlignment="1">
      <alignment horizontal="center" vertical="center"/>
    </xf>
    <xf numFmtId="2" fontId="7" fillId="21" borderId="29" xfId="2" applyNumberFormat="1" applyFont="1" applyFill="1" applyBorder="1" applyAlignment="1">
      <alignment horizontal="center" vertical="center"/>
    </xf>
    <xf numFmtId="2" fontId="7" fillId="21" borderId="30" xfId="0" applyNumberFormat="1" applyFont="1" applyFill="1" applyBorder="1" applyAlignment="1">
      <alignment horizontal="center" vertical="center"/>
    </xf>
    <xf numFmtId="2" fontId="0" fillId="0" borderId="2" xfId="0" applyNumberFormat="1" applyBorder="1" applyAlignment="1">
      <alignment horizontal="center" vertical="center"/>
    </xf>
    <xf numFmtId="0" fontId="8" fillId="13" borderId="20" xfId="7" applyFill="1" applyBorder="1" applyAlignment="1">
      <alignment horizontal="center" vertical="center"/>
    </xf>
    <xf numFmtId="0" fontId="8" fillId="13" borderId="29" xfId="7" applyFill="1" applyBorder="1" applyAlignment="1">
      <alignment horizontal="center" vertical="center"/>
    </xf>
    <xf numFmtId="0" fontId="3" fillId="3" borderId="45" xfId="2" applyBorder="1"/>
    <xf numFmtId="0" fontId="4" fillId="4" borderId="10" xfId="3" applyBorder="1"/>
    <xf numFmtId="0" fontId="4" fillId="4" borderId="13" xfId="3" applyBorder="1"/>
    <xf numFmtId="0" fontId="4" fillId="4" borderId="39" xfId="3" applyBorder="1"/>
    <xf numFmtId="0" fontId="2" fillId="2" borderId="64" xfId="1" applyBorder="1"/>
    <xf numFmtId="0" fontId="0" fillId="0" borderId="5" xfId="0" applyBorder="1"/>
    <xf numFmtId="0" fontId="2" fillId="2" borderId="63" xfId="1" applyBorder="1"/>
    <xf numFmtId="0" fontId="0" fillId="0" borderId="3" xfId="0" applyBorder="1"/>
    <xf numFmtId="0" fontId="1" fillId="5" borderId="8" xfId="4" applyBorder="1" applyAlignment="1">
      <alignment horizontal="center" vertical="center" wrapText="1"/>
    </xf>
    <xf numFmtId="0" fontId="0" fillId="5" borderId="54" xfId="4" applyFont="1" applyBorder="1" applyAlignment="1">
      <alignment horizontal="center" vertical="center" wrapText="1"/>
    </xf>
    <xf numFmtId="0" fontId="0" fillId="5" borderId="7" xfId="4" applyFont="1" applyBorder="1" applyAlignment="1">
      <alignment horizontal="center" vertical="center" wrapText="1"/>
    </xf>
    <xf numFmtId="0" fontId="8" fillId="13" borderId="22" xfId="7" applyFill="1" applyBorder="1" applyAlignment="1">
      <alignment horizontal="center" vertical="center" wrapText="1"/>
    </xf>
    <xf numFmtId="0" fontId="8" fillId="0" borderId="0" xfId="7"/>
    <xf numFmtId="2" fontId="0" fillId="0" borderId="0" xfId="0" applyNumberFormat="1"/>
    <xf numFmtId="0" fontId="0" fillId="0" borderId="38" xfId="0" applyBorder="1"/>
    <xf numFmtId="0" fontId="0" fillId="0" borderId="12" xfId="0" applyBorder="1"/>
    <xf numFmtId="0" fontId="0" fillId="23" borderId="26" xfId="0" applyFill="1" applyBorder="1"/>
    <xf numFmtId="0" fontId="0" fillId="23" borderId="27" xfId="0" applyFill="1" applyBorder="1"/>
    <xf numFmtId="0" fontId="0" fillId="23" borderId="18" xfId="0" applyFill="1" applyBorder="1"/>
    <xf numFmtId="0" fontId="0" fillId="23" borderId="49" xfId="0" applyFill="1" applyBorder="1"/>
    <xf numFmtId="0" fontId="0" fillId="23" borderId="0" xfId="0" applyFill="1" applyBorder="1"/>
    <xf numFmtId="0" fontId="0" fillId="23" borderId="28" xfId="0" applyFill="1" applyBorder="1"/>
    <xf numFmtId="0" fontId="0" fillId="23" borderId="50" xfId="0" applyFill="1" applyBorder="1"/>
    <xf numFmtId="0" fontId="0" fillId="23" borderId="23" xfId="0" applyFill="1" applyBorder="1"/>
    <xf numFmtId="0" fontId="0" fillId="23" borderId="33" xfId="0" applyFill="1" applyBorder="1"/>
    <xf numFmtId="0" fontId="0" fillId="0" borderId="9" xfId="0" applyBorder="1"/>
    <xf numFmtId="0" fontId="0" fillId="24" borderId="47" xfId="0" applyFill="1" applyBorder="1"/>
    <xf numFmtId="0" fontId="0" fillId="24" borderId="16" xfId="0" applyFill="1" applyBorder="1"/>
    <xf numFmtId="0" fontId="0" fillId="14" borderId="14" xfId="0" applyFill="1" applyBorder="1"/>
    <xf numFmtId="0" fontId="0" fillId="14" borderId="3" xfId="0" applyFill="1" applyBorder="1"/>
    <xf numFmtId="0" fontId="0" fillId="14" borderId="5" xfId="0" applyFill="1" applyBorder="1"/>
    <xf numFmtId="2" fontId="0" fillId="21" borderId="20" xfId="0" applyNumberFormat="1" applyFill="1"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65" xfId="0" applyBorder="1" applyAlignment="1">
      <alignment horizontal="center" vertical="center"/>
    </xf>
    <xf numFmtId="2" fontId="0" fillId="21" borderId="45" xfId="0" applyNumberFormat="1" applyFill="1" applyBorder="1" applyAlignment="1">
      <alignment horizontal="center" vertical="center"/>
    </xf>
    <xf numFmtId="0" fontId="0" fillId="8" borderId="1" xfId="0" applyFill="1" applyBorder="1" applyAlignment="1">
      <alignment horizontal="left" vertical="center" wrapText="1"/>
    </xf>
    <xf numFmtId="0" fontId="0" fillId="8" borderId="3" xfId="0" applyFill="1" applyBorder="1" applyAlignment="1">
      <alignment horizontal="left" vertical="center" wrapText="1"/>
    </xf>
    <xf numFmtId="0" fontId="0" fillId="8" borderId="5" xfId="0" applyFill="1" applyBorder="1" applyAlignment="1">
      <alignment horizontal="left" vertical="center" wrapText="1"/>
    </xf>
    <xf numFmtId="0" fontId="7" fillId="0" borderId="66" xfId="0" applyFont="1" applyBorder="1" applyAlignment="1">
      <alignment horizontal="center" vertical="center"/>
    </xf>
    <xf numFmtId="0" fontId="0" fillId="0" borderId="40" xfId="0" applyBorder="1" applyAlignment="1">
      <alignment horizontal="center" vertical="center"/>
    </xf>
    <xf numFmtId="0" fontId="7" fillId="10" borderId="41" xfId="2" applyFont="1" applyFill="1" applyBorder="1" applyAlignment="1">
      <alignment horizontal="center" vertical="center"/>
    </xf>
    <xf numFmtId="0" fontId="7" fillId="0" borderId="42" xfId="0" applyFont="1" applyBorder="1" applyAlignment="1">
      <alignment horizontal="center" vertical="center"/>
    </xf>
    <xf numFmtId="0" fontId="0" fillId="25" borderId="20" xfId="0" applyFill="1" applyBorder="1" applyAlignment="1">
      <alignment horizontal="left" vertical="center" wrapText="1"/>
    </xf>
    <xf numFmtId="0" fontId="0" fillId="25" borderId="29" xfId="0" applyFill="1" applyBorder="1" applyAlignment="1">
      <alignment horizontal="left" vertical="center" wrapText="1"/>
    </xf>
    <xf numFmtId="0" fontId="0" fillId="25" borderId="22" xfId="0" applyFill="1" applyBorder="1" applyAlignment="1">
      <alignment horizontal="left" vertical="center" wrapText="1"/>
    </xf>
    <xf numFmtId="0" fontId="0" fillId="14" borderId="19" xfId="0" applyFill="1" applyBorder="1" applyAlignment="1">
      <alignment horizontal="left" vertical="center" wrapText="1"/>
    </xf>
    <xf numFmtId="0" fontId="0" fillId="14" borderId="50" xfId="0" applyFill="1" applyBorder="1" applyAlignment="1">
      <alignment horizontal="left"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0" fillId="0" borderId="61" xfId="0" applyBorder="1" applyAlignment="1">
      <alignment horizontal="center" vertical="center" wrapText="1"/>
    </xf>
    <xf numFmtId="0" fontId="0" fillId="17" borderId="15" xfId="0" applyFill="1" applyBorder="1" applyAlignment="1">
      <alignment horizontal="center" vertical="center"/>
    </xf>
    <xf numFmtId="0" fontId="0" fillId="17" borderId="39" xfId="0" applyFill="1" applyBorder="1" applyAlignment="1">
      <alignment horizontal="center" vertical="center"/>
    </xf>
    <xf numFmtId="0" fontId="0" fillId="17" borderId="10" xfId="0" applyFill="1" applyBorder="1" applyAlignment="1">
      <alignment horizontal="center" vertical="center"/>
    </xf>
    <xf numFmtId="0" fontId="0" fillId="22" borderId="15" xfId="0" applyFill="1" applyBorder="1" applyAlignment="1">
      <alignment horizontal="center"/>
    </xf>
    <xf numFmtId="0" fontId="0" fillId="22" borderId="39" xfId="0" applyFill="1" applyBorder="1" applyAlignment="1">
      <alignment horizontal="center"/>
    </xf>
    <xf numFmtId="0" fontId="0" fillId="22" borderId="10" xfId="0" applyFill="1" applyBorder="1" applyAlignment="1">
      <alignment horizontal="center"/>
    </xf>
    <xf numFmtId="0" fontId="0" fillId="0" borderId="1" xfId="0" applyBorder="1" applyAlignment="1">
      <alignment horizontal="center" vertical="center" wrapText="1"/>
    </xf>
    <xf numFmtId="0" fontId="0" fillId="0" borderId="34" xfId="0" applyBorder="1" applyAlignment="1">
      <alignment horizontal="center" vertical="center" wrapText="1"/>
    </xf>
    <xf numFmtId="0" fontId="0" fillId="0" borderId="2" xfId="0" applyBorder="1" applyAlignment="1">
      <alignment horizontal="center" vertical="center" wrapText="1"/>
    </xf>
    <xf numFmtId="0" fontId="0" fillId="0" borderId="25"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7" xfId="0" applyBorder="1" applyAlignment="1">
      <alignment horizontal="center" vertical="center" wrapText="1"/>
    </xf>
    <xf numFmtId="0" fontId="0" fillId="0" borderId="54" xfId="0" applyBorder="1" applyAlignment="1">
      <alignment horizontal="center" vertical="center" wrapText="1"/>
    </xf>
    <xf numFmtId="0" fontId="0" fillId="0" borderId="8" xfId="0" applyBorder="1" applyAlignment="1">
      <alignment horizontal="center" vertical="center" wrapText="1"/>
    </xf>
    <xf numFmtId="0" fontId="0" fillId="12" borderId="26" xfId="0" applyFill="1" applyBorder="1" applyAlignment="1">
      <alignment horizontal="center"/>
    </xf>
    <xf numFmtId="0" fontId="0" fillId="12" borderId="27" xfId="0" applyFill="1" applyBorder="1" applyAlignment="1">
      <alignment horizontal="center"/>
    </xf>
    <xf numFmtId="0" fontId="0" fillId="12" borderId="18" xfId="0" applyFill="1" applyBorder="1" applyAlignment="1">
      <alignment horizontal="center"/>
    </xf>
    <xf numFmtId="0" fontId="0" fillId="11" borderId="15" xfId="0" applyFill="1" applyBorder="1" applyAlignment="1">
      <alignment horizontal="center" vertical="center" wrapText="1"/>
    </xf>
    <xf numFmtId="0" fontId="0" fillId="11" borderId="39" xfId="0" applyFill="1" applyBorder="1" applyAlignment="1">
      <alignment horizontal="center" vertical="center" wrapText="1"/>
    </xf>
    <xf numFmtId="0" fontId="0" fillId="11" borderId="10" xfId="0" applyFill="1" applyBorder="1" applyAlignment="1">
      <alignment horizontal="center" vertical="center" wrapText="1"/>
    </xf>
    <xf numFmtId="0" fontId="0" fillId="14" borderId="15" xfId="0" applyFill="1" applyBorder="1" applyAlignment="1">
      <alignment horizontal="center"/>
    </xf>
    <xf numFmtId="0" fontId="0" fillId="14" borderId="39" xfId="0" applyFill="1" applyBorder="1" applyAlignment="1">
      <alignment horizontal="center"/>
    </xf>
    <xf numFmtId="0" fontId="0" fillId="14" borderId="10" xfId="0" applyFill="1" applyBorder="1" applyAlignment="1">
      <alignment horizontal="center"/>
    </xf>
    <xf numFmtId="0" fontId="0" fillId="18" borderId="15" xfId="0" applyFill="1" applyBorder="1" applyAlignment="1">
      <alignment horizontal="center"/>
    </xf>
    <xf numFmtId="0" fontId="0" fillId="18" borderId="39" xfId="0" applyFill="1" applyBorder="1" applyAlignment="1">
      <alignment horizontal="center"/>
    </xf>
    <xf numFmtId="0" fontId="0" fillId="18" borderId="10" xfId="0" applyFill="1" applyBorder="1" applyAlignment="1">
      <alignment horizontal="center"/>
    </xf>
    <xf numFmtId="0" fontId="0" fillId="16" borderId="15" xfId="0" applyFill="1" applyBorder="1" applyAlignment="1">
      <alignment horizontal="center" vertical="center" wrapText="1"/>
    </xf>
    <xf numFmtId="0" fontId="0" fillId="16" borderId="39" xfId="0" applyFill="1" applyBorder="1" applyAlignment="1">
      <alignment horizontal="center" vertical="center" wrapText="1"/>
    </xf>
    <xf numFmtId="0" fontId="0" fillId="16" borderId="10" xfId="0" applyFill="1" applyBorder="1" applyAlignment="1">
      <alignment horizontal="center" vertical="center" wrapText="1"/>
    </xf>
    <xf numFmtId="0" fontId="1" fillId="6" borderId="15" xfId="5" applyBorder="1" applyAlignment="1">
      <alignment horizontal="center" vertical="center" wrapText="1"/>
    </xf>
    <xf numFmtId="0" fontId="1" fillId="6" borderId="39" xfId="5" applyBorder="1" applyAlignment="1">
      <alignment horizontal="center" vertical="center" wrapText="1"/>
    </xf>
    <xf numFmtId="0" fontId="1" fillId="7" borderId="50" xfId="6" applyBorder="1" applyAlignment="1">
      <alignment horizontal="center" vertical="center" wrapText="1"/>
    </xf>
    <xf numFmtId="0" fontId="1" fillId="7" borderId="23" xfId="6" applyBorder="1" applyAlignment="1">
      <alignment horizontal="center" vertical="center" wrapText="1"/>
    </xf>
    <xf numFmtId="0" fontId="1" fillId="7" borderId="33" xfId="6" applyBorder="1" applyAlignment="1">
      <alignment horizontal="center" vertical="center" wrapText="1"/>
    </xf>
    <xf numFmtId="0" fontId="0" fillId="11" borderId="15" xfId="0" applyFill="1" applyBorder="1" applyAlignment="1">
      <alignment horizontal="center"/>
    </xf>
    <xf numFmtId="0" fontId="0" fillId="11" borderId="39" xfId="0" applyFill="1" applyBorder="1" applyAlignment="1">
      <alignment horizontal="center"/>
    </xf>
    <xf numFmtId="0" fontId="0" fillId="11" borderId="10" xfId="0" applyFill="1" applyBorder="1" applyAlignment="1">
      <alignment horizontal="center"/>
    </xf>
    <xf numFmtId="0" fontId="1" fillId="5" borderId="32" xfId="4" applyBorder="1" applyAlignment="1">
      <alignment horizontal="center" vertical="center" wrapText="1"/>
    </xf>
    <xf numFmtId="0" fontId="1" fillId="5" borderId="45" xfId="4" applyBorder="1" applyAlignment="1">
      <alignment horizontal="center" vertical="center" wrapText="1"/>
    </xf>
    <xf numFmtId="0" fontId="4" fillId="4" borderId="15" xfId="3" applyBorder="1" applyAlignment="1">
      <alignment horizontal="center"/>
    </xf>
    <xf numFmtId="0" fontId="4" fillId="4" borderId="10" xfId="3" applyBorder="1" applyAlignment="1">
      <alignment horizontal="center"/>
    </xf>
    <xf numFmtId="0" fontId="0" fillId="5" borderId="19" xfId="4" applyFont="1" applyBorder="1" applyAlignment="1">
      <alignment horizontal="center"/>
    </xf>
    <xf numFmtId="0" fontId="0" fillId="5" borderId="51" xfId="4" applyFont="1" applyBorder="1" applyAlignment="1">
      <alignment horizontal="center"/>
    </xf>
    <xf numFmtId="0" fontId="0" fillId="5" borderId="43" xfId="4" applyFont="1" applyBorder="1" applyAlignment="1">
      <alignment horizontal="center"/>
    </xf>
    <xf numFmtId="0" fontId="1" fillId="5" borderId="20" xfId="4" applyBorder="1" applyAlignment="1">
      <alignment horizontal="center" vertical="center" wrapText="1"/>
    </xf>
    <xf numFmtId="0" fontId="1" fillId="5" borderId="30" xfId="4" applyBorder="1" applyAlignment="1">
      <alignment horizontal="center" vertical="center" wrapText="1"/>
    </xf>
    <xf numFmtId="0" fontId="2" fillId="2" borderId="20" xfId="1" applyBorder="1" applyAlignment="1">
      <alignment horizontal="center" vertical="center" wrapText="1"/>
    </xf>
    <xf numFmtId="0" fontId="2" fillId="2" borderId="22" xfId="1" applyBorder="1" applyAlignment="1">
      <alignment horizontal="center" vertical="center" wrapText="1"/>
    </xf>
  </cellXfs>
  <cellStyles count="8">
    <cellStyle name="20 % - Accent6" xfId="4" builtinId="50"/>
    <cellStyle name="40 % - Accent6" xfId="5" builtinId="51"/>
    <cellStyle name="60 % - Accent6" xfId="6" builtinId="52"/>
    <cellStyle name="Insatisfaisant" xfId="2" builtinId="27"/>
    <cellStyle name="Lien hypertexte" xfId="7" builtinId="8"/>
    <cellStyle name="Neutre" xfId="3" builtinId="28"/>
    <cellStyle name="Normal" xfId="0" builtinId="0"/>
    <cellStyle name="Satisfaisant"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2017</a:t>
            </a:r>
          </a:p>
          <a:p>
            <a:pPr>
              <a:defRPr/>
            </a:pP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solidFill>
            <a:ln>
              <a:noFill/>
            </a:ln>
            <a:effectLst/>
          </c:spPr>
          <c:invertIfNegative val="0"/>
          <c:cat>
            <c:strRef>
              <c:f>'Purchased Electricity UM6P'!$C$5:$C$16</c:f>
              <c:strCache>
                <c:ptCount val="12"/>
                <c:pt idx="0">
                  <c:v>Jan</c:v>
                </c:pt>
                <c:pt idx="1">
                  <c:v>Fev</c:v>
                </c:pt>
                <c:pt idx="2">
                  <c:v>Mars</c:v>
                </c:pt>
                <c:pt idx="3">
                  <c:v>Avr</c:v>
                </c:pt>
                <c:pt idx="4">
                  <c:v>Mai</c:v>
                </c:pt>
                <c:pt idx="5">
                  <c:v>Juin</c:v>
                </c:pt>
                <c:pt idx="6">
                  <c:v>Juil</c:v>
                </c:pt>
                <c:pt idx="7">
                  <c:v>Aout</c:v>
                </c:pt>
                <c:pt idx="8">
                  <c:v>Sep</c:v>
                </c:pt>
                <c:pt idx="9">
                  <c:v>Oct</c:v>
                </c:pt>
                <c:pt idx="10">
                  <c:v>Nov</c:v>
                </c:pt>
                <c:pt idx="11">
                  <c:v>Dec</c:v>
                </c:pt>
              </c:strCache>
            </c:strRef>
          </c:cat>
          <c:val>
            <c:numRef>
              <c:f>'Purchased Electricity UM6P'!$D$5:$D$16</c:f>
              <c:numCache>
                <c:formatCode>General</c:formatCode>
                <c:ptCount val="12"/>
                <c:pt idx="0">
                  <c:v>700000</c:v>
                </c:pt>
                <c:pt idx="1">
                  <c:v>660000</c:v>
                </c:pt>
                <c:pt idx="2">
                  <c:v>648667</c:v>
                </c:pt>
                <c:pt idx="3">
                  <c:v>515933</c:v>
                </c:pt>
                <c:pt idx="4">
                  <c:v>615000</c:v>
                </c:pt>
                <c:pt idx="5">
                  <c:v>517570</c:v>
                </c:pt>
                <c:pt idx="6">
                  <c:v>613036</c:v>
                </c:pt>
                <c:pt idx="7">
                  <c:v>594805</c:v>
                </c:pt>
                <c:pt idx="8">
                  <c:v>610911</c:v>
                </c:pt>
                <c:pt idx="9">
                  <c:v>657826</c:v>
                </c:pt>
                <c:pt idx="10">
                  <c:v>531091</c:v>
                </c:pt>
                <c:pt idx="11">
                  <c:v>564132</c:v>
                </c:pt>
              </c:numCache>
            </c:numRef>
          </c:val>
          <c:extLst>
            <c:ext xmlns:c16="http://schemas.microsoft.com/office/drawing/2014/chart" uri="{C3380CC4-5D6E-409C-BE32-E72D297353CC}">
              <c16:uniqueId val="{00000000-A2F6-4CE1-8AA0-2BF4108CCA7C}"/>
            </c:ext>
          </c:extLst>
        </c:ser>
        <c:dLbls>
          <c:showLegendKey val="0"/>
          <c:showVal val="0"/>
          <c:showCatName val="0"/>
          <c:showSerName val="0"/>
          <c:showPercent val="0"/>
          <c:showBubbleSize val="0"/>
        </c:dLbls>
        <c:gapWidth val="219"/>
        <c:overlap val="-27"/>
        <c:axId val="423494960"/>
        <c:axId val="423485120"/>
      </c:barChart>
      <c:catAx>
        <c:axId val="42349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3485120"/>
        <c:crosses val="autoZero"/>
        <c:auto val="1"/>
        <c:lblAlgn val="ctr"/>
        <c:lblOffset val="100"/>
        <c:noMultiLvlLbl val="0"/>
      </c:catAx>
      <c:valAx>
        <c:axId val="423485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3494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2018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solidFill>
            <a:ln>
              <a:noFill/>
            </a:ln>
            <a:effectLst/>
          </c:spPr>
          <c:invertIfNegative val="0"/>
          <c:cat>
            <c:strRef>
              <c:f>'Purchased Electricity UM6P'!$C$5:$C$16</c:f>
              <c:strCache>
                <c:ptCount val="12"/>
                <c:pt idx="0">
                  <c:v>Jan</c:v>
                </c:pt>
                <c:pt idx="1">
                  <c:v>Fev</c:v>
                </c:pt>
                <c:pt idx="2">
                  <c:v>Mars</c:v>
                </c:pt>
                <c:pt idx="3">
                  <c:v>Avr</c:v>
                </c:pt>
                <c:pt idx="4">
                  <c:v>Mai</c:v>
                </c:pt>
                <c:pt idx="5">
                  <c:v>Juin</c:v>
                </c:pt>
                <c:pt idx="6">
                  <c:v>Juil</c:v>
                </c:pt>
                <c:pt idx="7">
                  <c:v>Aout</c:v>
                </c:pt>
                <c:pt idx="8">
                  <c:v>Sep</c:v>
                </c:pt>
                <c:pt idx="9">
                  <c:v>Oct</c:v>
                </c:pt>
                <c:pt idx="10">
                  <c:v>Nov</c:v>
                </c:pt>
                <c:pt idx="11">
                  <c:v>Dec</c:v>
                </c:pt>
              </c:strCache>
            </c:strRef>
          </c:cat>
          <c:val>
            <c:numRef>
              <c:f>'Purchased Electricity UM6P'!$E$5:$E$16</c:f>
              <c:numCache>
                <c:formatCode>General</c:formatCode>
                <c:ptCount val="12"/>
                <c:pt idx="0">
                  <c:v>628042</c:v>
                </c:pt>
                <c:pt idx="1">
                  <c:v>619105</c:v>
                </c:pt>
                <c:pt idx="2">
                  <c:v>606771</c:v>
                </c:pt>
                <c:pt idx="3">
                  <c:v>526346</c:v>
                </c:pt>
                <c:pt idx="4">
                  <c:v>467028</c:v>
                </c:pt>
                <c:pt idx="5">
                  <c:v>432439</c:v>
                </c:pt>
                <c:pt idx="6">
                  <c:v>500902</c:v>
                </c:pt>
                <c:pt idx="7">
                  <c:v>488436</c:v>
                </c:pt>
                <c:pt idx="8">
                  <c:v>545508</c:v>
                </c:pt>
                <c:pt idx="9">
                  <c:v>593005</c:v>
                </c:pt>
                <c:pt idx="10">
                  <c:v>635427</c:v>
                </c:pt>
                <c:pt idx="11">
                  <c:v>650000</c:v>
                </c:pt>
              </c:numCache>
            </c:numRef>
          </c:val>
          <c:extLst>
            <c:ext xmlns:c16="http://schemas.microsoft.com/office/drawing/2014/chart" uri="{C3380CC4-5D6E-409C-BE32-E72D297353CC}">
              <c16:uniqueId val="{00000000-6527-447B-AB3B-D84E4E24BFCE}"/>
            </c:ext>
          </c:extLst>
        </c:ser>
        <c:dLbls>
          <c:showLegendKey val="0"/>
          <c:showVal val="0"/>
          <c:showCatName val="0"/>
          <c:showSerName val="0"/>
          <c:showPercent val="0"/>
          <c:showBubbleSize val="0"/>
        </c:dLbls>
        <c:gapWidth val="219"/>
        <c:overlap val="-27"/>
        <c:axId val="427340936"/>
        <c:axId val="427335688"/>
      </c:barChart>
      <c:catAx>
        <c:axId val="427340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7335688"/>
        <c:crosses val="autoZero"/>
        <c:auto val="1"/>
        <c:lblAlgn val="ctr"/>
        <c:lblOffset val="100"/>
        <c:noMultiLvlLbl val="0"/>
      </c:catAx>
      <c:valAx>
        <c:axId val="427335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7340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2019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solidFill>
            <a:ln>
              <a:noFill/>
            </a:ln>
            <a:effectLst/>
          </c:spPr>
          <c:invertIfNegative val="0"/>
          <c:cat>
            <c:strRef>
              <c:f>'Purchased Electricity UM6P'!$C$5:$C$16</c:f>
              <c:strCache>
                <c:ptCount val="12"/>
                <c:pt idx="0">
                  <c:v>Jan</c:v>
                </c:pt>
                <c:pt idx="1">
                  <c:v>Fev</c:v>
                </c:pt>
                <c:pt idx="2">
                  <c:v>Mars</c:v>
                </c:pt>
                <c:pt idx="3">
                  <c:v>Avr</c:v>
                </c:pt>
                <c:pt idx="4">
                  <c:v>Mai</c:v>
                </c:pt>
                <c:pt idx="5">
                  <c:v>Juin</c:v>
                </c:pt>
                <c:pt idx="6">
                  <c:v>Juil</c:v>
                </c:pt>
                <c:pt idx="7">
                  <c:v>Aout</c:v>
                </c:pt>
                <c:pt idx="8">
                  <c:v>Sep</c:v>
                </c:pt>
                <c:pt idx="9">
                  <c:v>Oct</c:v>
                </c:pt>
                <c:pt idx="10">
                  <c:v>Nov</c:v>
                </c:pt>
                <c:pt idx="11">
                  <c:v>Dec</c:v>
                </c:pt>
              </c:strCache>
            </c:strRef>
          </c:cat>
          <c:val>
            <c:numRef>
              <c:f>'Purchased Electricity UM6P'!$F$5:$F$16</c:f>
              <c:numCache>
                <c:formatCode>General</c:formatCode>
                <c:ptCount val="12"/>
                <c:pt idx="0">
                  <c:v>650000</c:v>
                </c:pt>
                <c:pt idx="1">
                  <c:v>623000</c:v>
                </c:pt>
                <c:pt idx="2">
                  <c:v>613000</c:v>
                </c:pt>
                <c:pt idx="3">
                  <c:v>586000</c:v>
                </c:pt>
                <c:pt idx="4">
                  <c:v>576000</c:v>
                </c:pt>
                <c:pt idx="5">
                  <c:v>574000</c:v>
                </c:pt>
                <c:pt idx="6">
                  <c:v>623000</c:v>
                </c:pt>
                <c:pt idx="7">
                  <c:v>590000</c:v>
                </c:pt>
                <c:pt idx="8">
                  <c:v>689000</c:v>
                </c:pt>
                <c:pt idx="9">
                  <c:v>669000</c:v>
                </c:pt>
                <c:pt idx="10">
                  <c:v>670000</c:v>
                </c:pt>
                <c:pt idx="11">
                  <c:v>917000</c:v>
                </c:pt>
              </c:numCache>
            </c:numRef>
          </c:val>
          <c:extLst>
            <c:ext xmlns:c16="http://schemas.microsoft.com/office/drawing/2014/chart" uri="{C3380CC4-5D6E-409C-BE32-E72D297353CC}">
              <c16:uniqueId val="{00000000-722C-48C1-A1DA-B587B988F43D}"/>
            </c:ext>
          </c:extLst>
        </c:ser>
        <c:dLbls>
          <c:showLegendKey val="0"/>
          <c:showVal val="0"/>
          <c:showCatName val="0"/>
          <c:showSerName val="0"/>
          <c:showPercent val="0"/>
          <c:showBubbleSize val="0"/>
        </c:dLbls>
        <c:gapWidth val="219"/>
        <c:overlap val="-27"/>
        <c:axId val="390130968"/>
        <c:axId val="390135888"/>
      </c:barChart>
      <c:catAx>
        <c:axId val="390130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0135888"/>
        <c:crosses val="autoZero"/>
        <c:auto val="1"/>
        <c:lblAlgn val="ctr"/>
        <c:lblOffset val="100"/>
        <c:noMultiLvlLbl val="0"/>
      </c:catAx>
      <c:valAx>
        <c:axId val="390135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0130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213360</xdr:colOff>
      <xdr:row>0</xdr:row>
      <xdr:rowOff>7620</xdr:rowOff>
    </xdr:from>
    <xdr:to>
      <xdr:col>14</xdr:col>
      <xdr:colOff>518160</xdr:colOff>
      <xdr:row>11</xdr:row>
      <xdr:rowOff>129540</xdr:rowOff>
    </xdr:to>
    <xdr:graphicFrame macro="">
      <xdr:nvGraphicFramePr>
        <xdr:cNvPr id="2" name="Chart 1">
          <a:extLst>
            <a:ext uri="{FF2B5EF4-FFF2-40B4-BE49-F238E27FC236}">
              <a16:creationId xmlns:a16="http://schemas.microsoft.com/office/drawing/2014/main" id="{BF445EDB-9AA2-4B79-BBA9-D251A6F433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510540</xdr:colOff>
      <xdr:row>0</xdr:row>
      <xdr:rowOff>30480</xdr:rowOff>
    </xdr:from>
    <xdr:to>
      <xdr:col>22</xdr:col>
      <xdr:colOff>205740</xdr:colOff>
      <xdr:row>11</xdr:row>
      <xdr:rowOff>152400</xdr:rowOff>
    </xdr:to>
    <xdr:graphicFrame macro="">
      <xdr:nvGraphicFramePr>
        <xdr:cNvPr id="3" name="Chart 2">
          <a:extLst>
            <a:ext uri="{FF2B5EF4-FFF2-40B4-BE49-F238E27FC236}">
              <a16:creationId xmlns:a16="http://schemas.microsoft.com/office/drawing/2014/main" id="{96B35D45-91A4-40EC-82DD-04321FF2AC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106680</xdr:colOff>
      <xdr:row>11</xdr:row>
      <xdr:rowOff>194310</xdr:rowOff>
    </xdr:from>
    <xdr:to>
      <xdr:col>18</xdr:col>
      <xdr:colOff>411480</xdr:colOff>
      <xdr:row>24</xdr:row>
      <xdr:rowOff>179070</xdr:rowOff>
    </xdr:to>
    <xdr:graphicFrame macro="">
      <xdr:nvGraphicFramePr>
        <xdr:cNvPr id="4" name="Chart 4">
          <a:extLst>
            <a:ext uri="{FF2B5EF4-FFF2-40B4-BE49-F238E27FC236}">
              <a16:creationId xmlns:a16="http://schemas.microsoft.com/office/drawing/2014/main" id="{EB7FAB84-09C4-4BA9-B4B2-ED02176E81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AB55-01C0-406C-924F-081AE1E6CD3E}">
  <dimension ref="A1:N11"/>
  <sheetViews>
    <sheetView tabSelected="1" topLeftCell="A8" workbookViewId="0">
      <selection activeCell="B10" sqref="B10:N10"/>
    </sheetView>
  </sheetViews>
  <sheetFormatPr baseColWidth="10" defaultRowHeight="14.5" x14ac:dyDescent="0.35"/>
  <cols>
    <col min="1" max="1" width="23.36328125" style="104" customWidth="1"/>
  </cols>
  <sheetData>
    <row r="1" spans="1:14" ht="15" thickBot="1" x14ac:dyDescent="0.4">
      <c r="D1" s="183" t="s">
        <v>92</v>
      </c>
      <c r="E1" s="184"/>
      <c r="F1" s="184"/>
      <c r="G1" s="184"/>
      <c r="H1" s="184"/>
      <c r="I1" s="185"/>
    </row>
    <row r="2" spans="1:14" ht="15" thickBot="1" x14ac:dyDescent="0.4"/>
    <row r="3" spans="1:14" ht="15" thickBot="1" x14ac:dyDescent="0.4">
      <c r="A3" s="180" t="s">
        <v>107</v>
      </c>
      <c r="B3" s="181"/>
      <c r="C3" s="181"/>
      <c r="D3" s="181"/>
      <c r="E3" s="181"/>
      <c r="F3" s="181"/>
      <c r="G3" s="181"/>
      <c r="H3" s="181"/>
      <c r="I3" s="181"/>
      <c r="J3" s="181"/>
      <c r="K3" s="181"/>
      <c r="L3" s="181"/>
      <c r="M3" s="181"/>
      <c r="N3" s="182"/>
    </row>
    <row r="4" spans="1:14" ht="92.5" customHeight="1" x14ac:dyDescent="0.35">
      <c r="A4" s="124" t="s">
        <v>79</v>
      </c>
      <c r="B4" s="186" t="s">
        <v>83</v>
      </c>
      <c r="C4" s="187"/>
      <c r="D4" s="187"/>
      <c r="E4" s="187"/>
      <c r="F4" s="187"/>
      <c r="G4" s="187"/>
      <c r="H4" s="187"/>
      <c r="I4" s="187"/>
      <c r="J4" s="187"/>
      <c r="K4" s="187"/>
      <c r="L4" s="187"/>
      <c r="M4" s="187"/>
      <c r="N4" s="188"/>
    </row>
    <row r="5" spans="1:14" ht="104" customHeight="1" x14ac:dyDescent="0.35">
      <c r="A5" s="125" t="s">
        <v>80</v>
      </c>
      <c r="B5" s="174" t="s">
        <v>82</v>
      </c>
      <c r="C5" s="175"/>
      <c r="D5" s="175"/>
      <c r="E5" s="175"/>
      <c r="F5" s="175"/>
      <c r="G5" s="175"/>
      <c r="H5" s="175"/>
      <c r="I5" s="175"/>
      <c r="J5" s="175"/>
      <c r="K5" s="175"/>
      <c r="L5" s="175"/>
      <c r="M5" s="175"/>
      <c r="N5" s="176"/>
    </row>
    <row r="6" spans="1:14" ht="34.5" customHeight="1" x14ac:dyDescent="0.35">
      <c r="A6" s="125" t="s">
        <v>84</v>
      </c>
      <c r="B6" s="174" t="s">
        <v>85</v>
      </c>
      <c r="C6" s="175"/>
      <c r="D6" s="175"/>
      <c r="E6" s="175"/>
      <c r="F6" s="175"/>
      <c r="G6" s="175"/>
      <c r="H6" s="175"/>
      <c r="I6" s="175"/>
      <c r="J6" s="175"/>
      <c r="K6" s="175"/>
      <c r="L6" s="175"/>
      <c r="M6" s="175"/>
      <c r="N6" s="176"/>
    </row>
    <row r="7" spans="1:14" ht="36" customHeight="1" x14ac:dyDescent="0.35">
      <c r="A7" s="125" t="s">
        <v>81</v>
      </c>
      <c r="B7" s="174" t="s">
        <v>86</v>
      </c>
      <c r="C7" s="175"/>
      <c r="D7" s="175"/>
      <c r="E7" s="175"/>
      <c r="F7" s="175"/>
      <c r="G7" s="175"/>
      <c r="H7" s="175"/>
      <c r="I7" s="175"/>
      <c r="J7" s="175"/>
      <c r="K7" s="175"/>
      <c r="L7" s="175"/>
      <c r="M7" s="175"/>
      <c r="N7" s="176"/>
    </row>
    <row r="8" spans="1:14" ht="47" customHeight="1" x14ac:dyDescent="0.35">
      <c r="A8" s="125" t="s">
        <v>87</v>
      </c>
      <c r="B8" s="189" t="s">
        <v>91</v>
      </c>
      <c r="C8" s="190"/>
      <c r="D8" s="190"/>
      <c r="E8" s="190"/>
      <c r="F8" s="190"/>
      <c r="G8" s="190"/>
      <c r="H8" s="190"/>
      <c r="I8" s="190"/>
      <c r="J8" s="190"/>
      <c r="K8" s="190"/>
      <c r="L8" s="190"/>
      <c r="M8" s="190"/>
      <c r="N8" s="191"/>
    </row>
    <row r="9" spans="1:14" ht="36" customHeight="1" x14ac:dyDescent="0.35">
      <c r="A9" s="125" t="s">
        <v>88</v>
      </c>
      <c r="B9" s="192" t="s">
        <v>90</v>
      </c>
      <c r="C9" s="193"/>
      <c r="D9" s="193"/>
      <c r="E9" s="193"/>
      <c r="F9" s="193"/>
      <c r="G9" s="193"/>
      <c r="H9" s="193"/>
      <c r="I9" s="193"/>
      <c r="J9" s="193"/>
      <c r="K9" s="193"/>
      <c r="L9" s="193"/>
      <c r="M9" s="193"/>
      <c r="N9" s="194"/>
    </row>
    <row r="10" spans="1:14" ht="36" customHeight="1" x14ac:dyDescent="0.35">
      <c r="A10" s="125" t="s">
        <v>89</v>
      </c>
      <c r="B10" s="174" t="s">
        <v>124</v>
      </c>
      <c r="C10" s="175"/>
      <c r="D10" s="175"/>
      <c r="E10" s="175"/>
      <c r="F10" s="175"/>
      <c r="G10" s="175"/>
      <c r="H10" s="175"/>
      <c r="I10" s="175"/>
      <c r="J10" s="175"/>
      <c r="K10" s="175"/>
      <c r="L10" s="175"/>
      <c r="M10" s="175"/>
      <c r="N10" s="176"/>
    </row>
    <row r="11" spans="1:14" ht="51" customHeight="1" thickBot="1" x14ac:dyDescent="0.4">
      <c r="A11" s="137" t="s">
        <v>106</v>
      </c>
      <c r="B11" s="177" t="s">
        <v>93</v>
      </c>
      <c r="C11" s="178"/>
      <c r="D11" s="178"/>
      <c r="E11" s="178"/>
      <c r="F11" s="178"/>
      <c r="G11" s="178"/>
      <c r="H11" s="178"/>
      <c r="I11" s="178"/>
      <c r="J11" s="178"/>
      <c r="K11" s="178"/>
      <c r="L11" s="178"/>
      <c r="M11" s="178"/>
      <c r="N11" s="179"/>
    </row>
  </sheetData>
  <mergeCells count="10">
    <mergeCell ref="B10:N10"/>
    <mergeCell ref="B11:N11"/>
    <mergeCell ref="A3:N3"/>
    <mergeCell ref="D1:I1"/>
    <mergeCell ref="B4:N4"/>
    <mergeCell ref="B5:N5"/>
    <mergeCell ref="B6:N6"/>
    <mergeCell ref="B7:N7"/>
    <mergeCell ref="B8:N8"/>
    <mergeCell ref="B9:N9"/>
  </mergeCells>
  <hyperlinks>
    <hyperlink ref="A4" location="'Score Part 1'!L1C1" display="Score Part 1" xr:uid="{D426184C-F92D-4A3F-9C2E-4BBF4151138F}"/>
    <hyperlink ref="A5" location="'Score Part 2'!L1C1" display="Score Part 2" xr:uid="{DCF1E3C6-A59D-410D-97DD-D63B36FC1043}"/>
    <hyperlink ref="A6" location="'Data Energy Campus'!L1C1" display="Data Energy Campus" xr:uid="{94370FBA-6E3D-4145-9EB3-6AB5BD46B669}"/>
    <hyperlink ref="A7" location="'Energy Experimental farm'!L1C1" display="Energy Experimental Farm" xr:uid="{A1E51C6D-C90C-41A0-860A-46EE70FE6EEF}"/>
    <hyperlink ref="A8" location="'Renewbale Energy UM6P'!L1C1" display="Renewbale energy UM6P" xr:uid="{35D1F912-E3AA-40CE-8553-2C06B05B39E6}"/>
    <hyperlink ref="A9" location="'Purchased Electricity UM6P'!L1C1" display="Purchased electricity UM6P" xr:uid="{C916CCD1-231B-43F0-9EED-659A32B120A6}"/>
    <hyperlink ref="A10" location="'Total_Degree_Day 2019'!L1C1" display="Total Degree days" xr:uid="{A74A9984-9C07-4A28-803F-743A2F8AB5B7}"/>
    <hyperlink ref="A11" location="'Energy Generators UM6P'!L1C1" display="Energy generators UM6P" xr:uid="{3D467A03-6B58-4BB3-A9FF-073CF85E83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903CF-8BC8-4056-A270-5BC5AF74CE72}">
  <sheetPr>
    <tabColor theme="9" tint="0.39997558519241921"/>
  </sheetPr>
  <dimension ref="A2:G19"/>
  <sheetViews>
    <sheetView topLeftCell="A13" workbookViewId="0">
      <selection activeCell="E10" sqref="E10"/>
    </sheetView>
  </sheetViews>
  <sheetFormatPr baseColWidth="10" defaultRowHeight="14.5" x14ac:dyDescent="0.35"/>
  <cols>
    <col min="1" max="1" width="34.54296875" customWidth="1"/>
    <col min="2" max="2" width="16.7265625" customWidth="1"/>
    <col min="3" max="3" width="14" customWidth="1"/>
    <col min="4" max="4" width="18.90625" customWidth="1"/>
    <col min="5" max="5" width="17.08984375" customWidth="1"/>
    <col min="7" max="7" width="16.1796875" customWidth="1"/>
    <col min="8" max="8" width="13.90625" customWidth="1"/>
    <col min="9" max="9" width="14" customWidth="1"/>
    <col min="10" max="10" width="18.90625" customWidth="1"/>
    <col min="11" max="11" width="17.08984375" customWidth="1"/>
  </cols>
  <sheetData>
    <row r="2" spans="1:7" x14ac:dyDescent="0.35">
      <c r="G2" s="138" t="s">
        <v>107</v>
      </c>
    </row>
    <row r="3" spans="1:7" ht="15" thickBot="1" x14ac:dyDescent="0.4"/>
    <row r="4" spans="1:7" ht="15" thickBot="1" x14ac:dyDescent="0.4">
      <c r="A4" s="195" t="s">
        <v>43</v>
      </c>
      <c r="B4" s="196"/>
      <c r="C4" s="196"/>
      <c r="D4" s="196"/>
      <c r="E4" s="197"/>
    </row>
    <row r="5" spans="1:7" ht="15" thickBot="1" x14ac:dyDescent="0.4">
      <c r="A5" s="72" t="s">
        <v>44</v>
      </c>
      <c r="B5" s="73" t="s">
        <v>12</v>
      </c>
      <c r="C5" s="74" t="s">
        <v>10</v>
      </c>
      <c r="D5" s="75" t="s">
        <v>11</v>
      </c>
      <c r="E5" s="76" t="s">
        <v>40</v>
      </c>
    </row>
    <row r="6" spans="1:7" ht="58" customHeight="1" x14ac:dyDescent="0.35">
      <c r="A6" s="7" t="s">
        <v>108</v>
      </c>
      <c r="B6" s="70">
        <f>106359*10.764</f>
        <v>1144848.2759999998</v>
      </c>
      <c r="C6" s="68">
        <f>10.764*7198</f>
        <v>77479.271999999997</v>
      </c>
      <c r="D6" s="69">
        <f>10.764*1700</f>
        <v>18298.8</v>
      </c>
      <c r="E6" s="116">
        <f xml:space="preserve"> SUM(B6:D6)</f>
        <v>1240626.348</v>
      </c>
    </row>
    <row r="7" spans="1:7" ht="80" customHeight="1" x14ac:dyDescent="0.35">
      <c r="A7" s="8" t="s">
        <v>110</v>
      </c>
      <c r="B7" s="22">
        <f>10.764*1425</f>
        <v>15338.699999999999</v>
      </c>
      <c r="C7" s="15">
        <f xml:space="preserve"> 10.764*327.7</f>
        <v>3527.3627999999999</v>
      </c>
      <c r="D7" s="60">
        <f>10.764*1272</f>
        <v>13691.807999999999</v>
      </c>
      <c r="E7" s="117">
        <f xml:space="preserve"> SUM(B7:D7)</f>
        <v>32557.870799999997</v>
      </c>
    </row>
    <row r="8" spans="1:7" ht="61.5" customHeight="1" x14ac:dyDescent="0.35">
      <c r="A8" s="8" t="s">
        <v>111</v>
      </c>
      <c r="B8" s="22">
        <f xml:space="preserve"> 10.764*118.8</f>
        <v>1278.7631999999999</v>
      </c>
      <c r="C8" s="15">
        <v>0</v>
      </c>
      <c r="D8" s="61">
        <v>0</v>
      </c>
      <c r="E8" s="117">
        <f xml:space="preserve"> SUM(B8:D8)</f>
        <v>1278.7631999999999</v>
      </c>
    </row>
    <row r="9" spans="1:7" ht="50.5" customHeight="1" thickBot="1" x14ac:dyDescent="0.4">
      <c r="A9" s="10" t="s">
        <v>112</v>
      </c>
      <c r="B9" s="64">
        <f>10.764*10367.8</f>
        <v>111598.99919999999</v>
      </c>
      <c r="C9" s="65">
        <f>10.764*57</f>
        <v>613.548</v>
      </c>
      <c r="D9" s="66">
        <v>0</v>
      </c>
      <c r="E9" s="118">
        <f xml:space="preserve"> SUM(B9:D9)</f>
        <v>112212.54719999999</v>
      </c>
    </row>
    <row r="10" spans="1:7" ht="33" customHeight="1" thickBot="1" x14ac:dyDescent="0.4">
      <c r="A10" s="198" t="s">
        <v>41</v>
      </c>
      <c r="B10" s="199"/>
      <c r="C10" s="199"/>
      <c r="D10" s="200"/>
      <c r="E10" s="71">
        <f xml:space="preserve"> E6+(2*(E7+E8))+E9</f>
        <v>1420512.1631999998</v>
      </c>
    </row>
    <row r="11" spans="1:7" ht="29" x14ac:dyDescent="0.35">
      <c r="A11" s="11" t="s">
        <v>0</v>
      </c>
      <c r="B11" s="67">
        <f xml:space="preserve"> 'Data Energy Campus'!B5*66%</f>
        <v>5134800</v>
      </c>
      <c r="C11" s="68">
        <f xml:space="preserve"> 'Data Energy Campus'!C5*66%</f>
        <v>145062.06</v>
      </c>
      <c r="D11" s="69">
        <f xml:space="preserve"> 66%*'Data Energy Campus'!D5</f>
        <v>45732.72</v>
      </c>
      <c r="E11" s="119">
        <f xml:space="preserve"> SUM(B11:D11)</f>
        <v>5325594.7799999993</v>
      </c>
    </row>
    <row r="12" spans="1:7" ht="88" customHeight="1" x14ac:dyDescent="0.35">
      <c r="A12" s="8" t="s">
        <v>1</v>
      </c>
      <c r="B12" s="23">
        <f xml:space="preserve"> 34%*'Data Energy Campus'!B5+'Data Energy Campus'!B4</f>
        <v>2879260</v>
      </c>
      <c r="C12" s="14">
        <f xml:space="preserve"> 34%* 'Data Energy Campus'!C5+'Data Energy Campus'!C4</f>
        <v>230300.84</v>
      </c>
      <c r="D12" s="61">
        <f xml:space="preserve"> 34%*'Data Energy Campus'!D5+'Data Energy Campus'!D4</f>
        <v>55408.68</v>
      </c>
      <c r="E12" s="120">
        <f xml:space="preserve"> SUM(B12:D12)</f>
        <v>3164969.52</v>
      </c>
    </row>
    <row r="13" spans="1:7" ht="50.5" customHeight="1" x14ac:dyDescent="0.35">
      <c r="A13" s="8" t="s">
        <v>42</v>
      </c>
      <c r="B13" s="24">
        <v>26197</v>
      </c>
      <c r="C13" s="14">
        <v>0</v>
      </c>
      <c r="D13" s="61">
        <v>0</v>
      </c>
      <c r="E13" s="121">
        <f xml:space="preserve"> SUM(B13:D13)</f>
        <v>26197</v>
      </c>
    </row>
    <row r="14" spans="1:7" ht="56" customHeight="1" thickBot="1" x14ac:dyDescent="0.4">
      <c r="A14" s="10" t="s">
        <v>2</v>
      </c>
      <c r="B14" s="23">
        <v>0</v>
      </c>
      <c r="C14" s="14">
        <v>0</v>
      </c>
      <c r="D14" s="61">
        <v>0</v>
      </c>
      <c r="E14" s="122">
        <f xml:space="preserve"> SUM(B14:D14)</f>
        <v>0</v>
      </c>
    </row>
    <row r="15" spans="1:7" ht="15" thickBot="1" x14ac:dyDescent="0.4">
      <c r="A15" s="12" t="s">
        <v>109</v>
      </c>
      <c r="B15" s="64">
        <v>4299</v>
      </c>
      <c r="C15" s="64">
        <v>4299</v>
      </c>
      <c r="D15" s="64">
        <v>4299</v>
      </c>
      <c r="E15" s="122">
        <v>4299</v>
      </c>
    </row>
    <row r="16" spans="1:7" ht="43.5" customHeight="1" thickBot="1" x14ac:dyDescent="0.4">
      <c r="A16" s="198" t="s">
        <v>3</v>
      </c>
      <c r="B16" s="199"/>
      <c r="C16" s="199"/>
      <c r="D16" s="200"/>
      <c r="E16" s="71">
        <f>(E11+E12+E13)*0.003412+E14</f>
        <v>29059.189555599998</v>
      </c>
    </row>
    <row r="19" spans="6:6" x14ac:dyDescent="0.35">
      <c r="F19" s="139"/>
    </row>
  </sheetData>
  <mergeCells count="3">
    <mergeCell ref="A4:E4"/>
    <mergeCell ref="A10:D10"/>
    <mergeCell ref="A16:D16"/>
  </mergeCells>
  <hyperlinks>
    <hyperlink ref="G2" location="Descriptif!L1C1" display="Sheets description" xr:uid="{BFD277F6-1D38-45DC-BC40-F820AC9574F3}"/>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4F7C8-FA65-440F-BF9C-1A676BFD2A97}">
  <sheetPr>
    <tabColor theme="9" tint="0.59999389629810485"/>
  </sheetPr>
  <dimension ref="A2:G16"/>
  <sheetViews>
    <sheetView topLeftCell="A13" workbookViewId="0">
      <selection activeCell="G13" sqref="G13"/>
    </sheetView>
  </sheetViews>
  <sheetFormatPr baseColWidth="10" defaultRowHeight="14.5" x14ac:dyDescent="0.35"/>
  <cols>
    <col min="1" max="1" width="34.08984375" customWidth="1"/>
    <col min="2" max="2" width="15.08984375" customWidth="1"/>
    <col min="4" max="4" width="19" customWidth="1"/>
    <col min="5" max="5" width="18.453125" customWidth="1"/>
    <col min="7" max="7" width="15.90625" customWidth="1"/>
  </cols>
  <sheetData>
    <row r="2" spans="1:7" ht="15" thickBot="1" x14ac:dyDescent="0.4">
      <c r="G2" s="138" t="s">
        <v>107</v>
      </c>
    </row>
    <row r="3" spans="1:7" ht="15" thickBot="1" x14ac:dyDescent="0.4">
      <c r="A3" s="195" t="s">
        <v>43</v>
      </c>
      <c r="B3" s="196"/>
      <c r="C3" s="196"/>
      <c r="D3" s="196"/>
      <c r="E3" s="197"/>
    </row>
    <row r="4" spans="1:7" ht="15" thickBot="1" x14ac:dyDescent="0.4">
      <c r="A4" s="109" t="s">
        <v>44</v>
      </c>
      <c r="B4" s="78" t="s">
        <v>12</v>
      </c>
      <c r="C4" s="79" t="s">
        <v>10</v>
      </c>
      <c r="D4" s="80" t="s">
        <v>11</v>
      </c>
      <c r="E4" s="81" t="s">
        <v>40</v>
      </c>
    </row>
    <row r="5" spans="1:7" ht="43.5" customHeight="1" x14ac:dyDescent="0.35">
      <c r="A5" s="162" t="s">
        <v>0</v>
      </c>
      <c r="B5" s="83">
        <f xml:space="preserve"> 66%*'Data Energy Campus'!B5</f>
        <v>5134800</v>
      </c>
      <c r="C5" s="29">
        <f xml:space="preserve"> 66%*'Data Energy Campus'!C5</f>
        <v>145062.06</v>
      </c>
      <c r="D5" s="29">
        <f xml:space="preserve"> 66%*'Data Energy Campus'!D5</f>
        <v>45732.72</v>
      </c>
      <c r="E5" s="123">
        <f xml:space="preserve"> SUM(B5:D5)</f>
        <v>5325594.7799999993</v>
      </c>
    </row>
    <row r="6" spans="1:7" ht="39" customHeight="1" x14ac:dyDescent="0.35">
      <c r="A6" s="163" t="s">
        <v>6</v>
      </c>
      <c r="B6" s="14">
        <v>2.5</v>
      </c>
      <c r="C6" s="14">
        <v>2.5</v>
      </c>
      <c r="D6" s="14">
        <v>2.5</v>
      </c>
      <c r="E6" s="27">
        <v>2.5</v>
      </c>
    </row>
    <row r="7" spans="1:7" ht="58" x14ac:dyDescent="0.35">
      <c r="A7" s="163" t="s">
        <v>4</v>
      </c>
      <c r="B7" s="16">
        <f xml:space="preserve"> 34%*'Data Energy Campus'!B5+'Data Energy Campus'!B4</f>
        <v>2879260</v>
      </c>
      <c r="C7" s="14">
        <f xml:space="preserve"> 34%*'Data Energy Campus'!C5+'Data Energy Campus'!C4</f>
        <v>230300.84</v>
      </c>
      <c r="D7" s="14">
        <f xml:space="preserve"> ('Energy Experimental farm'!B11+'Energy Experimental farm'!B12)+'Energy Experimental farm'!B16*34%</f>
        <v>55408.68</v>
      </c>
      <c r="E7" s="27">
        <f t="shared" ref="E7:E9" si="0" xml:space="preserve"> SUM(B7:D7)</f>
        <v>3164969.52</v>
      </c>
    </row>
    <row r="8" spans="1:7" ht="49.5" customHeight="1" x14ac:dyDescent="0.35">
      <c r="A8" s="163" t="s">
        <v>74</v>
      </c>
      <c r="B8" s="17">
        <v>26197</v>
      </c>
      <c r="C8" s="14">
        <v>0</v>
      </c>
      <c r="D8" s="14">
        <v>0</v>
      </c>
      <c r="E8" s="27">
        <f t="shared" si="0"/>
        <v>26197</v>
      </c>
    </row>
    <row r="9" spans="1:7" ht="35.5" customHeight="1" thickBot="1" x14ac:dyDescent="0.4">
      <c r="A9" s="164" t="s">
        <v>5</v>
      </c>
      <c r="B9" s="85">
        <v>0</v>
      </c>
      <c r="C9" s="85">
        <v>0</v>
      </c>
      <c r="D9" s="85">
        <v>0</v>
      </c>
      <c r="E9" s="2">
        <f t="shared" si="0"/>
        <v>0</v>
      </c>
    </row>
    <row r="10" spans="1:7" ht="35" customHeight="1" x14ac:dyDescent="0.35">
      <c r="A10" s="169" t="s">
        <v>7</v>
      </c>
      <c r="B10" s="166">
        <f xml:space="preserve"> 66%*'Data Energy Campus'!B7</f>
        <v>4417385.9400000004</v>
      </c>
      <c r="C10" s="29">
        <f xml:space="preserve"> 66%*'Data Energy Campus'!C7</f>
        <v>152073.24000000002</v>
      </c>
      <c r="D10" s="42">
        <f xml:space="preserve"> 66%*'Data Energy Campus'!D7</f>
        <v>10382.460000000001</v>
      </c>
      <c r="E10" s="1">
        <f xml:space="preserve"> SUM(B10:D10)</f>
        <v>4579841.6400000006</v>
      </c>
    </row>
    <row r="11" spans="1:7" ht="34.5" customHeight="1" x14ac:dyDescent="0.35">
      <c r="A11" s="170" t="s">
        <v>6</v>
      </c>
      <c r="B11" s="36">
        <v>2.5</v>
      </c>
      <c r="C11" s="14">
        <v>2.5</v>
      </c>
      <c r="D11" s="14">
        <v>2.5</v>
      </c>
      <c r="E11" s="27">
        <v>2.5</v>
      </c>
    </row>
    <row r="12" spans="1:7" ht="58" x14ac:dyDescent="0.35">
      <c r="A12" s="170" t="s">
        <v>8</v>
      </c>
      <c r="B12" s="36">
        <f>34%*'Data Energy Campus'!B7+'Data Energy Campus'!B6</f>
        <v>2509683.06</v>
      </c>
      <c r="C12" s="14">
        <f xml:space="preserve"> 34%*'Data Energy Campus'!C7+'Data Energy Campus'!C6</f>
        <v>219769.76</v>
      </c>
      <c r="D12" s="14">
        <f xml:space="preserve"> 'Data Energy Campus'!D7*34%+'Data Energy Campus'!D6</f>
        <v>5348.54</v>
      </c>
      <c r="E12" s="27">
        <f t="shared" ref="E12:E14" si="1" xml:space="preserve"> SUM(B12:D12)</f>
        <v>2734801.3600000003</v>
      </c>
    </row>
    <row r="13" spans="1:7" ht="55" customHeight="1" x14ac:dyDescent="0.35">
      <c r="A13" s="170" t="s">
        <v>75</v>
      </c>
      <c r="B13" s="167">
        <v>10000</v>
      </c>
      <c r="C13" s="14">
        <v>0</v>
      </c>
      <c r="D13" s="14">
        <v>0</v>
      </c>
      <c r="E13" s="27">
        <f t="shared" si="1"/>
        <v>10000</v>
      </c>
    </row>
    <row r="14" spans="1:7" ht="35.5" customHeight="1" thickBot="1" x14ac:dyDescent="0.4">
      <c r="A14" s="171" t="s">
        <v>9</v>
      </c>
      <c r="B14" s="168">
        <v>0</v>
      </c>
      <c r="C14" s="85">
        <v>0</v>
      </c>
      <c r="D14" s="165">
        <v>0</v>
      </c>
      <c r="E14" s="110">
        <f t="shared" si="1"/>
        <v>0</v>
      </c>
    </row>
    <row r="15" spans="1:7" ht="38.5" customHeight="1" x14ac:dyDescent="0.35">
      <c r="A15" s="172" t="s">
        <v>120</v>
      </c>
      <c r="B15" s="28">
        <f>106359*10.764</f>
        <v>1144848.2759999998</v>
      </c>
      <c r="C15" s="29">
        <f>10.764*7198</f>
        <v>77479.271999999997</v>
      </c>
      <c r="D15" s="42">
        <f>10.764*1700</f>
        <v>18298.8</v>
      </c>
      <c r="E15" s="157">
        <f xml:space="preserve"> SUM(B15:D15)</f>
        <v>1240626.348</v>
      </c>
    </row>
    <row r="16" spans="1:7" ht="38.5" customHeight="1" thickBot="1" x14ac:dyDescent="0.4">
      <c r="A16" s="173" t="s">
        <v>121</v>
      </c>
      <c r="B16" s="158">
        <f>106359*10.764</f>
        <v>1144848.2759999998</v>
      </c>
      <c r="C16" s="159">
        <f>10.764*7198</f>
        <v>77479.271999999997</v>
      </c>
      <c r="D16" s="160">
        <f>10.764*1700</f>
        <v>18298.8</v>
      </c>
      <c r="E16" s="161">
        <f xml:space="preserve"> SUM(B16:D16)</f>
        <v>1240626.348</v>
      </c>
    </row>
  </sheetData>
  <mergeCells count="1">
    <mergeCell ref="A3:E3"/>
  </mergeCells>
  <hyperlinks>
    <hyperlink ref="G2" location="Descriptif!L1C1" display="Sheets description" xr:uid="{F419A97F-3933-4C89-84D9-525F6D24A661}"/>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C8D2D-C838-4D02-B7A5-0B39C429746C}">
  <sheetPr>
    <tabColor theme="3" tint="0.39997558519241921"/>
  </sheetPr>
  <dimension ref="A2:G9"/>
  <sheetViews>
    <sheetView workbookViewId="0">
      <selection activeCell="F8" sqref="F8"/>
    </sheetView>
  </sheetViews>
  <sheetFormatPr baseColWidth="10" defaultRowHeight="14.5" x14ac:dyDescent="0.35"/>
  <cols>
    <col min="1" max="1" width="26.7265625" customWidth="1"/>
    <col min="2" max="2" width="12.1796875" customWidth="1"/>
    <col min="3" max="3" width="13.08984375" customWidth="1"/>
    <col min="4" max="4" width="18.54296875" customWidth="1"/>
  </cols>
  <sheetData>
    <row r="2" spans="1:7" ht="15" thickBot="1" x14ac:dyDescent="0.4">
      <c r="G2" s="138" t="s">
        <v>107</v>
      </c>
    </row>
    <row r="3" spans="1:7" ht="15" thickBot="1" x14ac:dyDescent="0.4">
      <c r="B3" s="45" t="s">
        <v>12</v>
      </c>
      <c r="C3" s="46" t="s">
        <v>10</v>
      </c>
      <c r="D3" s="47" t="s">
        <v>11</v>
      </c>
    </row>
    <row r="4" spans="1:7" ht="46" customHeight="1" x14ac:dyDescent="0.35">
      <c r="A4" s="7" t="s">
        <v>72</v>
      </c>
      <c r="B4" s="82">
        <f xml:space="preserve"> 'Renewbale Energy UM6P'!G13</f>
        <v>234060</v>
      </c>
      <c r="C4" s="83">
        <v>155571.9</v>
      </c>
      <c r="D4" s="3">
        <f xml:space="preserve"> 'Energy Experimental farm'!B11+'Energy Experimental farm'!B12</f>
        <v>31849.399999999998</v>
      </c>
    </row>
    <row r="5" spans="1:7" ht="55.5" customHeight="1" thickBot="1" x14ac:dyDescent="0.4">
      <c r="A5" s="77" t="s">
        <v>73</v>
      </c>
      <c r="B5" s="105">
        <f xml:space="preserve"> 'Purchased Electricity UM6P'!F17</f>
        <v>7780000</v>
      </c>
      <c r="C5" s="106">
        <v>219791</v>
      </c>
      <c r="D5" s="4">
        <f xml:space="preserve"> 'Energy Experimental farm'!B16</f>
        <v>69292</v>
      </c>
    </row>
    <row r="6" spans="1:7" ht="42.5" customHeight="1" x14ac:dyDescent="0.35">
      <c r="A6" s="7" t="s">
        <v>56</v>
      </c>
      <c r="B6" s="82">
        <v>234060</v>
      </c>
      <c r="C6" s="83">
        <v>141429</v>
      </c>
      <c r="D6" s="3">
        <v>0</v>
      </c>
    </row>
    <row r="7" spans="1:7" ht="29.5" thickBot="1" x14ac:dyDescent="0.4">
      <c r="A7" s="10" t="s">
        <v>57</v>
      </c>
      <c r="B7" s="84">
        <f xml:space="preserve"> 'Purchased Electricity UM6P'!E17</f>
        <v>6693009</v>
      </c>
      <c r="C7" s="85">
        <v>230414</v>
      </c>
      <c r="D7" s="6">
        <f xml:space="preserve"> 'Energy Experimental farm'!B15</f>
        <v>15731</v>
      </c>
    </row>
    <row r="8" spans="1:7" ht="29" x14ac:dyDescent="0.35">
      <c r="A8" s="7" t="s">
        <v>76</v>
      </c>
      <c r="B8" s="107">
        <v>26197</v>
      </c>
      <c r="C8" s="108">
        <v>0</v>
      </c>
      <c r="D8" s="5">
        <v>0</v>
      </c>
    </row>
    <row r="9" spans="1:7" ht="29.5" thickBot="1" x14ac:dyDescent="0.4">
      <c r="A9" s="77" t="s">
        <v>77</v>
      </c>
      <c r="B9" s="84">
        <v>10000</v>
      </c>
      <c r="C9" s="85">
        <v>0</v>
      </c>
      <c r="D9" s="6">
        <v>0</v>
      </c>
    </row>
  </sheetData>
  <hyperlinks>
    <hyperlink ref="G2" location="Descriptif!L1C1" display="Sheets description" xr:uid="{795988B9-F7D1-4813-8E2F-038B9FCCAF9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AEAE7-0F8A-4AE4-B0A2-17A701FDA964}">
  <sheetPr>
    <tabColor theme="4" tint="0.59999389629810485"/>
  </sheetPr>
  <dimension ref="A1:H16"/>
  <sheetViews>
    <sheetView workbookViewId="0">
      <selection activeCell="E16" sqref="E16"/>
    </sheetView>
  </sheetViews>
  <sheetFormatPr baseColWidth="10" defaultRowHeight="14.5" x14ac:dyDescent="0.35"/>
  <cols>
    <col min="1" max="1" width="37.36328125" customWidth="1"/>
  </cols>
  <sheetData>
    <row r="1" spans="1:8" ht="15" thickBot="1" x14ac:dyDescent="0.4"/>
    <row r="2" spans="1:8" ht="15" thickBot="1" x14ac:dyDescent="0.4">
      <c r="A2" s="204" t="s">
        <v>78</v>
      </c>
      <c r="B2" s="205"/>
      <c r="C2" s="205"/>
      <c r="D2" s="205"/>
      <c r="E2" s="205"/>
      <c r="F2" s="205"/>
      <c r="G2" s="205"/>
      <c r="H2" s="206"/>
    </row>
    <row r="4" spans="1:8" ht="15" thickBot="1" x14ac:dyDescent="0.4"/>
    <row r="5" spans="1:8" ht="15" thickBot="1" x14ac:dyDescent="0.4">
      <c r="A5" s="201" t="s">
        <v>13</v>
      </c>
      <c r="B5" s="202"/>
      <c r="C5" s="202"/>
      <c r="D5" s="202"/>
      <c r="E5" s="202"/>
      <c r="F5" s="202"/>
      <c r="G5" s="202"/>
      <c r="H5" s="203"/>
    </row>
    <row r="6" spans="1:8" x14ac:dyDescent="0.35">
      <c r="A6" s="31" t="s">
        <v>14</v>
      </c>
      <c r="B6" s="32">
        <v>43617</v>
      </c>
      <c r="C6" s="33">
        <v>43647</v>
      </c>
      <c r="D6" s="33">
        <v>43678</v>
      </c>
      <c r="E6" s="33">
        <v>43709</v>
      </c>
      <c r="F6" s="33">
        <v>43739</v>
      </c>
      <c r="G6" s="33">
        <v>43770</v>
      </c>
      <c r="H6" s="34">
        <v>43800</v>
      </c>
    </row>
    <row r="7" spans="1:8" x14ac:dyDescent="0.35">
      <c r="A7" s="35" t="s">
        <v>15</v>
      </c>
      <c r="B7" s="36">
        <v>4125.8999999999996</v>
      </c>
      <c r="C7" s="14">
        <v>4245.2</v>
      </c>
      <c r="D7" s="14">
        <v>4269.8</v>
      </c>
      <c r="E7" s="14">
        <v>4055.2</v>
      </c>
      <c r="F7" s="14">
        <v>3887.7</v>
      </c>
      <c r="G7" s="14">
        <v>3625.6</v>
      </c>
      <c r="H7" s="27">
        <v>3547.5</v>
      </c>
    </row>
    <row r="8" spans="1:8" ht="15" thickBot="1" x14ac:dyDescent="0.4">
      <c r="A8" s="37" t="s">
        <v>16</v>
      </c>
      <c r="B8" s="38">
        <v>611.70000000000005</v>
      </c>
      <c r="C8" s="30">
        <v>617.79999999999995</v>
      </c>
      <c r="D8" s="30">
        <v>632.9</v>
      </c>
      <c r="E8" s="30">
        <v>607.5</v>
      </c>
      <c r="F8" s="30">
        <v>564.79999999999995</v>
      </c>
      <c r="G8" s="30">
        <v>532.70000000000005</v>
      </c>
      <c r="H8" s="2">
        <v>525.1</v>
      </c>
    </row>
    <row r="9" spans="1:8" ht="15" thickBot="1" x14ac:dyDescent="0.4"/>
    <row r="10" spans="1:8" ht="15" thickBot="1" x14ac:dyDescent="0.4">
      <c r="A10" s="201" t="s">
        <v>17</v>
      </c>
      <c r="B10" s="203"/>
    </row>
    <row r="11" spans="1:8" x14ac:dyDescent="0.35">
      <c r="A11" s="31" t="s">
        <v>18</v>
      </c>
      <c r="B11" s="39">
        <f xml:space="preserve"> SUM(B7:H7)</f>
        <v>27756.899999999998</v>
      </c>
    </row>
    <row r="12" spans="1:8" ht="15" thickBot="1" x14ac:dyDescent="0.4">
      <c r="A12" s="37" t="s">
        <v>19</v>
      </c>
      <c r="B12" s="40">
        <f xml:space="preserve"> SUM(B8:H8)</f>
        <v>4092.4999999999995</v>
      </c>
      <c r="E12" s="138"/>
      <c r="F12" s="138" t="s">
        <v>107</v>
      </c>
    </row>
    <row r="13" spans="1:8" ht="15" thickBot="1" x14ac:dyDescent="0.4"/>
    <row r="14" spans="1:8" ht="15" thickBot="1" x14ac:dyDescent="0.4">
      <c r="A14" s="201" t="s">
        <v>20</v>
      </c>
      <c r="B14" s="203"/>
    </row>
    <row r="15" spans="1:8" x14ac:dyDescent="0.35">
      <c r="A15" s="31" t="s">
        <v>21</v>
      </c>
      <c r="B15" s="39">
        <v>15731</v>
      </c>
    </row>
    <row r="16" spans="1:8" ht="15" thickBot="1" x14ac:dyDescent="0.4">
      <c r="A16" s="37" t="s">
        <v>22</v>
      </c>
      <c r="B16" s="40">
        <v>69292</v>
      </c>
    </row>
  </sheetData>
  <mergeCells count="4">
    <mergeCell ref="A5:H5"/>
    <mergeCell ref="A10:B10"/>
    <mergeCell ref="A14:B14"/>
    <mergeCell ref="A2:H2"/>
  </mergeCells>
  <hyperlinks>
    <hyperlink ref="F12" location="Descriptif!L1C1" display="Sheets description" xr:uid="{6F201E24-5A20-4BED-9672-9E5A946BA6A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54D6-2D44-49A5-83D9-DEE96E6B6EDA}">
  <sheetPr>
    <tabColor theme="5" tint="0.39997558519241921"/>
  </sheetPr>
  <dimension ref="B1:J13"/>
  <sheetViews>
    <sheetView workbookViewId="0">
      <selection activeCell="J6" sqref="J6"/>
    </sheetView>
  </sheetViews>
  <sheetFormatPr baseColWidth="10" defaultRowHeight="14.5" x14ac:dyDescent="0.35"/>
  <cols>
    <col min="5" max="5" width="19" customWidth="1"/>
    <col min="6" max="6" width="17.453125" customWidth="1"/>
    <col min="7" max="7" width="16.26953125" customWidth="1"/>
    <col min="8" max="8" width="17.453125" customWidth="1"/>
  </cols>
  <sheetData>
    <row r="1" spans="2:10" x14ac:dyDescent="0.35">
      <c r="J1" s="138" t="s">
        <v>107</v>
      </c>
    </row>
    <row r="2" spans="2:10" ht="15" thickBot="1" x14ac:dyDescent="0.4"/>
    <row r="3" spans="2:10" ht="15" thickBot="1" x14ac:dyDescent="0.4">
      <c r="B3" s="207" t="s">
        <v>23</v>
      </c>
      <c r="C3" s="208"/>
      <c r="D3" s="208"/>
      <c r="E3" s="208"/>
      <c r="F3" s="208"/>
      <c r="G3" s="208"/>
      <c r="H3" s="209"/>
    </row>
    <row r="4" spans="2:10" ht="69" customHeight="1" thickBot="1" x14ac:dyDescent="0.4">
      <c r="B4" s="48" t="s">
        <v>24</v>
      </c>
      <c r="C4" s="49" t="s">
        <v>25</v>
      </c>
      <c r="D4" s="50" t="s">
        <v>26</v>
      </c>
      <c r="E4" s="50" t="s">
        <v>27</v>
      </c>
      <c r="F4" s="51" t="s">
        <v>28</v>
      </c>
      <c r="G4" s="52" t="s">
        <v>29</v>
      </c>
      <c r="H4" s="53" t="s">
        <v>30</v>
      </c>
    </row>
    <row r="5" spans="2:10" x14ac:dyDescent="0.35">
      <c r="B5" s="54" t="s">
        <v>31</v>
      </c>
      <c r="C5" s="55">
        <v>7</v>
      </c>
      <c r="D5" s="56">
        <v>800</v>
      </c>
      <c r="E5" s="56">
        <v>5</v>
      </c>
      <c r="F5" s="57">
        <f t="shared" ref="F5:F11" si="0">E5*C5</f>
        <v>35</v>
      </c>
      <c r="G5" s="56">
        <f t="shared" ref="G5:G11" si="1">5*30*4*F5</f>
        <v>21000</v>
      </c>
      <c r="H5" s="57">
        <f t="shared" ref="H5:H11" si="2">0.5*30*7*F5</f>
        <v>3675</v>
      </c>
    </row>
    <row r="6" spans="2:10" x14ac:dyDescent="0.35">
      <c r="B6" s="54" t="s">
        <v>32</v>
      </c>
      <c r="C6" s="55">
        <v>7</v>
      </c>
      <c r="D6" s="56">
        <v>800</v>
      </c>
      <c r="E6" s="56">
        <v>5</v>
      </c>
      <c r="F6" s="57">
        <f t="shared" si="0"/>
        <v>35</v>
      </c>
      <c r="G6" s="56">
        <f t="shared" si="1"/>
        <v>21000</v>
      </c>
      <c r="H6" s="57">
        <f t="shared" si="2"/>
        <v>3675</v>
      </c>
    </row>
    <row r="7" spans="2:10" ht="29" x14ac:dyDescent="0.35">
      <c r="B7" s="54" t="s">
        <v>33</v>
      </c>
      <c r="C7" s="55">
        <v>2</v>
      </c>
      <c r="D7" s="56">
        <v>2000</v>
      </c>
      <c r="E7" s="56">
        <v>10</v>
      </c>
      <c r="F7" s="57">
        <f t="shared" si="0"/>
        <v>20</v>
      </c>
      <c r="G7" s="56">
        <f t="shared" si="1"/>
        <v>12000</v>
      </c>
      <c r="H7" s="57">
        <f t="shared" si="2"/>
        <v>2100</v>
      </c>
    </row>
    <row r="8" spans="2:10" ht="43.5" x14ac:dyDescent="0.35">
      <c r="B8" s="54" t="s">
        <v>34</v>
      </c>
      <c r="C8" s="55">
        <v>1</v>
      </c>
      <c r="D8" s="56">
        <v>2000</v>
      </c>
      <c r="E8" s="56">
        <v>10</v>
      </c>
      <c r="F8" s="57">
        <f t="shared" si="0"/>
        <v>10</v>
      </c>
      <c r="G8" s="56">
        <f t="shared" si="1"/>
        <v>6000</v>
      </c>
      <c r="H8" s="57">
        <f t="shared" si="2"/>
        <v>1050</v>
      </c>
    </row>
    <row r="9" spans="2:10" ht="29" x14ac:dyDescent="0.35">
      <c r="B9" s="54" t="s">
        <v>35</v>
      </c>
      <c r="C9" s="55">
        <v>1</v>
      </c>
      <c r="D9" s="56">
        <v>5000</v>
      </c>
      <c r="E9" s="56">
        <v>72</v>
      </c>
      <c r="F9" s="57">
        <f t="shared" si="0"/>
        <v>72</v>
      </c>
      <c r="G9" s="56">
        <f t="shared" si="1"/>
        <v>43200</v>
      </c>
      <c r="H9" s="57">
        <f t="shared" si="2"/>
        <v>7560</v>
      </c>
    </row>
    <row r="10" spans="2:10" x14ac:dyDescent="0.35">
      <c r="B10" s="54" t="s">
        <v>36</v>
      </c>
      <c r="C10" s="55">
        <v>16</v>
      </c>
      <c r="D10" s="56">
        <v>400</v>
      </c>
      <c r="E10" s="56">
        <v>5</v>
      </c>
      <c r="F10" s="57">
        <f t="shared" si="0"/>
        <v>80</v>
      </c>
      <c r="G10" s="56">
        <f t="shared" si="1"/>
        <v>48000</v>
      </c>
      <c r="H10" s="57">
        <f t="shared" si="2"/>
        <v>8400</v>
      </c>
    </row>
    <row r="11" spans="2:10" ht="15" thickBot="1" x14ac:dyDescent="0.4">
      <c r="B11" s="54" t="s">
        <v>37</v>
      </c>
      <c r="C11" s="55">
        <v>16</v>
      </c>
      <c r="D11" s="56">
        <v>400</v>
      </c>
      <c r="E11" s="56">
        <v>5</v>
      </c>
      <c r="F11" s="57">
        <f t="shared" si="0"/>
        <v>80</v>
      </c>
      <c r="G11" s="56">
        <f t="shared" si="1"/>
        <v>48000</v>
      </c>
      <c r="H11" s="57">
        <f t="shared" si="2"/>
        <v>8400</v>
      </c>
    </row>
    <row r="12" spans="2:10" ht="15" thickBot="1" x14ac:dyDescent="0.4">
      <c r="B12" s="210" t="s">
        <v>38</v>
      </c>
      <c r="C12" s="211"/>
      <c r="D12" s="211"/>
      <c r="E12" s="211"/>
      <c r="F12" s="211"/>
      <c r="G12" s="58">
        <f>SUM(G5:G11)</f>
        <v>199200</v>
      </c>
      <c r="H12" s="59">
        <f>SUM(H5:H11)</f>
        <v>34860</v>
      </c>
    </row>
    <row r="13" spans="2:10" ht="15" thickBot="1" x14ac:dyDescent="0.4">
      <c r="B13" s="212" t="s">
        <v>39</v>
      </c>
      <c r="C13" s="213"/>
      <c r="D13" s="213"/>
      <c r="E13" s="213"/>
      <c r="F13" s="213"/>
      <c r="G13" s="212">
        <f>G12+H12</f>
        <v>234060</v>
      </c>
      <c r="H13" s="214"/>
    </row>
  </sheetData>
  <mergeCells count="4">
    <mergeCell ref="B3:H3"/>
    <mergeCell ref="B12:F12"/>
    <mergeCell ref="B13:F13"/>
    <mergeCell ref="G13:H13"/>
  </mergeCells>
  <hyperlinks>
    <hyperlink ref="J1" location="Descriptif!L1C1" display="Sheets description" xr:uid="{DADB9D2A-BFF0-4F97-8C21-28E78975D21C}"/>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7320B-F4B1-47E6-9FDD-4BC3879FC0A9}">
  <sheetPr>
    <tabColor theme="7" tint="0.59999389629810485"/>
  </sheetPr>
  <dimension ref="C2:I17"/>
  <sheetViews>
    <sheetView topLeftCell="B9" workbookViewId="0">
      <selection activeCell="I16" sqref="I16"/>
    </sheetView>
  </sheetViews>
  <sheetFormatPr baseColWidth="10" defaultColWidth="8.7265625" defaultRowHeight="14.5" x14ac:dyDescent="0.35"/>
  <cols>
    <col min="3" max="5" width="11.6328125" customWidth="1"/>
    <col min="6" max="6" width="11.81640625" style="9" customWidth="1"/>
    <col min="7" max="7" width="11" customWidth="1"/>
  </cols>
  <sheetData>
    <row r="2" spans="3:9" ht="15" thickBot="1" x14ac:dyDescent="0.4"/>
    <row r="3" spans="3:9" ht="15" thickBot="1" x14ac:dyDescent="0.4">
      <c r="D3" s="215" t="s">
        <v>71</v>
      </c>
      <c r="E3" s="216"/>
      <c r="F3" s="216"/>
      <c r="G3" s="217"/>
    </row>
    <row r="4" spans="3:9" s="88" customFormat="1" ht="19.75" customHeight="1" thickBot="1" x14ac:dyDescent="0.4">
      <c r="C4" s="104"/>
      <c r="D4" s="103">
        <v>2017</v>
      </c>
      <c r="E4" s="90">
        <v>2018</v>
      </c>
      <c r="F4" s="102">
        <v>2019</v>
      </c>
      <c r="G4" s="101" t="s">
        <v>70</v>
      </c>
    </row>
    <row r="5" spans="3:9" s="88" customFormat="1" ht="20.399999999999999" customHeight="1" thickBot="1" x14ac:dyDescent="0.4">
      <c r="C5" s="100" t="s">
        <v>69</v>
      </c>
      <c r="D5" s="97">
        <v>700000</v>
      </c>
      <c r="E5" s="99">
        <v>628042</v>
      </c>
      <c r="F5" s="90">
        <v>650000</v>
      </c>
      <c r="G5" s="98">
        <f t="shared" ref="G5:G16" si="0">(D5+E5+F5)/3</f>
        <v>659347.33333333337</v>
      </c>
    </row>
    <row r="6" spans="3:9" s="88" customFormat="1" ht="20.399999999999999" customHeight="1" thickBot="1" x14ac:dyDescent="0.4">
      <c r="C6" s="96" t="s">
        <v>68</v>
      </c>
      <c r="D6" s="97">
        <v>660000</v>
      </c>
      <c r="E6" s="94">
        <v>619105</v>
      </c>
      <c r="F6" s="94">
        <v>623000</v>
      </c>
      <c r="G6" s="93">
        <f t="shared" si="0"/>
        <v>634035</v>
      </c>
    </row>
    <row r="7" spans="3:9" s="88" customFormat="1" ht="20.399999999999999" customHeight="1" thickBot="1" x14ac:dyDescent="0.4">
      <c r="C7" s="96" t="s">
        <v>67</v>
      </c>
      <c r="D7" s="97">
        <v>648667</v>
      </c>
      <c r="E7" s="94">
        <v>606771</v>
      </c>
      <c r="F7" s="94">
        <v>613000</v>
      </c>
      <c r="G7" s="93">
        <f t="shared" si="0"/>
        <v>622812.66666666663</v>
      </c>
    </row>
    <row r="8" spans="3:9" s="88" customFormat="1" ht="20.399999999999999" customHeight="1" thickBot="1" x14ac:dyDescent="0.4">
      <c r="C8" s="96" t="s">
        <v>66</v>
      </c>
      <c r="D8" s="97">
        <v>515933</v>
      </c>
      <c r="E8" s="94">
        <v>526346</v>
      </c>
      <c r="F8" s="94">
        <v>586000</v>
      </c>
      <c r="G8" s="93">
        <f t="shared" si="0"/>
        <v>542759.66666666663</v>
      </c>
    </row>
    <row r="9" spans="3:9" s="88" customFormat="1" ht="20.399999999999999" customHeight="1" thickBot="1" x14ac:dyDescent="0.4">
      <c r="C9" s="96" t="s">
        <v>65</v>
      </c>
      <c r="D9" s="97">
        <v>615000</v>
      </c>
      <c r="E9" s="94">
        <v>467028</v>
      </c>
      <c r="F9" s="94">
        <v>576000</v>
      </c>
      <c r="G9" s="93">
        <f t="shared" si="0"/>
        <v>552676</v>
      </c>
    </row>
    <row r="10" spans="3:9" s="88" customFormat="1" ht="20.399999999999999" customHeight="1" x14ac:dyDescent="0.35">
      <c r="C10" s="96" t="s">
        <v>64</v>
      </c>
      <c r="D10" s="95">
        <v>517570</v>
      </c>
      <c r="E10" s="94">
        <v>432439</v>
      </c>
      <c r="F10" s="94">
        <v>574000</v>
      </c>
      <c r="G10" s="93">
        <f t="shared" si="0"/>
        <v>508003</v>
      </c>
    </row>
    <row r="11" spans="3:9" s="88" customFormat="1" ht="20.399999999999999" customHeight="1" x14ac:dyDescent="0.35">
      <c r="C11" s="96" t="s">
        <v>63</v>
      </c>
      <c r="D11" s="95">
        <v>613036</v>
      </c>
      <c r="E11" s="94">
        <v>500902</v>
      </c>
      <c r="F11" s="94">
        <v>623000</v>
      </c>
      <c r="G11" s="93">
        <f t="shared" si="0"/>
        <v>578979.33333333337</v>
      </c>
    </row>
    <row r="12" spans="3:9" s="88" customFormat="1" ht="20.399999999999999" customHeight="1" x14ac:dyDescent="0.35">
      <c r="C12" s="96" t="s">
        <v>62</v>
      </c>
      <c r="D12" s="95">
        <v>594805</v>
      </c>
      <c r="E12" s="94">
        <v>488436</v>
      </c>
      <c r="F12" s="94">
        <v>590000</v>
      </c>
      <c r="G12" s="93">
        <f t="shared" si="0"/>
        <v>557747</v>
      </c>
    </row>
    <row r="13" spans="3:9" s="88" customFormat="1" ht="20.399999999999999" customHeight="1" x14ac:dyDescent="0.35">
      <c r="C13" s="96" t="s">
        <v>61</v>
      </c>
      <c r="D13" s="95">
        <v>610911</v>
      </c>
      <c r="E13" s="94">
        <v>545508</v>
      </c>
      <c r="F13" s="94">
        <v>689000</v>
      </c>
      <c r="G13" s="93">
        <f t="shared" si="0"/>
        <v>615139.66666666663</v>
      </c>
    </row>
    <row r="14" spans="3:9" s="88" customFormat="1" ht="20.399999999999999" customHeight="1" x14ac:dyDescent="0.35">
      <c r="C14" s="96" t="s">
        <v>60</v>
      </c>
      <c r="D14" s="95">
        <v>657826</v>
      </c>
      <c r="E14" s="94">
        <v>593005</v>
      </c>
      <c r="F14" s="94">
        <v>669000</v>
      </c>
      <c r="G14" s="93">
        <f t="shared" si="0"/>
        <v>639943.66666666663</v>
      </c>
      <c r="I14" s="138" t="s">
        <v>107</v>
      </c>
    </row>
    <row r="15" spans="3:9" s="88" customFormat="1" ht="20.399999999999999" customHeight="1" thickBot="1" x14ac:dyDescent="0.4">
      <c r="C15" s="96" t="s">
        <v>59</v>
      </c>
      <c r="D15" s="95">
        <v>531091</v>
      </c>
      <c r="E15" s="94">
        <v>635427</v>
      </c>
      <c r="F15" s="94">
        <v>670000</v>
      </c>
      <c r="G15" s="93">
        <f t="shared" si="0"/>
        <v>612172.66666666663</v>
      </c>
    </row>
    <row r="16" spans="3:9" s="88" customFormat="1" ht="20.399999999999999" customHeight="1" thickBot="1" x14ac:dyDescent="0.4">
      <c r="C16" s="92" t="s">
        <v>58</v>
      </c>
      <c r="D16" s="91">
        <v>564132</v>
      </c>
      <c r="E16" s="112">
        <v>650000</v>
      </c>
      <c r="F16" s="113">
        <v>917000</v>
      </c>
      <c r="G16" s="89">
        <f t="shared" si="0"/>
        <v>710377.33333333337</v>
      </c>
    </row>
    <row r="17" spans="3:7" ht="15" thickBot="1" x14ac:dyDescent="0.4">
      <c r="C17" s="87" t="s">
        <v>38</v>
      </c>
      <c r="D17" s="86">
        <f xml:space="preserve"> SUM(D5:D16)</f>
        <v>7228971</v>
      </c>
      <c r="E17" s="114">
        <f xml:space="preserve"> SUM(E5:E16)</f>
        <v>6693009</v>
      </c>
      <c r="F17" s="115">
        <f xml:space="preserve"> SUM(F5:F16)</f>
        <v>7780000</v>
      </c>
      <c r="G17" s="111">
        <f>AVERAGE(G5:G16)</f>
        <v>602832.77777777787</v>
      </c>
    </row>
  </sheetData>
  <mergeCells count="1">
    <mergeCell ref="D3:G3"/>
  </mergeCells>
  <hyperlinks>
    <hyperlink ref="I14" location="Descriptif!L1C1" display="Sheets description" xr:uid="{47E15B23-36F1-422A-87E5-1492E27674EF}"/>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E82EB-3770-46DA-96FE-CB2D0897B825}">
  <sheetPr>
    <tabColor rgb="FFFF0000"/>
  </sheetPr>
  <dimension ref="B2:K8"/>
  <sheetViews>
    <sheetView workbookViewId="0">
      <selection activeCell="H8" sqref="H8"/>
    </sheetView>
  </sheetViews>
  <sheetFormatPr baseColWidth="10" defaultColWidth="8.7265625" defaultRowHeight="14.5" x14ac:dyDescent="0.35"/>
  <cols>
    <col min="2" max="2" width="13.81640625" customWidth="1"/>
    <col min="3" max="8" width="14.08984375" customWidth="1"/>
  </cols>
  <sheetData>
    <row r="2" spans="2:11" ht="15" thickBot="1" x14ac:dyDescent="0.4">
      <c r="K2" s="138" t="s">
        <v>107</v>
      </c>
    </row>
    <row r="3" spans="2:11" x14ac:dyDescent="0.35">
      <c r="B3" s="218" t="s">
        <v>105</v>
      </c>
      <c r="C3" s="225" t="s">
        <v>104</v>
      </c>
      <c r="D3" s="222" t="s">
        <v>103</v>
      </c>
      <c r="E3" s="223"/>
      <c r="F3" s="224"/>
      <c r="G3" s="218" t="s">
        <v>102</v>
      </c>
      <c r="H3" s="227" t="s">
        <v>101</v>
      </c>
    </row>
    <row r="4" spans="2:11" s="56" customFormat="1" ht="39.65" customHeight="1" thickBot="1" x14ac:dyDescent="0.4">
      <c r="B4" s="219"/>
      <c r="C4" s="226"/>
      <c r="D4" s="136" t="s">
        <v>100</v>
      </c>
      <c r="E4" s="135" t="s">
        <v>99</v>
      </c>
      <c r="F4" s="134" t="s">
        <v>98</v>
      </c>
      <c r="G4" s="219"/>
      <c r="H4" s="228"/>
    </row>
    <row r="5" spans="2:11" ht="28.75" customHeight="1" x14ac:dyDescent="0.35">
      <c r="B5" s="41" t="s">
        <v>97</v>
      </c>
      <c r="C5" s="43">
        <v>90</v>
      </c>
      <c r="D5" s="18">
        <f>C5*6</f>
        <v>540</v>
      </c>
      <c r="E5" s="19">
        <f>C5*13</f>
        <v>1170</v>
      </c>
      <c r="F5" s="20">
        <f>C5*4</f>
        <v>360</v>
      </c>
      <c r="G5" s="43">
        <v>7</v>
      </c>
      <c r="H5" s="132">
        <f>G5*(F5+E5+D5)</f>
        <v>14490</v>
      </c>
    </row>
    <row r="6" spans="2:11" ht="28.75" customHeight="1" x14ac:dyDescent="0.35">
      <c r="B6" s="63" t="s">
        <v>96</v>
      </c>
      <c r="C6" s="62">
        <v>51</v>
      </c>
      <c r="D6" s="133">
        <f>C6*6</f>
        <v>306</v>
      </c>
      <c r="E6" s="13">
        <f>C6*13</f>
        <v>663</v>
      </c>
      <c r="F6" s="21">
        <f>C6*4</f>
        <v>204</v>
      </c>
      <c r="G6" s="62">
        <v>2</v>
      </c>
      <c r="H6" s="132">
        <f>G6*(F6+E6+D6)</f>
        <v>2346</v>
      </c>
    </row>
    <row r="7" spans="2:11" ht="28.75" customHeight="1" thickBot="1" x14ac:dyDescent="0.4">
      <c r="B7" s="44" t="s">
        <v>95</v>
      </c>
      <c r="C7" s="44">
        <v>407</v>
      </c>
      <c r="D7" s="131">
        <f>C7*6</f>
        <v>2442</v>
      </c>
      <c r="E7" s="25">
        <f>C7*13</f>
        <v>5291</v>
      </c>
      <c r="F7" s="26">
        <f>C7*4</f>
        <v>1628</v>
      </c>
      <c r="G7" s="44">
        <v>1</v>
      </c>
      <c r="H7" s="130">
        <f>G7*(F7+E7+D7)</f>
        <v>9361</v>
      </c>
    </row>
    <row r="8" spans="2:11" ht="15" thickBot="1" x14ac:dyDescent="0.4">
      <c r="B8" s="220" t="s">
        <v>94</v>
      </c>
      <c r="C8" s="221"/>
      <c r="D8" s="128">
        <f>SUM(D5:D7)</f>
        <v>3288</v>
      </c>
      <c r="E8" s="129">
        <f>SUM(E5:E7)</f>
        <v>7124</v>
      </c>
      <c r="F8" s="128">
        <f>SUM(F5:F7)</f>
        <v>2192</v>
      </c>
      <c r="G8" s="127">
        <f>SUM(G5:G7)</f>
        <v>10</v>
      </c>
      <c r="H8" s="126">
        <f>SUM(H5:H7)</f>
        <v>26197</v>
      </c>
    </row>
  </sheetData>
  <mergeCells count="6">
    <mergeCell ref="B3:B4"/>
    <mergeCell ref="B8:C8"/>
    <mergeCell ref="D3:F3"/>
    <mergeCell ref="C3:C4"/>
    <mergeCell ref="H3:H4"/>
    <mergeCell ref="G3:G4"/>
  </mergeCells>
  <hyperlinks>
    <hyperlink ref="K2" location="Descriptif!L1C1" display="Sheets description" xr:uid="{5C436933-C2BC-4A47-8839-85312CEF082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F95E1-A662-4DE8-87F8-0588CE5E1CB1}">
  <dimension ref="A1:M21"/>
  <sheetViews>
    <sheetView workbookViewId="0">
      <selection activeCell="L15" sqref="L15"/>
    </sheetView>
  </sheetViews>
  <sheetFormatPr baseColWidth="10" defaultRowHeight="14.5" x14ac:dyDescent="0.35"/>
  <sheetData>
    <row r="1" spans="1:13" x14ac:dyDescent="0.35">
      <c r="A1" s="142" t="s">
        <v>55</v>
      </c>
      <c r="B1" s="143" t="s">
        <v>123</v>
      </c>
      <c r="C1" s="143"/>
      <c r="D1" s="143"/>
      <c r="E1" s="143"/>
      <c r="F1" s="143"/>
      <c r="G1" s="143"/>
      <c r="H1" s="143"/>
      <c r="I1" s="143"/>
      <c r="J1" s="143"/>
      <c r="K1" s="143"/>
      <c r="L1" s="143"/>
      <c r="M1" s="144"/>
    </row>
    <row r="2" spans="1:13" x14ac:dyDescent="0.35">
      <c r="A2" s="145" t="s">
        <v>54</v>
      </c>
      <c r="B2" s="146" t="s">
        <v>53</v>
      </c>
      <c r="C2" s="146"/>
      <c r="D2" s="146"/>
      <c r="E2" s="146"/>
      <c r="F2" s="146"/>
      <c r="G2" s="146"/>
      <c r="H2" s="146"/>
      <c r="I2" s="146"/>
      <c r="J2" s="146"/>
      <c r="K2" s="146"/>
      <c r="L2" s="146"/>
      <c r="M2" s="147"/>
    </row>
    <row r="3" spans="1:13" x14ac:dyDescent="0.35">
      <c r="A3" s="145" t="s">
        <v>52</v>
      </c>
      <c r="B3" s="146" t="s">
        <v>51</v>
      </c>
      <c r="C3" s="146"/>
      <c r="D3" s="146"/>
      <c r="E3" s="146"/>
      <c r="F3" s="146"/>
      <c r="G3" s="146"/>
      <c r="H3" s="146"/>
      <c r="I3" s="146"/>
      <c r="J3" s="146"/>
      <c r="K3" s="146"/>
      <c r="L3" s="146"/>
      <c r="M3" s="147"/>
    </row>
    <row r="4" spans="1:13" x14ac:dyDescent="0.35">
      <c r="A4" s="145" t="s">
        <v>50</v>
      </c>
      <c r="B4" s="146" t="s">
        <v>49</v>
      </c>
      <c r="C4" s="146"/>
      <c r="D4" s="146"/>
      <c r="E4" s="146"/>
      <c r="F4" s="146"/>
      <c r="G4" s="146"/>
      <c r="H4" s="146"/>
      <c r="I4" s="146"/>
      <c r="J4" s="146"/>
      <c r="K4" s="146"/>
      <c r="L4" s="146"/>
      <c r="M4" s="147"/>
    </row>
    <row r="5" spans="1:13" ht="15" thickBot="1" x14ac:dyDescent="0.4">
      <c r="A5" s="148" t="s">
        <v>48</v>
      </c>
      <c r="B5" s="149" t="s">
        <v>47</v>
      </c>
      <c r="C5" s="149"/>
      <c r="D5" s="149"/>
      <c r="E5" s="149"/>
      <c r="F5" s="149"/>
      <c r="G5" s="149"/>
      <c r="H5" s="149"/>
      <c r="I5" s="149"/>
      <c r="J5" s="149"/>
      <c r="K5" s="149"/>
      <c r="L5" s="149"/>
      <c r="M5" s="150"/>
    </row>
    <row r="7" spans="1:13" ht="15" thickBot="1" x14ac:dyDescent="0.4"/>
    <row r="8" spans="1:13" ht="15" thickBot="1" x14ac:dyDescent="0.4">
      <c r="B8" s="151"/>
      <c r="C8" s="152" t="s">
        <v>46</v>
      </c>
      <c r="D8" s="153" t="s">
        <v>45</v>
      </c>
      <c r="G8" s="151"/>
      <c r="H8" s="152" t="s">
        <v>122</v>
      </c>
      <c r="I8" s="153" t="s">
        <v>45</v>
      </c>
    </row>
    <row r="9" spans="1:13" x14ac:dyDescent="0.35">
      <c r="B9" s="154" t="s">
        <v>69</v>
      </c>
      <c r="C9" s="140">
        <v>238</v>
      </c>
      <c r="D9" s="141">
        <v>0.1</v>
      </c>
      <c r="G9" s="154" t="s">
        <v>69</v>
      </c>
      <c r="H9" s="140">
        <v>6</v>
      </c>
      <c r="I9" s="141">
        <v>0.1</v>
      </c>
    </row>
    <row r="10" spans="1:13" x14ac:dyDescent="0.35">
      <c r="B10" s="155" t="s">
        <v>113</v>
      </c>
      <c r="C10" s="13">
        <v>171</v>
      </c>
      <c r="D10" s="21">
        <v>0.02</v>
      </c>
      <c r="G10" s="155" t="s">
        <v>113</v>
      </c>
      <c r="H10" s="13">
        <v>21</v>
      </c>
      <c r="I10" s="21">
        <v>0.02</v>
      </c>
    </row>
    <row r="11" spans="1:13" x14ac:dyDescent="0.35">
      <c r="B11" s="155" t="s">
        <v>114</v>
      </c>
      <c r="C11" s="13">
        <v>110</v>
      </c>
      <c r="D11" s="21">
        <v>0.02</v>
      </c>
      <c r="G11" s="155" t="s">
        <v>114</v>
      </c>
      <c r="H11" s="13">
        <v>40</v>
      </c>
      <c r="I11" s="21">
        <v>0.02</v>
      </c>
    </row>
    <row r="12" spans="1:13" x14ac:dyDescent="0.35">
      <c r="B12" s="155" t="s">
        <v>115</v>
      </c>
      <c r="C12" s="13">
        <v>93</v>
      </c>
      <c r="D12" s="21">
        <v>0.1</v>
      </c>
      <c r="G12" s="155" t="s">
        <v>115</v>
      </c>
      <c r="H12" s="13">
        <v>50</v>
      </c>
      <c r="I12" s="21">
        <v>0.1</v>
      </c>
    </row>
    <row r="13" spans="1:13" x14ac:dyDescent="0.35">
      <c r="B13" s="155" t="s">
        <v>116</v>
      </c>
      <c r="C13" s="13">
        <v>42</v>
      </c>
      <c r="D13" s="21">
        <v>0.03</v>
      </c>
      <c r="G13" s="155" t="s">
        <v>116</v>
      </c>
      <c r="H13" s="13">
        <v>137</v>
      </c>
      <c r="I13" s="21">
        <v>0.03</v>
      </c>
    </row>
    <row r="14" spans="1:13" x14ac:dyDescent="0.35">
      <c r="B14" s="155" t="s">
        <v>117</v>
      </c>
      <c r="C14" s="13">
        <v>16</v>
      </c>
      <c r="D14" s="21">
        <v>0</v>
      </c>
      <c r="G14" s="155" t="s">
        <v>117</v>
      </c>
      <c r="H14" s="13">
        <v>151</v>
      </c>
      <c r="I14" s="21">
        <v>0</v>
      </c>
    </row>
    <row r="15" spans="1:13" x14ac:dyDescent="0.35">
      <c r="B15" s="155" t="s">
        <v>118</v>
      </c>
      <c r="C15" s="13">
        <v>2</v>
      </c>
      <c r="D15" s="21">
        <v>0.1</v>
      </c>
      <c r="G15" s="155" t="s">
        <v>118</v>
      </c>
      <c r="H15" s="13">
        <v>247</v>
      </c>
      <c r="I15" s="21">
        <v>0.1</v>
      </c>
    </row>
    <row r="16" spans="1:13" x14ac:dyDescent="0.35">
      <c r="B16" s="155" t="s">
        <v>119</v>
      </c>
      <c r="C16" s="13">
        <v>0</v>
      </c>
      <c r="D16" s="21">
        <v>0.02</v>
      </c>
      <c r="G16" s="155" t="s">
        <v>119</v>
      </c>
      <c r="H16" s="13">
        <v>329</v>
      </c>
      <c r="I16" s="21">
        <v>0.02</v>
      </c>
    </row>
    <row r="17" spans="2:9" x14ac:dyDescent="0.35">
      <c r="B17" s="155" t="s">
        <v>61</v>
      </c>
      <c r="C17" s="13">
        <v>2</v>
      </c>
      <c r="D17" s="21">
        <v>0</v>
      </c>
      <c r="G17" s="155" t="s">
        <v>61</v>
      </c>
      <c r="H17" s="13">
        <v>216</v>
      </c>
      <c r="I17" s="21">
        <v>0</v>
      </c>
    </row>
    <row r="18" spans="2:9" x14ac:dyDescent="0.35">
      <c r="B18" s="155" t="s">
        <v>60</v>
      </c>
      <c r="C18" s="13">
        <v>30</v>
      </c>
      <c r="D18" s="21">
        <v>0</v>
      </c>
      <c r="G18" s="155" t="s">
        <v>60</v>
      </c>
      <c r="H18" s="13">
        <v>129</v>
      </c>
      <c r="I18" s="21">
        <v>0</v>
      </c>
    </row>
    <row r="19" spans="2:9" x14ac:dyDescent="0.35">
      <c r="B19" s="155" t="s">
        <v>59</v>
      </c>
      <c r="C19" s="13">
        <v>112</v>
      </c>
      <c r="D19" s="21">
        <v>7.0000000000000007E-2</v>
      </c>
      <c r="G19" s="155" t="s">
        <v>59</v>
      </c>
      <c r="H19" s="13">
        <v>22</v>
      </c>
      <c r="I19" s="21">
        <v>7.0000000000000007E-2</v>
      </c>
    </row>
    <row r="20" spans="2:9" x14ac:dyDescent="0.35">
      <c r="B20" s="155" t="s">
        <v>58</v>
      </c>
      <c r="C20" s="13">
        <v>167</v>
      </c>
      <c r="D20" s="21">
        <v>0.02</v>
      </c>
      <c r="G20" s="155" t="s">
        <v>58</v>
      </c>
      <c r="H20" s="13">
        <v>22</v>
      </c>
      <c r="I20" s="21">
        <v>0.02</v>
      </c>
    </row>
    <row r="21" spans="2:9" ht="15" thickBot="1" x14ac:dyDescent="0.4">
      <c r="B21" s="156" t="s">
        <v>38</v>
      </c>
      <c r="C21" s="25">
        <v>983</v>
      </c>
      <c r="D21" s="26">
        <v>0.04</v>
      </c>
      <c r="G21" s="156" t="s">
        <v>38</v>
      </c>
      <c r="H21" s="25">
        <v>1370</v>
      </c>
      <c r="I21" s="26">
        <v>0.04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Sheets Description</vt:lpstr>
      <vt:lpstr>Score Part 1</vt:lpstr>
      <vt:lpstr>Score Part 2</vt:lpstr>
      <vt:lpstr>Data Energy Campus</vt:lpstr>
      <vt:lpstr>Energy Experimental farm</vt:lpstr>
      <vt:lpstr>Renewbale Energy UM6P</vt:lpstr>
      <vt:lpstr>Purchased Electricity UM6P</vt:lpstr>
      <vt:lpstr>Energy Generators UM6P</vt:lpstr>
      <vt:lpstr>Total Degree Days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Maryame JEBBARI</dc:creator>
  <cp:lastModifiedBy>Maryame JEBBARI</cp:lastModifiedBy>
  <dcterms:created xsi:type="dcterms:W3CDTF">2020-06-26T08:57:07Z</dcterms:created>
  <dcterms:modified xsi:type="dcterms:W3CDTF">2020-07-14T14:07:44Z</dcterms:modified>
</cp:coreProperties>
</file>