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evin\AppData\Local\Box\Box Edit\Documents\WU2krccUS0K3jFR4D9kYNQ==\"/>
    </mc:Choice>
  </mc:AlternateContent>
  <xr:revisionPtr revIDLastSave="0" documentId="13_ncr:1_{6C6AB842-04AD-4B1E-B2AE-E4CA257E4DC9}" xr6:coauthVersionLast="47" xr6:coauthVersionMax="47" xr10:uidLastSave="{00000000-0000-0000-0000-000000000000}"/>
  <bookViews>
    <workbookView xWindow="-108" yWindow="-108" windowWidth="23256" windowHeight="12576" tabRatio="676" xr2:uid="{9AEAF9ED-3E36-451C-A8AD-FD6B59F43A9D}"/>
  </bookViews>
  <sheets>
    <sheet name="Summary" sheetId="17" r:id="rId1"/>
    <sheet name="Data Sources" sheetId="64" r:id="rId2"/>
    <sheet name="Emission Factors" sheetId="65" r:id="rId3"/>
    <sheet name="Source for OP funding" sheetId="66" r:id="rId4"/>
  </sheets>
  <externalReferences>
    <externalReference r:id="rId5"/>
    <externalReference r:id="rId6"/>
  </externalReferences>
  <definedNames>
    <definedName name="EnergyUse_Baseline">[1]Sheet1!$D$69:$O$122</definedName>
    <definedName name="General_First_History_Year">[2]MODEL_SETTINGS!$E$15</definedName>
    <definedName name="General_First_Modeled_Year">[2]MODEL_SETTINGS!$E$11</definedName>
    <definedName name="General_Last_Modeled_Year">[2]MODEL_SETTINGS!$E$14</definedName>
    <definedName name="GHGBaseline_MTCO2E">[1]Sheet1!$D$69:$O$122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17" l="1"/>
  <c r="F11" i="17"/>
  <c r="G11" i="17"/>
  <c r="H11" i="17"/>
  <c r="D11" i="17"/>
  <c r="E7" i="17" l="1"/>
  <c r="F7" i="17" s="1"/>
  <c r="E6" i="17"/>
  <c r="F6" i="17" s="1"/>
  <c r="G6" i="17" s="1"/>
  <c r="H6" i="17" s="1"/>
  <c r="D37" i="17" l="1"/>
  <c r="G26" i="17" l="1"/>
  <c r="H26" i="17"/>
  <c r="H25" i="17"/>
  <c r="G25" i="17"/>
  <c r="F25" i="17"/>
  <c r="E25" i="17"/>
  <c r="D25" i="17"/>
  <c r="D9" i="17"/>
  <c r="E9" i="17"/>
  <c r="F9" i="17"/>
  <c r="G9" i="17"/>
  <c r="H9" i="17"/>
  <c r="G7" i="17"/>
  <c r="H7" i="17" s="1"/>
  <c r="G5" i="17"/>
  <c r="F5" i="17"/>
  <c r="E5" i="17"/>
  <c r="D5" i="17"/>
  <c r="D68" i="17"/>
  <c r="H68" i="17"/>
  <c r="F68" i="17"/>
  <c r="E68" i="17"/>
  <c r="H37" i="17"/>
  <c r="G37" i="17"/>
  <c r="F37" i="17"/>
  <c r="E37" i="17"/>
  <c r="H60" i="17"/>
  <c r="G60" i="17"/>
  <c r="G68" i="17" s="1"/>
  <c r="H58" i="17"/>
  <c r="H5" i="17" s="1"/>
  <c r="H52" i="17"/>
  <c r="G52" i="17"/>
  <c r="F52" i="17"/>
  <c r="E52" i="17"/>
  <c r="D52" i="17"/>
  <c r="H23" i="17" l="1"/>
  <c r="H42" i="17" s="1"/>
  <c r="H71" i="17" a="1"/>
  <c r="H71" i="17" s="1"/>
  <c r="H4" i="17" s="1"/>
  <c r="H3" i="17" s="1"/>
  <c r="H50" i="17"/>
  <c r="H70" i="17" s="1"/>
  <c r="H45" i="17"/>
  <c r="H46" i="17" s="1"/>
  <c r="H41" i="17"/>
  <c r="H13" i="17"/>
  <c r="H12" i="17" l="1"/>
  <c r="H29" i="17" s="1"/>
  <c r="H18" i="17"/>
  <c r="F26" i="17"/>
  <c r="H44" i="17" l="1"/>
  <c r="H43" i="17"/>
  <c r="H30" i="17"/>
  <c r="D26" i="17" l="1"/>
  <c r="E45" i="17" l="1"/>
  <c r="F45" i="17"/>
  <c r="G45" i="17"/>
  <c r="D45" i="17"/>
  <c r="C74" i="17"/>
  <c r="C72" i="17"/>
  <c r="C73" i="17"/>
  <c r="C71" i="17"/>
  <c r="B74" i="17"/>
  <c r="B73" i="17"/>
  <c r="B72" i="17"/>
  <c r="B71" i="17"/>
  <c r="F8" i="65"/>
  <c r="D8" i="65"/>
  <c r="G71" i="17" a="1"/>
  <c r="G71" i="17" s="1"/>
  <c r="G4" i="17" s="1"/>
  <c r="G3" i="17" s="1"/>
  <c r="G41" i="17"/>
  <c r="G23" i="17"/>
  <c r="G42" i="17" s="1"/>
  <c r="G50" i="17"/>
  <c r="G70" i="17" s="1"/>
  <c r="G13" i="17"/>
  <c r="E26" i="17"/>
  <c r="D41" i="17"/>
  <c r="E41" i="17"/>
  <c r="F41" i="17"/>
  <c r="E20" i="65"/>
  <c r="F20" i="65"/>
  <c r="G20" i="65"/>
  <c r="H20" i="65"/>
  <c r="I20" i="65"/>
  <c r="J20" i="65"/>
  <c r="K20" i="65"/>
  <c r="L20" i="65"/>
  <c r="M20" i="65"/>
  <c r="D73" i="17" s="1" a="1"/>
  <c r="D73" i="17" s="1"/>
  <c r="N20" i="65"/>
  <c r="E73" i="17" s="1" a="1"/>
  <c r="E73" i="17" s="1"/>
  <c r="O20" i="65"/>
  <c r="F73" i="17" s="1" a="1"/>
  <c r="F73" i="17" s="1"/>
  <c r="P20" i="65"/>
  <c r="H73" i="17" s="1" a="1"/>
  <c r="H73" i="17" s="1"/>
  <c r="D20" i="65"/>
  <c r="E18" i="65"/>
  <c r="F18" i="65"/>
  <c r="G18" i="65"/>
  <c r="H18" i="65"/>
  <c r="I18" i="65"/>
  <c r="J18" i="65"/>
  <c r="K18" i="65"/>
  <c r="L18" i="65"/>
  <c r="M18" i="65"/>
  <c r="D72" i="17" s="1" a="1"/>
  <c r="D72" i="17" s="1"/>
  <c r="N18" i="65"/>
  <c r="E72" i="17" s="1" a="1"/>
  <c r="E72" i="17" s="1"/>
  <c r="O18" i="65"/>
  <c r="F72" i="17" s="1" a="1"/>
  <c r="F72" i="17" s="1"/>
  <c r="P18" i="65"/>
  <c r="D18" i="65"/>
  <c r="D71" i="17" a="1"/>
  <c r="D71" i="17" s="1"/>
  <c r="D4" i="17" s="1"/>
  <c r="E71" i="17" a="1"/>
  <c r="E71" i="17" s="1"/>
  <c r="E4" i="17" s="1"/>
  <c r="F71" i="17" a="1"/>
  <c r="F71" i="17" s="1"/>
  <c r="F4" i="17" s="1"/>
  <c r="G73" i="17" l="1" a="1"/>
  <c r="G73" i="17" s="1"/>
  <c r="G72" i="17" a="1"/>
  <c r="G72" i="17" s="1"/>
  <c r="H72" i="17" a="1"/>
  <c r="H72" i="17" s="1"/>
  <c r="G18" i="17"/>
  <c r="G46" i="17"/>
  <c r="G12" i="17"/>
  <c r="D46" i="17"/>
  <c r="F46" i="17"/>
  <c r="E46" i="17"/>
  <c r="D13" i="17"/>
  <c r="E13" i="17"/>
  <c r="F13" i="17"/>
  <c r="D3" i="17"/>
  <c r="E3" i="17"/>
  <c r="F3" i="17"/>
  <c r="D6" i="65"/>
  <c r="D10" i="65"/>
  <c r="C44" i="17"/>
  <c r="C43" i="17"/>
  <c r="E8" i="65"/>
  <c r="G8" i="65"/>
  <c r="E10" i="65"/>
  <c r="F10" i="65"/>
  <c r="G10" i="65"/>
  <c r="E6" i="65"/>
  <c r="F6" i="65"/>
  <c r="G6" i="65"/>
  <c r="E50" i="17"/>
  <c r="E70" i="17" s="1"/>
  <c r="F50" i="17"/>
  <c r="F70" i="17" s="1"/>
  <c r="H31" i="17" l="1"/>
  <c r="G30" i="17"/>
  <c r="E18" i="17"/>
  <c r="G44" i="17"/>
  <c r="G29" i="17"/>
  <c r="G43" i="17"/>
  <c r="F18" i="17"/>
  <c r="D18" i="17"/>
  <c r="D11" i="65"/>
  <c r="G11" i="65"/>
  <c r="F11" i="65"/>
  <c r="E11" i="65"/>
  <c r="F23" i="17"/>
  <c r="F42" i="17" s="1"/>
  <c r="E23" i="17"/>
  <c r="E42" i="17" s="1"/>
  <c r="F12" i="17"/>
  <c r="F29" i="17" s="1"/>
  <c r="E12" i="17"/>
  <c r="E29" i="17" s="1"/>
  <c r="G74" i="17" l="1" a="1"/>
  <c r="G74" i="17" s="1"/>
  <c r="H74" i="17" a="1"/>
  <c r="H74" i="17" s="1"/>
  <c r="F31" i="17"/>
  <c r="E31" i="17"/>
  <c r="G31" i="17"/>
  <c r="F30" i="17"/>
  <c r="E44" i="17"/>
  <c r="E43" i="17"/>
  <c r="E30" i="17"/>
  <c r="F44" i="17"/>
  <c r="F43" i="17"/>
  <c r="E74" i="17" a="1"/>
  <c r="E74" i="17" s="1"/>
  <c r="D74" i="17" s="1"/>
  <c r="F74" i="17" a="1"/>
  <c r="F74" i="17" s="1"/>
  <c r="D50" i="17" l="1"/>
  <c r="D70" i="17" s="1"/>
  <c r="D23" i="17" l="1"/>
  <c r="D42" i="17" s="1"/>
  <c r="D12" i="17" l="1"/>
  <c r="D29" i="17" s="1"/>
  <c r="D44" i="17" l="1"/>
  <c r="D43" i="17"/>
  <c r="D30" i="17" l="1"/>
  <c r="G63" i="17"/>
  <c r="E63" i="17"/>
  <c r="D63" i="17"/>
  <c r="F63" i="17"/>
  <c r="H63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DK</author>
    <author>Daniels, Suchi</author>
  </authors>
  <commentList>
    <comment ref="A9" authorId="0" shapeId="0" xr:uid="{B660B244-4F5F-4970-B619-1A38213402A8}">
      <text>
        <r>
          <rPr>
            <b/>
            <sz val="9"/>
            <color indexed="81"/>
            <rFont val="Tahoma"/>
            <family val="2"/>
          </rPr>
          <t>Put "Y" to hide in chart.</t>
        </r>
      </text>
    </comment>
    <comment ref="A18" authorId="0" shapeId="0" xr:uid="{7EA3A30D-55DD-49FD-B3FB-7F8919995F45}">
      <text>
        <r>
          <rPr>
            <b/>
            <sz val="9"/>
            <color indexed="81"/>
            <rFont val="Tahoma"/>
            <family val="2"/>
          </rPr>
          <t>Put "Y" to hide in chart.</t>
        </r>
      </text>
    </comment>
    <comment ref="D20" authorId="1" shapeId="0" xr:uid="{F29BC748-5F9F-433A-8A86-C6B205BF76DE}">
      <text>
        <r>
          <rPr>
            <b/>
            <sz val="9"/>
            <color indexed="81"/>
            <rFont val="Tahoma"/>
            <family val="2"/>
          </rPr>
          <t>Daniels, Suchi:</t>
        </r>
        <r>
          <rPr>
            <sz val="9"/>
            <color indexed="81"/>
            <rFont val="Tahoma"/>
            <family val="2"/>
          </rPr>
          <t xml:space="preserve">
year ending.  Reporting July 1, 2015 - June 30, 2016</t>
        </r>
      </text>
    </comment>
    <comment ref="E20" authorId="1" shapeId="0" xr:uid="{C0832FB9-D20A-434C-AD18-11BD9C1E316D}">
      <text>
        <r>
          <rPr>
            <b/>
            <sz val="9"/>
            <color indexed="81"/>
            <rFont val="Tahoma"/>
            <family val="2"/>
          </rPr>
          <t>Daniels, Suchi:</t>
        </r>
        <r>
          <rPr>
            <sz val="9"/>
            <color indexed="81"/>
            <rFont val="Tahoma"/>
            <family val="2"/>
          </rPr>
          <t xml:space="preserve">
year ending.  Reporting July 1, 2016 - June 30, 2017</t>
        </r>
      </text>
    </comment>
    <comment ref="F20" authorId="1" shapeId="0" xr:uid="{8B3AEB56-58FE-4625-9AC4-786D56CDA9D8}">
      <text>
        <r>
          <rPr>
            <b/>
            <sz val="9"/>
            <color indexed="81"/>
            <rFont val="Tahoma"/>
            <family val="2"/>
          </rPr>
          <t>Daniels, Suchi:</t>
        </r>
        <r>
          <rPr>
            <sz val="9"/>
            <color indexed="81"/>
            <rFont val="Tahoma"/>
            <family val="2"/>
          </rPr>
          <t xml:space="preserve">
year ending.  Reporting July 1, 2017 - June 30, 2018</t>
        </r>
      </text>
    </comment>
    <comment ref="G20" authorId="1" shapeId="0" xr:uid="{C4062E87-FD71-4341-9F7F-1ECA19246EFE}">
      <text>
        <r>
          <rPr>
            <b/>
            <sz val="9"/>
            <color indexed="81"/>
            <rFont val="Tahoma"/>
            <family val="2"/>
          </rPr>
          <t>Daniels, Suchi:</t>
        </r>
        <r>
          <rPr>
            <sz val="9"/>
            <color indexed="81"/>
            <rFont val="Tahoma"/>
            <family val="2"/>
          </rPr>
          <t xml:space="preserve">
year ending.  Reporting July 1, 2018 - June 30, 2019</t>
        </r>
      </text>
    </comment>
    <comment ref="H20" authorId="1" shapeId="0" xr:uid="{7BA26446-B920-4E15-A3C4-A4693AFCC5A3}">
      <text>
        <r>
          <rPr>
            <b/>
            <sz val="9"/>
            <color indexed="81"/>
            <rFont val="Tahoma"/>
            <family val="2"/>
          </rPr>
          <t>Daniels, Suchi:</t>
        </r>
        <r>
          <rPr>
            <sz val="9"/>
            <color indexed="81"/>
            <rFont val="Tahoma"/>
            <family val="2"/>
          </rPr>
          <t xml:space="preserve">
Reporting July 1, 2019 - June 30, 2020.  FTE data for year ending 2020 is combined data from all three campus locations
</t>
        </r>
      </text>
    </comment>
    <comment ref="D22" authorId="1" shapeId="0" xr:uid="{D422E12B-7D76-42B9-BF08-EA820E82CF3A}">
      <text>
        <r>
          <rPr>
            <b/>
            <sz val="9"/>
            <color indexed="81"/>
            <rFont val="Tahoma"/>
            <family val="2"/>
          </rPr>
          <t>Daniels, Suchi:</t>
        </r>
        <r>
          <rPr>
            <sz val="9"/>
            <color indexed="81"/>
            <rFont val="Tahoma"/>
            <family val="2"/>
          </rPr>
          <t xml:space="preserve">
same as 2017
</t>
        </r>
      </text>
    </comment>
    <comment ref="I22" authorId="1" shapeId="0" xr:uid="{0A9CF8CC-E183-49B3-A33D-5174DAC880C8}">
      <text>
        <r>
          <rPr>
            <b/>
            <sz val="9"/>
            <color indexed="81"/>
            <rFont val="Tahoma"/>
            <family val="2"/>
          </rPr>
          <t>Daniels, Suchi:</t>
        </r>
        <r>
          <rPr>
            <sz val="9"/>
            <color indexed="81"/>
            <rFont val="Tahoma"/>
            <family val="2"/>
          </rPr>
          <t xml:space="preserve">
reporting error - reported NSF of Lab Code rooms 250 </t>
        </r>
      </text>
    </comment>
    <comment ref="D24" authorId="1" shapeId="0" xr:uid="{C28B370B-A427-4480-A3D5-626D44380E73}">
      <text>
        <r>
          <rPr>
            <b/>
            <sz val="9"/>
            <color indexed="81"/>
            <rFont val="Tahoma"/>
            <family val="2"/>
          </rPr>
          <t>Daniels, Suchi:</t>
        </r>
        <r>
          <rPr>
            <sz val="9"/>
            <color indexed="81"/>
            <rFont val="Tahoma"/>
            <family val="2"/>
          </rPr>
          <t xml:space="preserve">
41,914 is the system total</t>
        </r>
      </text>
    </comment>
    <comment ref="C25" authorId="1" shapeId="0" xr:uid="{650A2D86-C0D4-4799-9586-1E7D3182E273}">
      <text>
        <r>
          <rPr>
            <b/>
            <sz val="9"/>
            <color indexed="81"/>
            <rFont val="Tahoma"/>
            <family val="2"/>
          </rPr>
          <t>Daniels, Suchi:</t>
        </r>
        <r>
          <rPr>
            <sz val="9"/>
            <color indexed="81"/>
            <rFont val="Tahoma"/>
            <family val="2"/>
          </rPr>
          <t xml:space="preserve">
FTE only - no part-time faculty</t>
        </r>
      </text>
    </comment>
    <comment ref="H25" authorId="1" shapeId="0" xr:uid="{7D519C5D-B68C-4488-813A-7063E4B68E17}">
      <text>
        <r>
          <rPr>
            <b/>
            <sz val="9"/>
            <color indexed="81"/>
            <rFont val="Tahoma"/>
            <family val="2"/>
          </rPr>
          <t>Daniels, Suchi:</t>
        </r>
        <r>
          <rPr>
            <sz val="9"/>
            <color indexed="81"/>
            <rFont val="Tahoma"/>
            <family val="2"/>
          </rPr>
          <t xml:space="preserve">
6/17/2021 waiting for ODS. Used FY1718 for adjuncts
</t>
        </r>
      </text>
    </comment>
    <comment ref="D26" authorId="1" shapeId="0" xr:uid="{CCAF4342-8C5C-43CD-AACB-E4B195E667F5}">
      <text>
        <r>
          <rPr>
            <b/>
            <sz val="9"/>
            <color indexed="81"/>
            <rFont val="Tahoma"/>
            <family val="2"/>
          </rPr>
          <t>Daniels, Suchi:</t>
        </r>
        <r>
          <rPr>
            <sz val="9"/>
            <color indexed="81"/>
            <rFont val="Tahoma"/>
            <family val="2"/>
          </rPr>
          <t xml:space="preserve">
originally shown as =7244+(3139*0.5)</t>
        </r>
      </text>
    </comment>
    <comment ref="E26" authorId="1" shapeId="0" xr:uid="{5193EB94-2A3F-4F4F-8109-B4729A58851C}">
      <text>
        <r>
          <rPr>
            <b/>
            <sz val="9"/>
            <color indexed="81"/>
            <rFont val="Tahoma"/>
            <family val="2"/>
          </rPr>
          <t>Daniels, Suchi:</t>
        </r>
        <r>
          <rPr>
            <sz val="9"/>
            <color indexed="81"/>
            <rFont val="Tahoma"/>
            <family val="2"/>
          </rPr>
          <t xml:space="preserve">
reviewed, correct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Laycock</author>
  </authors>
  <commentList>
    <comment ref="C18" authorId="0" shapeId="0" xr:uid="{5DCC44FB-108F-483C-9711-35F2A564AB42}">
      <text>
        <r>
          <rPr>
            <b/>
            <sz val="9"/>
            <color indexed="81"/>
            <rFont val="Tahoma"/>
            <family val="2"/>
          </rPr>
          <t>Kevin Laycock:</t>
        </r>
        <r>
          <rPr>
            <sz val="9"/>
            <color indexed="81"/>
            <rFont val="Tahoma"/>
            <family val="2"/>
          </rPr>
          <t xml:space="preserve">
.139 MMBTU/gal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<sst xmlns="http://schemas.openxmlformats.org/spreadsheetml/2006/main" count="221" uniqueCount="149">
  <si>
    <t>Institution</t>
  </si>
  <si>
    <t>Reporting Year</t>
  </si>
  <si>
    <t>Units</t>
  </si>
  <si>
    <t>MTCO2e</t>
  </si>
  <si>
    <t>Natural Gas</t>
  </si>
  <si>
    <t>Other Scope 1</t>
  </si>
  <si>
    <t>Purchased Electricity</t>
  </si>
  <si>
    <t>MWh</t>
  </si>
  <si>
    <t>Mitigation</t>
  </si>
  <si>
    <t>Purchased Carbon Offsets</t>
  </si>
  <si>
    <t>Offsets Sold</t>
  </si>
  <si>
    <t>Net Emissions</t>
  </si>
  <si>
    <t>Normalizing Series</t>
  </si>
  <si>
    <t>Building Gross Square Feet</t>
  </si>
  <si>
    <t>GSF</t>
  </si>
  <si>
    <t>Research Building Space</t>
  </si>
  <si>
    <t>Students</t>
  </si>
  <si>
    <t>FTE</t>
  </si>
  <si>
    <t>Faculty</t>
  </si>
  <si>
    <t>Staff</t>
  </si>
  <si>
    <t>Heating Degree Days</t>
  </si>
  <si>
    <t>HDD</t>
  </si>
  <si>
    <t>Cooling Degree Days</t>
  </si>
  <si>
    <t>CDD</t>
  </si>
  <si>
    <t>Notes</t>
  </si>
  <si>
    <t>Energy</t>
  </si>
  <si>
    <t>Emission Factors</t>
  </si>
  <si>
    <t>Scope 1 - Direct Emissions</t>
  </si>
  <si>
    <t>Scope 2 - Indirect Energy Emissions</t>
  </si>
  <si>
    <t>MTCO2e / KGSF</t>
  </si>
  <si>
    <t>Net Emissions Intensity</t>
  </si>
  <si>
    <t>GHG Inventory Summary Workbook</t>
  </si>
  <si>
    <t>v1.2.1</t>
  </si>
  <si>
    <t>Copyright © 2018</t>
  </si>
  <si>
    <t>https://creativecommons.org/licenses/by-sa/4.0/</t>
  </si>
  <si>
    <t>This work is licensed under a Creative Commons Attribution-ShareAlike 4.0 International License by</t>
  </si>
  <si>
    <t>Fovea, LLC</t>
  </si>
  <si>
    <t>https://www.foveaservices.com/</t>
  </si>
  <si>
    <t>Riverstone Sustainability</t>
  </si>
  <si>
    <t>https://www.riverstonesustainability.com/</t>
  </si>
  <si>
    <t>And other individual contributors</t>
  </si>
  <si>
    <t>Total FTE</t>
  </si>
  <si>
    <t>Source</t>
  </si>
  <si>
    <t>methane</t>
  </si>
  <si>
    <t>nitrous oxide</t>
  </si>
  <si>
    <t>carbon dioxide</t>
  </si>
  <si>
    <t>CO2e</t>
  </si>
  <si>
    <t>Warming Potential</t>
  </si>
  <si>
    <t>kg CO2e / (unit)</t>
  </si>
  <si>
    <t>Direct Transportation</t>
  </si>
  <si>
    <t>On-Campus Stationary</t>
  </si>
  <si>
    <t>MMBTU</t>
  </si>
  <si>
    <t>GHG_Report</t>
  </si>
  <si>
    <t>Year</t>
  </si>
  <si>
    <t>$/MMBTU</t>
  </si>
  <si>
    <t>$/MWh</t>
  </si>
  <si>
    <t>Scope 1 &amp; 2 Only</t>
  </si>
  <si>
    <t>Emissions Reduction</t>
  </si>
  <si>
    <t>% Reduction</t>
  </si>
  <si>
    <t>Electricity</t>
  </si>
  <si>
    <t>Propane</t>
  </si>
  <si>
    <t>Millions $</t>
  </si>
  <si>
    <t>Budget</t>
  </si>
  <si>
    <t>Operating Budget</t>
  </si>
  <si>
    <t>Research Budget</t>
  </si>
  <si>
    <t>Utilities (Energy only)</t>
  </si>
  <si>
    <t xml:space="preserve">  Natural Gas</t>
  </si>
  <si>
    <t>Utility Dollars/GSF</t>
  </si>
  <si>
    <t>$/GSF</t>
  </si>
  <si>
    <t>Utility Dollars/FTE</t>
  </si>
  <si>
    <t>$/FTE</t>
  </si>
  <si>
    <t>MTCO2e / kGSF</t>
  </si>
  <si>
    <t>MTCO2e / FTE</t>
  </si>
  <si>
    <t>MMBTUS</t>
  </si>
  <si>
    <t>Campus EUI</t>
  </si>
  <si>
    <t>kbtu / GSF / yr</t>
  </si>
  <si>
    <t>Data Sources</t>
  </si>
  <si>
    <t>File/Link</t>
  </si>
  <si>
    <t>GHG Source 1</t>
  </si>
  <si>
    <t>GHG Source 2</t>
  </si>
  <si>
    <t>GHG Source 3</t>
  </si>
  <si>
    <t>GHG Source 4</t>
  </si>
  <si>
    <t>GHG Source 5</t>
  </si>
  <si>
    <t>Emissions Rate</t>
  </si>
  <si>
    <t>Carbon Dioxide</t>
  </si>
  <si>
    <t>lbs / KWh</t>
  </si>
  <si>
    <t>kg / MWh</t>
  </si>
  <si>
    <t>Methane</t>
  </si>
  <si>
    <t>lbs / MWh</t>
  </si>
  <si>
    <t>Source Code</t>
  </si>
  <si>
    <t>Pg</t>
  </si>
  <si>
    <t>Link or Document</t>
  </si>
  <si>
    <t>eGrid Summary Tables 2018</t>
  </si>
  <si>
    <t>https://www.epa.gov/sites/production/files/2020-01/documents/egrid2018_summary_tables.pdf</t>
  </si>
  <si>
    <t>Process Emissions</t>
  </si>
  <si>
    <t>Fugitive Emissions</t>
  </si>
  <si>
    <t>E.g. Fertilizer &amp; Animals</t>
  </si>
  <si>
    <t>E.g. Refrigerants &amp; Chemicals</t>
  </si>
  <si>
    <t>Carbon Sequestration</t>
  </si>
  <si>
    <t>Carbon Storage from Composting</t>
  </si>
  <si>
    <t>HDD &amp; CDD</t>
  </si>
  <si>
    <t>Heating Degree and Cooling Degree Day calculator</t>
  </si>
  <si>
    <t>https://portfoliomanager.energystar.gov/pm/degreeDaysCalculator</t>
  </si>
  <si>
    <t>$/Gallon</t>
  </si>
  <si>
    <t>https://www.epa.gov/egrid/download-data</t>
  </si>
  <si>
    <t>Other Emission Factors</t>
  </si>
  <si>
    <t>kg/MMBTU</t>
  </si>
  <si>
    <t>https://www.epa.gov/sites/production/files/2018-03/documents/emission-factors_mar_2018_0.pdf</t>
  </si>
  <si>
    <t>eGrid Historical Data</t>
  </si>
  <si>
    <t>EPA Emission Factors for GHG Inventories</t>
  </si>
  <si>
    <t>Fuel Oil #1-4</t>
  </si>
  <si>
    <t>kg/gal</t>
  </si>
  <si>
    <t>GHG Reporting</t>
  </si>
  <si>
    <t xml:space="preserve">Second Nature reporting database </t>
  </si>
  <si>
    <t>https://reporting.secondnature.org/institution/detail!2028##2028</t>
  </si>
  <si>
    <t>Utilities (All)</t>
  </si>
  <si>
    <t xml:space="preserve">Financial </t>
  </si>
  <si>
    <t>Energy Use</t>
  </si>
  <si>
    <t>FY2010-2011 GHG Inventory</t>
  </si>
  <si>
    <t>https://reporting.secondnature.org/media/uploads/ghg/963-2011-inventorycalculator.pdf</t>
  </si>
  <si>
    <t>Accessed 5/13/21</t>
  </si>
  <si>
    <t>Scope 1 &amp; 2 Gross Emissions Intensity</t>
  </si>
  <si>
    <t>University of South Florida - Tampa Bay</t>
  </si>
  <si>
    <t>Gasoline</t>
  </si>
  <si>
    <t>Diesel</t>
  </si>
  <si>
    <t>Gallons</t>
  </si>
  <si>
    <t>Scope 1 - Stationary Fuel Quantities</t>
  </si>
  <si>
    <t>Scope 1 - Mobile Fuel Quantities</t>
  </si>
  <si>
    <t>Pricing</t>
  </si>
  <si>
    <t>eGrid Electricity Emission Factors - FRCC</t>
  </si>
  <si>
    <t>"Blended Rate" = total electricty spend/total electricty usage</t>
  </si>
  <si>
    <t>Key</t>
  </si>
  <si>
    <t>Data Requested</t>
  </si>
  <si>
    <t>Data needs verification/clarification.  Please refer to notes</t>
  </si>
  <si>
    <t>Scope 2 - Electricity</t>
  </si>
  <si>
    <t>Fuel Oil (#1-4)</t>
  </si>
  <si>
    <t>Data possibly entered in incorrect field on Second Nature</t>
  </si>
  <si>
    <t xml:space="preserve">Large increase in Research Building space.  New building? </t>
  </si>
  <si>
    <t xml:space="preserve"> </t>
  </si>
  <si>
    <t>Biodiesel</t>
  </si>
  <si>
    <t xml:space="preserve">* Increrasing in the gasoline? </t>
  </si>
  <si>
    <t>* Review the CO2/gal factor Greenhouse Gas Inventory Guidance: Direct Emissions from Mobile Combustion Source</t>
  </si>
  <si>
    <t>* Review the CO2/gal factor</t>
  </si>
  <si>
    <t>Should we include the cost of Diesel?</t>
  </si>
  <si>
    <t>Electricity * EF / 1000 is much lower. Are we missing EL MWH?</t>
  </si>
  <si>
    <t>Removed values since they were de minimis</t>
  </si>
  <si>
    <t>Why the large jump in 2020?</t>
  </si>
  <si>
    <t>Why the large jump in 2020? (Brenden has higher number for 2019)</t>
  </si>
  <si>
    <t>Provide if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</si>
</sst>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###0.00_)"/>
    <numFmt numFmtId="167" formatCode="#,##0_)"/>
    <numFmt numFmtId="168" formatCode="_(* #,##0.0_);_(* \(#,##0.0\);_(* &quot;-&quot;??_);_(@_)"/>
    <numFmt numFmtId="169" formatCode="0.0_W"/>
    <numFmt numFmtId="170" formatCode="0.0"/>
    <numFmt numFmtId="171" formatCode="0.00000"/>
    <numFmt numFmtId="172" formatCode="&quot;$&quot;#,##0.00"/>
    <numFmt numFmtId="173" formatCode="&quot;$&quot;#,##0.0"/>
    <numFmt numFmtId="174" formatCode="&quot;$&quot;#,##0.000"/>
    <numFmt numFmtId="175" formatCode="_(&quot;$&quot;* #,##0_);_(&quot;$&quot;* \(#,##0\);_(&quot;$&quot;* &quot;-&quot;??_);_(@_)"/>
    <numFmt numFmtId="176" formatCode="0.000000"/>
    <numFmt numFmtId="177" formatCode="0.000\ &quot;MMBTU/Gal&quot;"/>
    <numFmt numFmtId="178" formatCode="#,##0.0"/>
  </numFmts>
  <fonts count="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Times New Roman"/>
      <family val="1"/>
    </font>
    <font>
      <sz val="10"/>
      <name val="Arial"/>
      <family val="2"/>
    </font>
    <font>
      <sz val="8"/>
      <name val="Helv"/>
    </font>
    <font>
      <u/>
      <sz val="8"/>
      <color indexed="12"/>
      <name val="Times New Roman"/>
      <family val="1"/>
    </font>
    <font>
      <b/>
      <sz val="12"/>
      <name val="Arial"/>
      <family val="2"/>
    </font>
    <font>
      <sz val="11"/>
      <color indexed="8"/>
      <name val="Calibri"/>
      <family val="2"/>
    </font>
    <font>
      <sz val="12"/>
      <name val="Helv"/>
    </font>
    <font>
      <b/>
      <sz val="12"/>
      <name val="Helv"/>
    </font>
    <font>
      <sz val="9"/>
      <name val="Helv"/>
    </font>
    <font>
      <vertAlign val="superscript"/>
      <sz val="12"/>
      <name val="Helv"/>
    </font>
    <font>
      <sz val="10"/>
      <name val="Helv"/>
    </font>
    <font>
      <b/>
      <sz val="18"/>
      <name val="Arial"/>
      <family val="2"/>
    </font>
    <font>
      <b/>
      <sz val="9"/>
      <name val="Helv"/>
    </font>
    <font>
      <sz val="8.5"/>
      <name val="Helv"/>
    </font>
    <font>
      <b/>
      <sz val="10"/>
      <name val="Helv"/>
    </font>
    <font>
      <b/>
      <sz val="14"/>
      <name val="Helv"/>
    </font>
    <font>
      <sz val="10"/>
      <name val="MS Sans Serif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indexed="62"/>
      <name val="Calibri Light"/>
      <family val="2"/>
      <scheme val="maj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rgb="FF262626"/>
      <name val="Arial"/>
      <family val="2"/>
    </font>
    <font>
      <u/>
      <sz val="12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sz val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7439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EA10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42"/>
      </patternFill>
    </fill>
    <fill>
      <patternFill patternType="solid">
        <fgColor indexed="54"/>
      </patternFill>
    </fill>
    <fill>
      <patternFill patternType="solid">
        <fgColor indexed="22"/>
        <bgColor indexed="9"/>
      </patternFill>
    </fill>
    <fill>
      <patternFill patternType="solid">
        <fgColor indexed="22"/>
        <bgColor indexed="55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391D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49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hair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ashed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1" tint="0.499984740745262"/>
      </bottom>
      <diagonal/>
    </border>
    <border>
      <left/>
      <right style="thin">
        <color indexed="64"/>
      </right>
      <top style="thin">
        <color theme="1" tint="0.499984740745262"/>
      </top>
      <bottom style="thin">
        <color indexed="64"/>
      </bottom>
      <diagonal/>
    </border>
  </borders>
  <cellStyleXfs count="1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7" fillId="12" borderId="0" applyNumberFormat="0" applyBorder="0" applyAlignment="0" applyProtection="0"/>
    <xf numFmtId="0" fontId="18" fillId="13" borderId="5" applyNumberFormat="0" applyAlignment="0" applyProtection="0"/>
    <xf numFmtId="0" fontId="21" fillId="0" borderId="7" applyNumberFormat="0" applyFill="0" applyAlignment="0" applyProtection="0"/>
    <xf numFmtId="0" fontId="2" fillId="14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" fillId="17" borderId="0" applyNumberFormat="0" applyBorder="0" applyAlignment="0" applyProtection="0"/>
    <xf numFmtId="0" fontId="1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" fillId="29" borderId="0" applyNumberFormat="0" applyBorder="0" applyAlignment="0" applyProtection="0"/>
    <xf numFmtId="0" fontId="1" fillId="30" borderId="0" applyNumberFormat="0" applyBorder="0" applyAlignment="0" applyProtection="0"/>
    <xf numFmtId="0" fontId="24" fillId="0" borderId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4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9" borderId="0" applyNumberFormat="0" applyBorder="0" applyAlignment="0" applyProtection="0"/>
    <xf numFmtId="0" fontId="20" fillId="32" borderId="5" applyNumberFormat="0" applyAlignment="0" applyProtection="0"/>
    <xf numFmtId="0" fontId="30" fillId="0" borderId="0">
      <alignment horizontal="center" vertical="center" wrapText="1"/>
    </xf>
    <xf numFmtId="43" fontId="25" fillId="0" borderId="0" applyFont="0" applyFill="0" applyBorder="0" applyAlignment="0" applyProtection="0"/>
    <xf numFmtId="43" fontId="29" fillId="0" borderId="0" applyFont="0" applyFill="0" applyBorder="0" applyAlignment="0" applyProtection="0"/>
    <xf numFmtId="3" fontId="25" fillId="0" borderId="0" applyFont="0" applyFill="0" applyBorder="0" applyAlignment="0" applyProtection="0"/>
    <xf numFmtId="0" fontId="31" fillId="0" borderId="0">
      <alignment horizontal="left" vertical="center" wrapText="1"/>
    </xf>
    <xf numFmtId="168" fontId="25" fillId="0" borderId="0" applyFont="0" applyFill="0" applyBorder="0" applyAlignment="0" applyProtection="0"/>
    <xf numFmtId="3" fontId="26" fillId="0" borderId="10">
      <alignment horizontal="right"/>
    </xf>
    <xf numFmtId="3" fontId="32" fillId="0" borderId="10" applyAlignment="0">
      <alignment horizontal="right" vertical="center"/>
    </xf>
    <xf numFmtId="167" fontId="32" fillId="0" borderId="10">
      <alignment horizontal="right" vertical="center"/>
    </xf>
    <xf numFmtId="49" fontId="33" fillId="0" borderId="10">
      <alignment horizontal="left" vertical="center"/>
    </xf>
    <xf numFmtId="166" fontId="34" fillId="0" borderId="10" applyNumberFormat="0" applyFill="0">
      <alignment horizontal="right"/>
    </xf>
    <xf numFmtId="169" fontId="34" fillId="0" borderId="10">
      <alignment horizontal="right"/>
    </xf>
    <xf numFmtId="0" fontId="25" fillId="0" borderId="0" applyFont="0" applyFill="0" applyBorder="0" applyAlignment="0" applyProtection="0"/>
    <xf numFmtId="2" fontId="25" fillId="0" borderId="0" applyFont="0" applyFill="0" applyBorder="0" applyAlignment="0" applyProtection="0"/>
    <xf numFmtId="0" fontId="16" fillId="35" borderId="0" applyNumberFormat="0" applyBorder="0" applyAlignment="0" applyProtection="0"/>
    <xf numFmtId="0" fontId="41" fillId="0" borderId="11" applyNumberFormat="0" applyFill="0" applyAlignment="0" applyProtection="0"/>
    <xf numFmtId="0" fontId="35" fillId="0" borderId="0" applyNumberFormat="0" applyFill="0" applyBorder="0" applyAlignment="0" applyProtection="0"/>
    <xf numFmtId="0" fontId="42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43" fillId="0" borderId="12" applyNumberFormat="0" applyFill="0" applyAlignment="0" applyProtection="0"/>
    <xf numFmtId="0" fontId="43" fillId="0" borderId="0" applyNumberFormat="0" applyFill="0" applyBorder="0" applyAlignment="0" applyProtection="0"/>
    <xf numFmtId="0" fontId="36" fillId="0" borderId="10">
      <alignment horizontal="left"/>
    </xf>
    <xf numFmtId="0" fontId="36" fillId="0" borderId="13">
      <alignment horizontal="right" vertical="center"/>
    </xf>
    <xf numFmtId="0" fontId="37" fillId="0" borderId="10">
      <alignment horizontal="left" vertical="center"/>
    </xf>
    <xf numFmtId="0" fontId="34" fillId="0" borderId="10">
      <alignment horizontal="left" vertical="center"/>
    </xf>
    <xf numFmtId="0" fontId="38" fillId="0" borderId="10">
      <alignment horizontal="left"/>
    </xf>
    <xf numFmtId="0" fontId="38" fillId="40" borderId="0">
      <alignment horizontal="centerContinuous" wrapText="1"/>
    </xf>
    <xf numFmtId="49" fontId="38" fillId="40" borderId="14">
      <alignment horizontal="left" vertical="center"/>
    </xf>
    <xf numFmtId="0" fontId="38" fillId="40" borderId="0">
      <alignment horizontal="centerContinuous" vertical="center" wrapText="1"/>
    </xf>
    <xf numFmtId="0" fontId="27" fillId="0" borderId="0" applyNumberFormat="0" applyFill="0" applyBorder="0" applyAlignment="0" applyProtection="0"/>
    <xf numFmtId="0" fontId="44" fillId="33" borderId="0" applyNumberFormat="0" applyBorder="0" applyAlignment="0" applyProtection="0"/>
    <xf numFmtId="0" fontId="1" fillId="0" borderId="0"/>
    <xf numFmtId="0" fontId="25" fillId="0" borderId="0"/>
    <xf numFmtId="0" fontId="25" fillId="0" borderId="0"/>
    <xf numFmtId="0" fontId="40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9" fillId="15" borderId="9" applyNumberFormat="0" applyFont="0" applyAlignment="0" applyProtection="0"/>
    <xf numFmtId="0" fontId="19" fillId="32" borderId="6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3" fontId="32" fillId="0" borderId="0">
      <alignment horizontal="left" vertical="center"/>
    </xf>
    <xf numFmtId="0" fontId="30" fillId="0" borderId="0">
      <alignment horizontal="left" vertical="center"/>
    </xf>
    <xf numFmtId="0" fontId="26" fillId="0" borderId="0">
      <alignment horizontal="right"/>
    </xf>
    <xf numFmtId="49" fontId="26" fillId="0" borderId="0">
      <alignment horizontal="center"/>
    </xf>
    <xf numFmtId="0" fontId="33" fillId="0" borderId="0">
      <alignment horizontal="right"/>
    </xf>
    <xf numFmtId="0" fontId="26" fillId="0" borderId="0">
      <alignment horizontal="left"/>
    </xf>
    <xf numFmtId="49" fontId="32" fillId="0" borderId="0">
      <alignment horizontal="left" vertical="center"/>
    </xf>
    <xf numFmtId="49" fontId="33" fillId="0" borderId="10">
      <alignment horizontal="left" vertical="center"/>
    </xf>
    <xf numFmtId="49" fontId="30" fillId="0" borderId="10" applyFill="0">
      <alignment horizontal="left" vertical="center"/>
    </xf>
    <xf numFmtId="166" fontId="32" fillId="0" borderId="0" applyNumberFormat="0">
      <alignment horizontal="right"/>
    </xf>
    <xf numFmtId="0" fontId="36" fillId="41" borderId="0">
      <alignment horizontal="centerContinuous" vertical="center" wrapText="1"/>
    </xf>
    <xf numFmtId="0" fontId="36" fillId="0" borderId="15">
      <alignment horizontal="left" vertical="center"/>
    </xf>
    <xf numFmtId="0" fontId="39" fillId="0" borderId="0">
      <alignment horizontal="left" vertical="top"/>
    </xf>
    <xf numFmtId="0" fontId="45" fillId="0" borderId="0" applyNumberFormat="0" applyFill="0" applyBorder="0" applyAlignment="0" applyProtection="0"/>
    <xf numFmtId="0" fontId="38" fillId="0" borderId="0">
      <alignment horizontal="left"/>
    </xf>
    <xf numFmtId="0" fontId="31" fillId="0" borderId="0">
      <alignment horizontal="left"/>
    </xf>
    <xf numFmtId="0" fontId="34" fillId="0" borderId="0">
      <alignment horizontal="left"/>
    </xf>
    <xf numFmtId="0" fontId="39" fillId="0" borderId="0">
      <alignment horizontal="left" vertical="top"/>
    </xf>
    <xf numFmtId="0" fontId="31" fillId="0" borderId="0">
      <alignment horizontal="left"/>
    </xf>
    <xf numFmtId="0" fontId="34" fillId="0" borderId="0">
      <alignment horizontal="left"/>
    </xf>
    <xf numFmtId="0" fontId="3" fillId="0" borderId="16" applyNumberFormat="0" applyFill="0" applyAlignment="0" applyProtection="0"/>
    <xf numFmtId="0" fontId="25" fillId="0" borderId="17" applyNumberFormat="0" applyFont="0" applyFill="0" applyAlignment="0" applyProtection="0"/>
    <xf numFmtId="49" fontId="32" fillId="0" borderId="10">
      <alignment horizontal="left"/>
    </xf>
    <xf numFmtId="0" fontId="36" fillId="0" borderId="13">
      <alignment horizontal="left"/>
    </xf>
    <xf numFmtId="0" fontId="38" fillId="0" borderId="0">
      <alignment horizontal="left" vertical="center"/>
    </xf>
    <xf numFmtId="49" fontId="26" fillId="0" borderId="10">
      <alignment horizontal="left"/>
    </xf>
    <xf numFmtId="0" fontId="46" fillId="0" borderId="18" applyNumberFormat="0" applyFont="0" applyProtection="0">
      <alignment wrapText="1"/>
    </xf>
    <xf numFmtId="0" fontId="51" fillId="44" borderId="19">
      <alignment horizontal="center"/>
    </xf>
    <xf numFmtId="0" fontId="48" fillId="0" borderId="0"/>
    <xf numFmtId="0" fontId="53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06">
    <xf numFmtId="0" fontId="0" fillId="0" borderId="0" xfId="0"/>
    <xf numFmtId="3" fontId="11" fillId="3" borderId="1" xfId="1" applyNumberFormat="1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right" vertical="center"/>
    </xf>
    <xf numFmtId="0" fontId="0" fillId="2" borderId="1" xfId="0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left"/>
    </xf>
    <xf numFmtId="0" fontId="11" fillId="3" borderId="2" xfId="0" applyFont="1" applyFill="1" applyBorder="1" applyAlignment="1">
      <alignment horizontal="right"/>
    </xf>
    <xf numFmtId="3" fontId="11" fillId="5" borderId="2" xfId="0" applyNumberFormat="1" applyFont="1" applyFill="1" applyBorder="1" applyAlignment="1">
      <alignment horizontal="center" vertical="center"/>
    </xf>
    <xf numFmtId="0" fontId="47" fillId="2" borderId="1" xfId="0" applyFont="1" applyFill="1" applyBorder="1" applyAlignment="1">
      <alignment horizontal="center" vertical="center"/>
    </xf>
    <xf numFmtId="3" fontId="48" fillId="4" borderId="1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vertical="center"/>
    </xf>
    <xf numFmtId="1" fontId="48" fillId="0" borderId="0" xfId="0" applyNumberFormat="1" applyFont="1" applyAlignment="1">
      <alignment vertical="center"/>
    </xf>
    <xf numFmtId="0" fontId="47" fillId="2" borderId="1" xfId="0" applyFont="1" applyFill="1" applyBorder="1" applyAlignment="1">
      <alignment horizontal="center" vertical="center" wrapText="1"/>
    </xf>
    <xf numFmtId="1" fontId="0" fillId="0" borderId="0" xfId="0" applyNumberFormat="1"/>
    <xf numFmtId="165" fontId="0" fillId="0" borderId="0" xfId="1" applyNumberFormat="1" applyFont="1"/>
    <xf numFmtId="43" fontId="0" fillId="0" borderId="0" xfId="0" applyNumberFormat="1"/>
    <xf numFmtId="3" fontId="12" fillId="9" borderId="1" xfId="1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left" vertical="center" wrapText="1" indent="1"/>
    </xf>
    <xf numFmtId="0" fontId="6" fillId="10" borderId="1" xfId="0" applyFont="1" applyFill="1" applyBorder="1" applyAlignment="1">
      <alignment horizontal="left"/>
    </xf>
    <xf numFmtId="0" fontId="49" fillId="10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 indent="1"/>
    </xf>
    <xf numFmtId="0" fontId="47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46" fillId="0" borderId="0" xfId="0" applyFont="1"/>
    <xf numFmtId="0" fontId="6" fillId="42" borderId="1" xfId="0" applyFont="1" applyFill="1" applyBorder="1" applyAlignment="1">
      <alignment horizontal="left"/>
    </xf>
    <xf numFmtId="0" fontId="49" fillId="42" borderId="1" xfId="0" applyFont="1" applyFill="1" applyBorder="1" applyAlignment="1">
      <alignment horizontal="center" vertical="center"/>
    </xf>
    <xf numFmtId="0" fontId="2" fillId="42" borderId="1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left" vertical="center" indent="1"/>
    </xf>
    <xf numFmtId="0" fontId="49" fillId="10" borderId="1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3" fillId="6" borderId="0" xfId="0" applyFont="1" applyFill="1" applyAlignment="1">
      <alignment horizontal="left"/>
    </xf>
    <xf numFmtId="0" fontId="15" fillId="6" borderId="0" xfId="0" applyFont="1" applyFill="1"/>
    <xf numFmtId="0" fontId="0" fillId="6" borderId="0" xfId="0" applyFill="1"/>
    <xf numFmtId="0" fontId="9" fillId="6" borderId="0" xfId="0" applyFont="1" applyFill="1" applyAlignment="1">
      <alignment horizontal="left"/>
    </xf>
    <xf numFmtId="0" fontId="8" fillId="6" borderId="0" xfId="0" applyFont="1" applyFill="1"/>
    <xf numFmtId="0" fontId="50" fillId="6" borderId="0" xfId="3" applyFont="1" applyFill="1" applyAlignment="1">
      <alignment horizontal="left"/>
    </xf>
    <xf numFmtId="0" fontId="8" fillId="6" borderId="0" xfId="0" applyFont="1" applyFill="1" applyAlignment="1">
      <alignment horizontal="left"/>
    </xf>
    <xf numFmtId="0" fontId="7" fillId="4" borderId="3" xfId="0" applyFont="1" applyFill="1" applyBorder="1" applyAlignment="1">
      <alignment vertical="center"/>
    </xf>
    <xf numFmtId="4" fontId="0" fillId="4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3" fontId="46" fillId="4" borderId="1" xfId="0" applyNumberFormat="1" applyFont="1" applyFill="1" applyBorder="1" applyAlignment="1">
      <alignment horizontal="center" vertical="center"/>
    </xf>
    <xf numFmtId="3" fontId="15" fillId="4" borderId="1" xfId="0" applyNumberFormat="1" applyFont="1" applyFill="1" applyBorder="1" applyAlignment="1">
      <alignment horizontal="center" vertical="center"/>
    </xf>
    <xf numFmtId="4" fontId="46" fillId="4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64" fontId="46" fillId="4" borderId="1" xfId="2" applyNumberFormat="1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left" vertical="center"/>
    </xf>
    <xf numFmtId="3" fontId="0" fillId="0" borderId="1" xfId="0" applyNumberFormat="1" applyBorder="1" applyAlignment="1">
      <alignment horizontal="center"/>
    </xf>
    <xf numFmtId="172" fontId="0" fillId="0" borderId="0" xfId="0" applyNumberFormat="1"/>
    <xf numFmtId="0" fontId="3" fillId="11" borderId="1" xfId="0" applyFont="1" applyFill="1" applyBorder="1" applyAlignment="1">
      <alignment horizontal="left" vertical="center" indent="1"/>
    </xf>
    <xf numFmtId="4" fontId="0" fillId="4" borderId="1" xfId="0" applyNumberFormat="1" applyFill="1" applyBorder="1" applyAlignment="1">
      <alignment horizontal="center"/>
    </xf>
    <xf numFmtId="175" fontId="0" fillId="0" borderId="1" xfId="110" applyNumberFormat="1" applyFont="1" applyFill="1" applyBorder="1" applyAlignment="1">
      <alignment horizontal="center"/>
    </xf>
    <xf numFmtId="170" fontId="0" fillId="0" borderId="1" xfId="110" applyNumberFormat="1" applyFont="1" applyFill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6" fillId="10" borderId="23" xfId="0" applyFont="1" applyFill="1" applyBorder="1" applyAlignment="1">
      <alignment horizontal="center"/>
    </xf>
    <xf numFmtId="0" fontId="0" fillId="0" borderId="23" xfId="0" applyBorder="1"/>
    <xf numFmtId="0" fontId="0" fillId="11" borderId="23" xfId="0" applyFill="1" applyBorder="1" applyAlignment="1">
      <alignment horizontal="left" vertical="center" indent="1"/>
    </xf>
    <xf numFmtId="0" fontId="5" fillId="0" borderId="23" xfId="3" applyBorder="1"/>
    <xf numFmtId="0" fontId="0" fillId="0" borderId="23" xfId="0" quotePrefix="1" applyBorder="1" applyAlignment="1">
      <alignment horizontal="left"/>
    </xf>
    <xf numFmtId="0" fontId="13" fillId="0" borderId="23" xfId="0" applyFont="1" applyBorder="1" applyAlignment="1">
      <alignment horizontal="left"/>
    </xf>
    <xf numFmtId="0" fontId="0" fillId="0" borderId="23" xfId="0" applyBorder="1" applyAlignment="1">
      <alignment horizontal="left"/>
    </xf>
    <xf numFmtId="0" fontId="11" fillId="44" borderId="20" xfId="0" applyFont="1" applyFill="1" applyBorder="1"/>
    <xf numFmtId="0" fontId="11" fillId="44" borderId="21" xfId="0" applyFont="1" applyFill="1" applyBorder="1"/>
    <xf numFmtId="0" fontId="0" fillId="46" borderId="24" xfId="0" applyFill="1" applyBorder="1"/>
    <xf numFmtId="0" fontId="3" fillId="0" borderId="23" xfId="0" applyFont="1" applyBorder="1" applyAlignment="1">
      <alignment horizontal="right" vertical="center"/>
    </xf>
    <xf numFmtId="0" fontId="46" fillId="9" borderId="23" xfId="0" applyFont="1" applyFill="1" applyBorder="1" applyAlignment="1">
      <alignment horizontal="center" vertical="center" wrapText="1"/>
    </xf>
    <xf numFmtId="0" fontId="2" fillId="44" borderId="24" xfId="0" applyFont="1" applyFill="1" applyBorder="1" applyAlignment="1">
      <alignment horizontal="center"/>
    </xf>
    <xf numFmtId="0" fontId="2" fillId="44" borderId="23" xfId="0" applyFont="1" applyFill="1" applyBorder="1" applyAlignment="1">
      <alignment horizontal="center"/>
    </xf>
    <xf numFmtId="0" fontId="46" fillId="2" borderId="23" xfId="0" applyFont="1" applyFill="1" applyBorder="1" applyAlignment="1">
      <alignment horizontal="center" vertical="center" wrapText="1"/>
    </xf>
    <xf numFmtId="0" fontId="46" fillId="2" borderId="23" xfId="0" applyFont="1" applyFill="1" applyBorder="1" applyAlignment="1">
      <alignment horizontal="center" vertical="center"/>
    </xf>
    <xf numFmtId="9" fontId="46" fillId="0" borderId="25" xfId="2" applyFont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45" borderId="23" xfId="0" applyFill="1" applyBorder="1" applyAlignment="1">
      <alignment horizontal="center"/>
    </xf>
    <xf numFmtId="0" fontId="52" fillId="2" borderId="23" xfId="0" applyFont="1" applyFill="1" applyBorder="1" applyAlignment="1">
      <alignment horizontal="center" vertical="center" wrapText="1"/>
    </xf>
    <xf numFmtId="0" fontId="0" fillId="2" borderId="24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2" fontId="0" fillId="2" borderId="23" xfId="0" applyNumberFormat="1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171" fontId="0" fillId="2" borderId="23" xfId="0" applyNumberFormat="1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4" fillId="46" borderId="23" xfId="0" applyFont="1" applyFill="1" applyBorder="1" applyAlignment="1">
      <alignment horizontal="center"/>
    </xf>
    <xf numFmtId="165" fontId="4" fillId="46" borderId="23" xfId="1" applyNumberFormat="1" applyFont="1" applyFill="1" applyBorder="1" applyAlignment="1">
      <alignment horizontal="center"/>
    </xf>
    <xf numFmtId="165" fontId="4" fillId="46" borderId="25" xfId="1" applyNumberFormat="1" applyFont="1" applyFill="1" applyBorder="1" applyAlignment="1">
      <alignment horizontal="center"/>
    </xf>
    <xf numFmtId="0" fontId="4" fillId="46" borderId="25" xfId="0" applyFont="1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170" fontId="54" fillId="47" borderId="27" xfId="0" applyNumberFormat="1" applyFont="1" applyFill="1" applyBorder="1" applyAlignment="1">
      <alignment horizontal="center"/>
    </xf>
    <xf numFmtId="0" fontId="4" fillId="46" borderId="27" xfId="0" applyFont="1" applyFill="1" applyBorder="1" applyAlignment="1">
      <alignment horizontal="center"/>
    </xf>
    <xf numFmtId="0" fontId="4" fillId="46" borderId="28" xfId="0" applyFont="1" applyFill="1" applyBorder="1" applyAlignment="1">
      <alignment horizontal="center"/>
    </xf>
    <xf numFmtId="0" fontId="2" fillId="44" borderId="20" xfId="0" applyFont="1" applyFill="1" applyBorder="1" applyAlignment="1">
      <alignment horizontal="center"/>
    </xf>
    <xf numFmtId="0" fontId="2" fillId="44" borderId="21" xfId="0" applyFont="1" applyFill="1" applyBorder="1" applyAlignment="1">
      <alignment horizontal="center"/>
    </xf>
    <xf numFmtId="0" fontId="46" fillId="9" borderId="24" xfId="0" applyFont="1" applyFill="1" applyBorder="1" applyAlignment="1">
      <alignment horizontal="center" wrapText="1"/>
    </xf>
    <xf numFmtId="0" fontId="46" fillId="49" borderId="24" xfId="0" applyFont="1" applyFill="1" applyBorder="1" applyAlignment="1">
      <alignment horizontal="center" wrapText="1"/>
    </xf>
    <xf numFmtId="0" fontId="46" fillId="50" borderId="24" xfId="0" applyFont="1" applyFill="1" applyBorder="1" applyAlignment="1">
      <alignment horizontal="center" wrapText="1"/>
    </xf>
    <xf numFmtId="0" fontId="46" fillId="43" borderId="24" xfId="0" applyFont="1" applyFill="1" applyBorder="1" applyAlignment="1">
      <alignment horizontal="center" wrapText="1"/>
    </xf>
    <xf numFmtId="0" fontId="46" fillId="51" borderId="26" xfId="0" applyFont="1" applyFill="1" applyBorder="1" applyAlignment="1">
      <alignment horizontal="center" wrapText="1"/>
    </xf>
    <xf numFmtId="0" fontId="0" fillId="0" borderId="27" xfId="0" applyBorder="1" applyAlignment="1">
      <alignment horizontal="center"/>
    </xf>
    <xf numFmtId="176" fontId="0" fillId="45" borderId="23" xfId="0" applyNumberFormat="1" applyFill="1" applyBorder="1" applyAlignment="1">
      <alignment horizontal="center"/>
    </xf>
    <xf numFmtId="0" fontId="46" fillId="49" borderId="23" xfId="0" applyFont="1" applyFill="1" applyBorder="1" applyAlignment="1">
      <alignment horizontal="center" vertical="center"/>
    </xf>
    <xf numFmtId="0" fontId="11" fillId="44" borderId="29" xfId="0" applyFont="1" applyFill="1" applyBorder="1"/>
    <xf numFmtId="0" fontId="3" fillId="0" borderId="30" xfId="0" applyFont="1" applyBorder="1" applyAlignment="1">
      <alignment horizontal="right" vertical="center"/>
    </xf>
    <xf numFmtId="0" fontId="2" fillId="44" borderId="30" xfId="0" applyFont="1" applyFill="1" applyBorder="1" applyAlignment="1">
      <alignment horizontal="center"/>
    </xf>
    <xf numFmtId="0" fontId="11" fillId="44" borderId="23" xfId="0" applyFont="1" applyFill="1" applyBorder="1"/>
    <xf numFmtId="0" fontId="46" fillId="50" borderId="24" xfId="0" applyFont="1" applyFill="1" applyBorder="1" applyAlignment="1">
      <alignment horizontal="center" vertical="center" wrapText="1"/>
    </xf>
    <xf numFmtId="2" fontId="0" fillId="0" borderId="0" xfId="0" applyNumberFormat="1"/>
    <xf numFmtId="0" fontId="0" fillId="0" borderId="0" xfId="0" applyBorder="1" applyAlignment="1">
      <alignment horizontal="center"/>
    </xf>
    <xf numFmtId="2" fontId="0" fillId="0" borderId="23" xfId="0" applyNumberFormat="1" applyBorder="1"/>
    <xf numFmtId="177" fontId="0" fillId="0" borderId="23" xfId="0" applyNumberFormat="1" applyBorder="1"/>
    <xf numFmtId="3" fontId="0" fillId="45" borderId="1" xfId="0" applyNumberFormat="1" applyFill="1" applyBorder="1" applyAlignment="1">
      <alignment horizontal="center"/>
    </xf>
    <xf numFmtId="178" fontId="48" fillId="4" borderId="1" xfId="0" applyNumberFormat="1" applyFont="1" applyFill="1" applyBorder="1" applyAlignment="1">
      <alignment horizontal="center" vertical="center"/>
    </xf>
    <xf numFmtId="3" fontId="0" fillId="0" borderId="1" xfId="0" applyNumberFormat="1" applyFill="1" applyBorder="1" applyAlignment="1">
      <alignment horizontal="center"/>
    </xf>
    <xf numFmtId="3" fontId="48" fillId="52" borderId="1" xfId="0" applyNumberFormat="1" applyFont="1" applyFill="1" applyBorder="1" applyAlignment="1">
      <alignment horizontal="center" vertical="center"/>
    </xf>
    <xf numFmtId="164" fontId="46" fillId="53" borderId="1" xfId="2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left" vertical="center"/>
    </xf>
    <xf numFmtId="0" fontId="3" fillId="2" borderId="3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3" fontId="11" fillId="5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left" vertical="center" indent="1"/>
    </xf>
    <xf numFmtId="0" fontId="48" fillId="0" borderId="1" xfId="0" applyFont="1" applyBorder="1" applyAlignment="1">
      <alignment vertical="center"/>
    </xf>
    <xf numFmtId="0" fontId="12" fillId="7" borderId="1" xfId="0" applyFont="1" applyFill="1" applyBorder="1" applyAlignment="1">
      <alignment vertical="center"/>
    </xf>
    <xf numFmtId="0" fontId="7" fillId="7" borderId="1" xfId="0" applyFont="1" applyFill="1" applyBorder="1" applyAlignment="1">
      <alignment horizontal="center" vertical="center"/>
    </xf>
    <xf numFmtId="3" fontId="12" fillId="7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0" fillId="7" borderId="1" xfId="0" applyFill="1" applyBorder="1" applyAlignment="1">
      <alignment horizontal="left" vertical="center" indent="1"/>
    </xf>
    <xf numFmtId="0" fontId="6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left" vertical="center"/>
    </xf>
    <xf numFmtId="0" fontId="7" fillId="9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left" vertical="center" indent="1"/>
    </xf>
    <xf numFmtId="0" fontId="6" fillId="48" borderId="1" xfId="0" applyFont="1" applyFill="1" applyBorder="1" applyAlignment="1">
      <alignment horizontal="left" vertical="center"/>
    </xf>
    <xf numFmtId="3" fontId="11" fillId="48" borderId="1" xfId="1" applyNumberFormat="1" applyFont="1" applyFill="1" applyBorder="1" applyAlignment="1">
      <alignment horizontal="center"/>
    </xf>
    <xf numFmtId="173" fontId="0" fillId="0" borderId="1" xfId="0" applyNumberForma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46" fillId="0" borderId="1" xfId="0" applyFont="1" applyBorder="1"/>
    <xf numFmtId="172" fontId="0" fillId="45" borderId="1" xfId="0" applyNumberFormat="1" applyFill="1" applyBorder="1" applyAlignment="1">
      <alignment horizontal="center"/>
    </xf>
    <xf numFmtId="174" fontId="0" fillId="45" borderId="1" xfId="0" applyNumberFormat="1" applyFill="1" applyBorder="1" applyAlignment="1">
      <alignment horizontal="center"/>
    </xf>
    <xf numFmtId="3" fontId="46" fillId="0" borderId="1" xfId="0" applyNumberFormat="1" applyFont="1" applyFill="1" applyBorder="1" applyAlignment="1">
      <alignment horizontal="center" vertical="center"/>
    </xf>
    <xf numFmtId="3" fontId="57" fillId="4" borderId="1" xfId="0" applyNumberFormat="1" applyFont="1" applyFill="1" applyBorder="1" applyAlignment="1">
      <alignment horizontal="center" vertical="center"/>
    </xf>
    <xf numFmtId="3" fontId="57" fillId="0" borderId="1" xfId="0" applyNumberFormat="1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left" vertical="center"/>
    </xf>
    <xf numFmtId="3" fontId="46" fillId="4" borderId="32" xfId="0" applyNumberFormat="1" applyFont="1" applyFill="1" applyBorder="1" applyAlignment="1">
      <alignment horizontal="center" vertical="center"/>
    </xf>
    <xf numFmtId="0" fontId="47" fillId="0" borderId="33" xfId="0" applyFont="1" applyBorder="1" applyAlignment="1">
      <alignment horizontal="center" vertical="center"/>
    </xf>
    <xf numFmtId="3" fontId="57" fillId="4" borderId="33" xfId="0" applyNumberFormat="1" applyFont="1" applyFill="1" applyBorder="1" applyAlignment="1">
      <alignment horizontal="center" vertical="center"/>
    </xf>
    <xf numFmtId="3" fontId="46" fillId="4" borderId="33" xfId="0" applyNumberFormat="1" applyFont="1" applyFill="1" applyBorder="1" applyAlignment="1">
      <alignment horizontal="center" vertical="center"/>
    </xf>
    <xf numFmtId="0" fontId="47" fillId="0" borderId="31" xfId="0" applyFont="1" applyBorder="1" applyAlignment="1">
      <alignment horizontal="center" vertical="center" wrapText="1"/>
    </xf>
    <xf numFmtId="4" fontId="46" fillId="4" borderId="31" xfId="0" applyNumberFormat="1" applyFont="1" applyFill="1" applyBorder="1" applyAlignment="1">
      <alignment horizontal="center" vertical="center"/>
    </xf>
    <xf numFmtId="0" fontId="58" fillId="10" borderId="1" xfId="0" applyFont="1" applyFill="1" applyBorder="1" applyAlignment="1">
      <alignment horizontal="center" vertical="center"/>
    </xf>
    <xf numFmtId="0" fontId="59" fillId="3" borderId="1" xfId="3" applyFont="1" applyFill="1" applyBorder="1" applyAlignment="1">
      <alignment horizontal="center"/>
    </xf>
    <xf numFmtId="172" fontId="46" fillId="0" borderId="1" xfId="0" applyNumberFormat="1" applyFont="1" applyFill="1" applyBorder="1" applyAlignment="1">
      <alignment horizontal="right"/>
    </xf>
    <xf numFmtId="172" fontId="46" fillId="0" borderId="1" xfId="0" applyNumberFormat="1" applyFont="1" applyFill="1" applyBorder="1" applyAlignment="1">
      <alignment horizontal="center"/>
    </xf>
    <xf numFmtId="173" fontId="46" fillId="0" borderId="1" xfId="0" applyNumberFormat="1" applyFont="1" applyFill="1" applyBorder="1" applyAlignment="1">
      <alignment horizontal="center"/>
    </xf>
    <xf numFmtId="3" fontId="0" fillId="45" borderId="40" xfId="0" applyNumberFormat="1" applyFill="1" applyBorder="1" applyAlignment="1">
      <alignment horizontal="center"/>
    </xf>
    <xf numFmtId="0" fontId="0" fillId="8" borderId="40" xfId="0" applyFill="1" applyBorder="1" applyAlignment="1">
      <alignment horizontal="left" vertical="center" indent="1"/>
    </xf>
    <xf numFmtId="3" fontId="61" fillId="54" borderId="23" xfId="1" applyNumberFormat="1" applyFont="1" applyFill="1" applyBorder="1" applyAlignment="1">
      <alignment horizontal="center" vertical="center"/>
    </xf>
    <xf numFmtId="173" fontId="3" fillId="0" borderId="1" xfId="0" applyNumberFormat="1" applyFont="1" applyBorder="1" applyAlignment="1">
      <alignment horizontal="center"/>
    </xf>
    <xf numFmtId="0" fontId="0" fillId="0" borderId="32" xfId="0" applyBorder="1"/>
    <xf numFmtId="0" fontId="0" fillId="11" borderId="1" xfId="0" applyFill="1" applyBorder="1" applyAlignment="1">
      <alignment horizontal="left" vertical="center" indent="2"/>
    </xf>
    <xf numFmtId="0" fontId="0" fillId="2" borderId="33" xfId="0" applyFill="1" applyBorder="1" applyAlignment="1">
      <alignment horizontal="center" vertical="center" wrapText="1"/>
    </xf>
    <xf numFmtId="0" fontId="0" fillId="11" borderId="33" xfId="0" applyFill="1" applyBorder="1" applyAlignment="1">
      <alignment horizontal="left" vertical="center" indent="1"/>
    </xf>
    <xf numFmtId="0" fontId="47" fillId="0" borderId="33" xfId="0" applyFont="1" applyBorder="1" applyAlignment="1">
      <alignment horizontal="center" vertical="center" wrapText="1"/>
    </xf>
    <xf numFmtId="3" fontId="0" fillId="0" borderId="33" xfId="0" applyNumberFormat="1" applyFill="1" applyBorder="1" applyAlignment="1">
      <alignment horizontal="center"/>
    </xf>
    <xf numFmtId="0" fontId="0" fillId="0" borderId="33" xfId="0" applyBorder="1"/>
    <xf numFmtId="0" fontId="0" fillId="2" borderId="31" xfId="0" applyFill="1" applyBorder="1" applyAlignment="1">
      <alignment horizontal="center" vertical="center" wrapText="1"/>
    </xf>
    <xf numFmtId="0" fontId="0" fillId="11" borderId="31" xfId="0" applyFill="1" applyBorder="1" applyAlignment="1">
      <alignment horizontal="left" vertical="center" indent="1"/>
    </xf>
    <xf numFmtId="4" fontId="0" fillId="4" borderId="31" xfId="0" applyNumberFormat="1" applyFill="1" applyBorder="1" applyAlignment="1">
      <alignment horizontal="center"/>
    </xf>
    <xf numFmtId="44" fontId="0" fillId="0" borderId="31" xfId="110" applyFont="1" applyFill="1" applyBorder="1" applyAlignment="1">
      <alignment horizontal="center"/>
    </xf>
    <xf numFmtId="0" fontId="0" fillId="0" borderId="31" xfId="0" applyBorder="1"/>
    <xf numFmtId="0" fontId="0" fillId="2" borderId="34" xfId="0" applyFill="1" applyBorder="1" applyAlignment="1">
      <alignment horizontal="center" vertical="center" wrapText="1"/>
    </xf>
    <xf numFmtId="0" fontId="3" fillId="11" borderId="35" xfId="0" applyFont="1" applyFill="1" applyBorder="1" applyAlignment="1">
      <alignment horizontal="left" vertical="center"/>
    </xf>
    <xf numFmtId="0" fontId="47" fillId="0" borderId="35" xfId="0" applyFont="1" applyBorder="1" applyAlignment="1">
      <alignment horizontal="center" vertical="center" wrapText="1"/>
    </xf>
    <xf numFmtId="173" fontId="0" fillId="0" borderId="35" xfId="0" applyNumberFormat="1" applyBorder="1" applyAlignment="1">
      <alignment horizontal="center"/>
    </xf>
    <xf numFmtId="0" fontId="0" fillId="0" borderId="36" xfId="0" applyBorder="1"/>
    <xf numFmtId="0" fontId="0" fillId="2" borderId="41" xfId="0" applyFill="1" applyBorder="1" applyAlignment="1">
      <alignment horizontal="center" vertical="center" wrapText="1"/>
    </xf>
    <xf numFmtId="0" fontId="0" fillId="0" borderId="42" xfId="0" applyBorder="1"/>
    <xf numFmtId="0" fontId="0" fillId="2" borderId="37" xfId="0" applyFill="1" applyBorder="1" applyAlignment="1">
      <alignment horizontal="center" vertical="center" wrapText="1"/>
    </xf>
    <xf numFmtId="0" fontId="0" fillId="11" borderId="38" xfId="0" applyFill="1" applyBorder="1" applyAlignment="1">
      <alignment horizontal="left" vertical="center" indent="1"/>
    </xf>
    <xf numFmtId="0" fontId="47" fillId="0" borderId="38" xfId="0" applyFont="1" applyBorder="1" applyAlignment="1">
      <alignment horizontal="center" vertical="center" wrapText="1"/>
    </xf>
    <xf numFmtId="173" fontId="0" fillId="0" borderId="38" xfId="0" applyNumberFormat="1" applyBorder="1" applyAlignment="1">
      <alignment horizontal="center"/>
    </xf>
    <xf numFmtId="0" fontId="0" fillId="0" borderId="39" xfId="0" applyBorder="1"/>
    <xf numFmtId="0" fontId="47" fillId="0" borderId="43" xfId="0" applyFont="1" applyBorder="1" applyAlignment="1">
      <alignment horizontal="center" vertical="center"/>
    </xf>
    <xf numFmtId="3" fontId="60" fillId="4" borderId="44" xfId="0" applyNumberFormat="1" applyFont="1" applyFill="1" applyBorder="1" applyAlignment="1">
      <alignment horizontal="center" vertical="center"/>
    </xf>
    <xf numFmtId="0" fontId="47" fillId="0" borderId="45" xfId="0" applyFont="1" applyBorder="1" applyAlignment="1">
      <alignment horizontal="center" vertical="center"/>
    </xf>
    <xf numFmtId="3" fontId="60" fillId="4" borderId="46" xfId="0" applyNumberFormat="1" applyFont="1" applyFill="1" applyBorder="1" applyAlignment="1">
      <alignment horizontal="center" vertical="center"/>
    </xf>
    <xf numFmtId="3" fontId="60" fillId="4" borderId="47" xfId="0" applyNumberFormat="1" applyFont="1" applyFill="1" applyBorder="1" applyAlignment="1">
      <alignment horizontal="center" vertical="center"/>
    </xf>
    <xf numFmtId="3" fontId="60" fillId="4" borderId="48" xfId="0" applyNumberFormat="1" applyFont="1" applyFill="1" applyBorder="1" applyAlignment="1">
      <alignment horizontal="center" vertical="center"/>
    </xf>
    <xf numFmtId="3" fontId="48" fillId="45" borderId="1" xfId="0" applyNumberFormat="1" applyFont="1" applyFill="1" applyBorder="1" applyAlignment="1">
      <alignment horizontal="center" vertical="center"/>
    </xf>
    <xf numFmtId="3" fontId="0" fillId="52" borderId="1" xfId="0" applyNumberFormat="1" applyFill="1" applyBorder="1" applyAlignment="1">
      <alignment horizontal="center"/>
    </xf>
    <xf numFmtId="0" fontId="0" fillId="45" borderId="1" xfId="0" applyFill="1" applyBorder="1"/>
    <xf numFmtId="0" fontId="8" fillId="6" borderId="0" xfId="0" applyFont="1" applyFill="1" applyAlignment="1">
      <alignment horizontal="left" wrapText="1"/>
    </xf>
    <xf numFmtId="0" fontId="8" fillId="0" borderId="23" xfId="0" applyFont="1" applyBorder="1" applyAlignment="1">
      <alignment horizontal="left"/>
    </xf>
    <xf numFmtId="0" fontId="5" fillId="0" borderId="23" xfId="3" applyBorder="1" applyAlignment="1">
      <alignment horizontal="left"/>
    </xf>
    <xf numFmtId="0" fontId="46" fillId="0" borderId="23" xfId="0" applyFont="1" applyBorder="1" applyAlignment="1">
      <alignment horizontal="left"/>
    </xf>
    <xf numFmtId="0" fontId="46" fillId="0" borderId="25" xfId="0" applyFont="1" applyBorder="1" applyAlignment="1">
      <alignment horizontal="left"/>
    </xf>
    <xf numFmtId="0" fontId="8" fillId="0" borderId="27" xfId="0" applyFont="1" applyBorder="1" applyAlignment="1">
      <alignment horizontal="left"/>
    </xf>
    <xf numFmtId="0" fontId="5" fillId="0" borderId="27" xfId="3" applyBorder="1" applyAlignment="1">
      <alignment horizontal="left"/>
    </xf>
    <xf numFmtId="0" fontId="46" fillId="0" borderId="27" xfId="0" applyFont="1" applyBorder="1" applyAlignment="1">
      <alignment horizontal="left"/>
    </xf>
    <xf numFmtId="0" fontId="46" fillId="0" borderId="28" xfId="0" applyFont="1" applyBorder="1" applyAlignment="1">
      <alignment horizontal="left"/>
    </xf>
    <xf numFmtId="0" fontId="4" fillId="44" borderId="23" xfId="0" applyFont="1" applyFill="1" applyBorder="1" applyAlignment="1">
      <alignment horizontal="center" vertical="center"/>
    </xf>
    <xf numFmtId="0" fontId="4" fillId="44" borderId="25" xfId="0" applyFont="1" applyFill="1" applyBorder="1" applyAlignment="1">
      <alignment horizontal="center" vertical="center"/>
    </xf>
    <xf numFmtId="0" fontId="2" fillId="44" borderId="21" xfId="0" applyFont="1" applyFill="1" applyBorder="1" applyAlignment="1">
      <alignment horizontal="left"/>
    </xf>
    <xf numFmtId="0" fontId="2" fillId="44" borderId="22" xfId="0" applyFont="1" applyFill="1" applyBorder="1" applyAlignment="1">
      <alignment horizontal="left"/>
    </xf>
    <xf numFmtId="0" fontId="5" fillId="0" borderId="25" xfId="3" applyBorder="1" applyAlignment="1">
      <alignment horizontal="left"/>
    </xf>
  </cellXfs>
  <cellStyles count="111">
    <cellStyle name="20% - Accent1 2" xfId="19" xr:uid="{00000000-0005-0000-0000-000000000000}"/>
    <cellStyle name="20% - Accent2 2" xfId="20" xr:uid="{00000000-0005-0000-0000-000001000000}"/>
    <cellStyle name="20% - Accent3 2" xfId="21" xr:uid="{00000000-0005-0000-0000-000002000000}"/>
    <cellStyle name="20% - Accent4 2" xfId="22" xr:uid="{00000000-0005-0000-0000-000003000000}"/>
    <cellStyle name="20% - Accent5" xfId="14" builtinId="46" customBuiltin="1"/>
    <cellStyle name="20% - Accent6" xfId="17" builtinId="50" customBuiltin="1"/>
    <cellStyle name="40% - Accent1 2" xfId="23" xr:uid="{00000000-0005-0000-0000-000006000000}"/>
    <cellStyle name="40% - Accent2" xfId="11" builtinId="35" customBuiltin="1"/>
    <cellStyle name="40% - Accent3 2" xfId="24" xr:uid="{00000000-0005-0000-0000-000008000000}"/>
    <cellStyle name="40% - Accent4 2" xfId="25" xr:uid="{00000000-0005-0000-0000-000009000000}"/>
    <cellStyle name="40% - Accent5" xfId="15" builtinId="47" customBuiltin="1"/>
    <cellStyle name="40% - Accent6 2" xfId="26" xr:uid="{00000000-0005-0000-0000-00000B000000}"/>
    <cellStyle name="60% - Accent1 2" xfId="27" xr:uid="{00000000-0005-0000-0000-00000C000000}"/>
    <cellStyle name="60% - Accent2 2" xfId="28" xr:uid="{00000000-0005-0000-0000-000039000000}"/>
    <cellStyle name="60% - Accent3 2" xfId="29" xr:uid="{00000000-0005-0000-0000-00000E000000}"/>
    <cellStyle name="60% - Accent4 2" xfId="30" xr:uid="{00000000-0005-0000-0000-00000F000000}"/>
    <cellStyle name="60% - Accent5 2" xfId="31" xr:uid="{00000000-0005-0000-0000-00003C000000}"/>
    <cellStyle name="60% - Accent6 2" xfId="32" xr:uid="{00000000-0005-0000-0000-000011000000}"/>
    <cellStyle name="Accent1 2" xfId="33" xr:uid="{00000000-0005-0000-0000-000012000000}"/>
    <cellStyle name="Accent2" xfId="10" builtinId="33" customBuiltin="1"/>
    <cellStyle name="Accent3" xfId="12" builtinId="37" customBuiltin="1"/>
    <cellStyle name="Accent4 2" xfId="34" xr:uid="{00000000-0005-0000-0000-000015000000}"/>
    <cellStyle name="Accent5" xfId="13" builtinId="45" customBuiltin="1"/>
    <cellStyle name="Accent6" xfId="16" builtinId="49" customBuiltin="1"/>
    <cellStyle name="Bad" xfId="4" builtinId="27" customBuiltin="1"/>
    <cellStyle name="Body: normal cell" xfId="105" xr:uid="{00000000-0005-0000-0000-000019000000}"/>
    <cellStyle name="Calculation 2" xfId="35" xr:uid="{00000000-0005-0000-0000-00001A000000}"/>
    <cellStyle name="Check Cell" xfId="7" builtinId="23" customBuiltin="1"/>
    <cellStyle name="Column heading" xfId="36" xr:uid="{00000000-0005-0000-0000-00001C000000}"/>
    <cellStyle name="Comma" xfId="1" builtinId="3"/>
    <cellStyle name="Comma 2" xfId="37" xr:uid="{00000000-0005-0000-0000-00001D000000}"/>
    <cellStyle name="Comma 2 2" xfId="38" xr:uid="{00000000-0005-0000-0000-00001E000000}"/>
    <cellStyle name="Comma 3" xfId="109" xr:uid="{92C24101-B72C-4506-87C8-DDDD89E0AFE7}"/>
    <cellStyle name="Comma0" xfId="39" xr:uid="{00000000-0005-0000-0000-00001F000000}"/>
    <cellStyle name="Corner heading" xfId="40" xr:uid="{00000000-0005-0000-0000-000020000000}"/>
    <cellStyle name="Currency" xfId="110" builtinId="4"/>
    <cellStyle name="Currency0" xfId="41" xr:uid="{00000000-0005-0000-0000-000021000000}"/>
    <cellStyle name="Data" xfId="42" xr:uid="{00000000-0005-0000-0000-000022000000}"/>
    <cellStyle name="Data 2" xfId="43" xr:uid="{00000000-0005-0000-0000-000023000000}"/>
    <cellStyle name="Data no deci" xfId="44" xr:uid="{00000000-0005-0000-0000-000024000000}"/>
    <cellStyle name="Data Superscript" xfId="45" xr:uid="{00000000-0005-0000-0000-000025000000}"/>
    <cellStyle name="Data_1-1A-Regular" xfId="46" xr:uid="{00000000-0005-0000-0000-000026000000}"/>
    <cellStyle name="Data-one deci" xfId="47" xr:uid="{00000000-0005-0000-0000-000027000000}"/>
    <cellStyle name="Date" xfId="48" xr:uid="{00000000-0005-0000-0000-000028000000}"/>
    <cellStyle name="Explanatory Text" xfId="9" builtinId="53" customBuiltin="1"/>
    <cellStyle name="Fixed" xfId="49" xr:uid="{00000000-0005-0000-0000-00002A000000}"/>
    <cellStyle name="Good 2" xfId="50" xr:uid="{00000000-0005-0000-0000-000031000000}"/>
    <cellStyle name="Heading 1 2" xfId="51" xr:uid="{00000000-0005-0000-0000-000032000000}"/>
    <cellStyle name="Heading 1 3" xfId="52" xr:uid="{00000000-0005-0000-0000-000033000000}"/>
    <cellStyle name="Heading 2 2" xfId="53" xr:uid="{00000000-0005-0000-0000-000034000000}"/>
    <cellStyle name="Heading 2 3" xfId="54" xr:uid="{00000000-0005-0000-0000-000035000000}"/>
    <cellStyle name="Heading 3 2" xfId="55" xr:uid="{00000000-0005-0000-0000-000036000000}"/>
    <cellStyle name="Heading 4 2" xfId="56" xr:uid="{00000000-0005-0000-0000-000037000000}"/>
    <cellStyle name="Hed Side" xfId="57" xr:uid="{00000000-0005-0000-0000-000038000000}"/>
    <cellStyle name="Hed Side bold" xfId="58" xr:uid="{00000000-0005-0000-0000-000039000000}"/>
    <cellStyle name="Hed Side Indent" xfId="59" xr:uid="{00000000-0005-0000-0000-00003A000000}"/>
    <cellStyle name="Hed Side Regular" xfId="60" xr:uid="{00000000-0005-0000-0000-00003B000000}"/>
    <cellStyle name="Hed Side_1-1A-Regular" xfId="61" xr:uid="{00000000-0005-0000-0000-00003C000000}"/>
    <cellStyle name="Hed Top" xfId="62" xr:uid="{00000000-0005-0000-0000-00003D000000}"/>
    <cellStyle name="Hed Top - SECTION" xfId="63" xr:uid="{00000000-0005-0000-0000-00003E000000}"/>
    <cellStyle name="Hed Top_3-new4" xfId="64" xr:uid="{00000000-0005-0000-0000-00003F000000}"/>
    <cellStyle name="Hyperlink" xfId="3" builtinId="8"/>
    <cellStyle name="Hyperlink 2" xfId="65" xr:uid="{00000000-0005-0000-0000-00005F000000}"/>
    <cellStyle name="Hyperlink 3" xfId="108" xr:uid="{70E6E3E3-3F02-41E2-AF19-1AE230880930}"/>
    <cellStyle name="Input" xfId="5" builtinId="20" customBuiltin="1"/>
    <cellStyle name="Linked Cell" xfId="6" builtinId="24" customBuiltin="1"/>
    <cellStyle name="Neutral 2" xfId="66" xr:uid="{00000000-0005-0000-0000-000043000000}"/>
    <cellStyle name="Normal" xfId="0" builtinId="0"/>
    <cellStyle name="Normal 2" xfId="67" xr:uid="{00000000-0005-0000-0000-000045000000}"/>
    <cellStyle name="Normal 2 2" xfId="68" xr:uid="{00000000-0005-0000-0000-000046000000}"/>
    <cellStyle name="Normal 3" xfId="69" xr:uid="{00000000-0005-0000-0000-000047000000}"/>
    <cellStyle name="Normal 3 2" xfId="70" xr:uid="{00000000-0005-0000-0000-000048000000}"/>
    <cellStyle name="Normal 4" xfId="71" xr:uid="{00000000-0005-0000-0000-000049000000}"/>
    <cellStyle name="Normal 4 2" xfId="72" xr:uid="{00000000-0005-0000-0000-00004A000000}"/>
    <cellStyle name="Normal 5" xfId="73" xr:uid="{00000000-0005-0000-0000-00004B000000}"/>
    <cellStyle name="Normal 6" xfId="18" xr:uid="{00000000-0005-0000-0000-000061000000}"/>
    <cellStyle name="Normal 7" xfId="74" xr:uid="{00000000-0005-0000-0000-00004C000000}"/>
    <cellStyle name="Normal 8" xfId="107" xr:uid="{06785047-7077-42EF-AB85-CB9266B471FD}"/>
    <cellStyle name="Note 2" xfId="75" xr:uid="{00000000-0005-0000-0000-000056000000}"/>
    <cellStyle name="Output 2" xfId="76" xr:uid="{00000000-0005-0000-0000-000057000000}"/>
    <cellStyle name="Percent" xfId="2" builtinId="5"/>
    <cellStyle name="Percent 2" xfId="78" xr:uid="{00000000-0005-0000-0000-000059000000}"/>
    <cellStyle name="Percent 3" xfId="77" xr:uid="{00000000-0005-0000-0000-000075000000}"/>
    <cellStyle name="Reference" xfId="79" xr:uid="{00000000-0005-0000-0000-00005A000000}"/>
    <cellStyle name="Row heading" xfId="80" xr:uid="{00000000-0005-0000-0000-00005B000000}"/>
    <cellStyle name="SCOPE 1 2" xfId="106" xr:uid="{6209FACF-AC6A-4B47-89C9-C947A1E21BB9}"/>
    <cellStyle name="Source Hed" xfId="81" xr:uid="{00000000-0005-0000-0000-00005C000000}"/>
    <cellStyle name="Source Letter" xfId="82" xr:uid="{00000000-0005-0000-0000-00005D000000}"/>
    <cellStyle name="Source Superscript" xfId="83" xr:uid="{00000000-0005-0000-0000-00005E000000}"/>
    <cellStyle name="Source Text" xfId="84" xr:uid="{00000000-0005-0000-0000-00005F000000}"/>
    <cellStyle name="State" xfId="85" xr:uid="{00000000-0005-0000-0000-000060000000}"/>
    <cellStyle name="Superscript" xfId="86" xr:uid="{00000000-0005-0000-0000-000061000000}"/>
    <cellStyle name="Superscript- regular" xfId="87" xr:uid="{00000000-0005-0000-0000-000062000000}"/>
    <cellStyle name="Table Data" xfId="88" xr:uid="{00000000-0005-0000-0000-000063000000}"/>
    <cellStyle name="Table Head Top" xfId="89" xr:uid="{00000000-0005-0000-0000-000064000000}"/>
    <cellStyle name="Table Hed Side" xfId="90" xr:uid="{00000000-0005-0000-0000-000065000000}"/>
    <cellStyle name="Table Title" xfId="91" xr:uid="{00000000-0005-0000-0000-000066000000}"/>
    <cellStyle name="Title 2" xfId="92" xr:uid="{00000000-0005-0000-0000-000067000000}"/>
    <cellStyle name="Title Text" xfId="93" xr:uid="{00000000-0005-0000-0000-000068000000}"/>
    <cellStyle name="Title Text 1" xfId="94" xr:uid="{00000000-0005-0000-0000-000069000000}"/>
    <cellStyle name="Title Text 2" xfId="95" xr:uid="{00000000-0005-0000-0000-00006A000000}"/>
    <cellStyle name="Title-1" xfId="96" xr:uid="{00000000-0005-0000-0000-00006B000000}"/>
    <cellStyle name="Title-2" xfId="97" xr:uid="{00000000-0005-0000-0000-00006C000000}"/>
    <cellStyle name="Title-3" xfId="98" xr:uid="{00000000-0005-0000-0000-00006D000000}"/>
    <cellStyle name="Total 2" xfId="99" xr:uid="{00000000-0005-0000-0000-00006E000000}"/>
    <cellStyle name="Total 3" xfId="100" xr:uid="{00000000-0005-0000-0000-00006F000000}"/>
    <cellStyle name="Warning Text" xfId="8" builtinId="11" customBuiltin="1"/>
    <cellStyle name="Wrap" xfId="101" xr:uid="{00000000-0005-0000-0000-000071000000}"/>
    <cellStyle name="Wrap Bold" xfId="102" xr:uid="{00000000-0005-0000-0000-000072000000}"/>
    <cellStyle name="Wrap Title" xfId="103" xr:uid="{00000000-0005-0000-0000-000073000000}"/>
    <cellStyle name="Wrap_NTS99-~11" xfId="104" xr:uid="{00000000-0005-0000-0000-000074000000}"/>
  </cellStyles>
  <dxfs count="0"/>
  <tableStyles count="0" defaultTableStyle="TableStyleMedium2" defaultPivotStyle="PivotStyleLight16"/>
  <colors>
    <mruColors>
      <color rgb="FFFFFF66"/>
      <color rgb="FFD391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en-US" sz="14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uLnTx/>
                <a:uFillTx/>
                <a:latin typeface="Calibri" panose="020F0502020204030204"/>
              </a:rPr>
              <a:t>MTCO2e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2"/>
          <c:order val="0"/>
          <c:tx>
            <c:strRef>
              <c:f>Summary!$B$9</c:f>
              <c:strCache>
                <c:ptCount val="1"/>
                <c:pt idx="0">
                  <c:v>Scope 2 - Indirect Energy Emissions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Summary!$D$2:$G$2</c:f>
              <c:numCache>
                <c:formatCode>General</c:formatCod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Summary!$D$9:$G$9</c:f>
              <c:numCache>
                <c:formatCode>#,##0</c:formatCode>
                <c:ptCount val="4"/>
                <c:pt idx="0">
                  <c:v>138806</c:v>
                </c:pt>
                <c:pt idx="1">
                  <c:v>131237</c:v>
                </c:pt>
                <c:pt idx="2">
                  <c:v>133844</c:v>
                </c:pt>
                <c:pt idx="3">
                  <c:v>136003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DA-4911-9673-A31DAA36EDAF}"/>
            </c:ext>
          </c:extLst>
        </c:ser>
        <c:ser>
          <c:idx val="1"/>
          <c:order val="1"/>
          <c:tx>
            <c:strRef>
              <c:f>Summary!$B$3</c:f>
              <c:strCache>
                <c:ptCount val="1"/>
                <c:pt idx="0">
                  <c:v>Scope 1 - Direct Emissions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Summary!$D$2:$G$2</c:f>
              <c:numCache>
                <c:formatCode>General</c:formatCod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Summary!$D$3:$G$3</c:f>
              <c:numCache>
                <c:formatCode>#,##0</c:formatCode>
                <c:ptCount val="4"/>
                <c:pt idx="0">
                  <c:v>22987.954595760002</c:v>
                </c:pt>
                <c:pt idx="1">
                  <c:v>21556.499581519998</c:v>
                </c:pt>
                <c:pt idx="2">
                  <c:v>22822.063366520004</c:v>
                </c:pt>
                <c:pt idx="3">
                  <c:v>22632.634797920004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DA-4911-9673-A31DAA36E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437952"/>
        <c:axId val="1061437560"/>
      </c:areaChart>
      <c:lineChart>
        <c:grouping val="standard"/>
        <c:varyColors val="0"/>
        <c:ser>
          <c:idx val="5"/>
          <c:order val="2"/>
          <c:tx>
            <c:strRef>
              <c:f>Summary!$B$18</c:f>
              <c:strCache>
                <c:ptCount val="1"/>
                <c:pt idx="0">
                  <c:v>Net Emissions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Summary!$D$18:$G$18</c:f>
              <c:numCache>
                <c:formatCode>#,##0</c:formatCode>
                <c:ptCount val="4"/>
                <c:pt idx="0">
                  <c:v>161793.95459576001</c:v>
                </c:pt>
                <c:pt idx="1">
                  <c:v>152793.49958152001</c:v>
                </c:pt>
                <c:pt idx="2">
                  <c:v>156666.06336652001</c:v>
                </c:pt>
                <c:pt idx="3">
                  <c:v>158635.63479792001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DA-4911-9673-A31DAA36E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437952"/>
        <c:axId val="1061437560"/>
      </c:lineChart>
      <c:catAx>
        <c:axId val="106143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1437560"/>
        <c:crosses val="autoZero"/>
        <c:auto val="1"/>
        <c:lblAlgn val="ctr"/>
        <c:lblOffset val="100"/>
        <c:noMultiLvlLbl val="0"/>
      </c:catAx>
      <c:valAx>
        <c:axId val="1061437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1437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131695</xdr:colOff>
      <xdr:row>15</xdr:row>
      <xdr:rowOff>116653</xdr:rowOff>
    </xdr:from>
    <xdr:to>
      <xdr:col>19</xdr:col>
      <xdr:colOff>339143</xdr:colOff>
      <xdr:row>29</xdr:row>
      <xdr:rowOff>81592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D55BB6-5346-4794-ABD1-B79D45A54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0</xdr:colOff>
      <xdr:row>76</xdr:row>
      <xdr:rowOff>93681</xdr:rowOff>
    </xdr:from>
    <xdr:ext cx="875515" cy="278354"/>
    <xdr:pic>
      <xdr:nvPicPr>
        <xdr:cNvPr id="3" name="Picture 2" descr="Creative Commons License">
          <a:extLst>
            <a:ext uri="{FF2B5EF4-FFF2-40B4-BE49-F238E27FC236}">
              <a16:creationId xmlns:a16="http://schemas.microsoft.com/office/drawing/2014/main" id="{A28E3C3B-930B-4C24-869F-CF7EB8107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0571" y="18011887"/>
          <a:ext cx="862180" cy="293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31750</xdr:colOff>
      <xdr:row>29</xdr:row>
      <xdr:rowOff>171450</xdr:rowOff>
    </xdr:from>
    <xdr:to>
      <xdr:col>35</xdr:col>
      <xdr:colOff>26416</xdr:colOff>
      <xdr:row>48</xdr:row>
      <xdr:rowOff>63069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55CE007-0B2B-43E2-82BB-07011A8C6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37800" y="5340350"/>
          <a:ext cx="17266666" cy="34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2</xdr:col>
      <xdr:colOff>1829646</xdr:colOff>
      <xdr:row>40</xdr:row>
      <xdr:rowOff>153027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94323C-9AAD-4FB3-87BF-D4FD250E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2943225"/>
          <a:ext cx="6058746" cy="44964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76200</xdr:rowOff>
    </xdr:from>
    <xdr:to>
      <xdr:col>20</xdr:col>
      <xdr:colOff>27064</xdr:colOff>
      <xdr:row>38</xdr:row>
      <xdr:rowOff>18152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2B1265-2FE6-466C-BB38-91835EAD1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6200"/>
          <a:ext cx="12085714" cy="71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39</xdr:row>
      <xdr:rowOff>58065</xdr:rowOff>
    </xdr:from>
    <xdr:to>
      <xdr:col>19</xdr:col>
      <xdr:colOff>266700</xdr:colOff>
      <xdr:row>76</xdr:row>
      <xdr:rowOff>84814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D12877-F016-4CFA-BDED-023BB417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1475" y="7487565"/>
          <a:ext cx="11477625" cy="707524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78</xdr:row>
      <xdr:rowOff>84843</xdr:rowOff>
    </xdr:from>
    <xdr:to>
      <xdr:col>19</xdr:col>
      <xdr:colOff>209551</xdr:colOff>
      <xdr:row>115</xdr:row>
      <xdr:rowOff>141977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E3D99EB-50CD-46F2-9422-251A70443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651" y="14943843"/>
          <a:ext cx="11544300" cy="710563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116</xdr:row>
      <xdr:rowOff>5345</xdr:rowOff>
    </xdr:from>
    <xdr:to>
      <xdr:col>21</xdr:col>
      <xdr:colOff>228600</xdr:colOff>
      <xdr:row>153</xdr:row>
      <xdr:rowOff>179927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CE976FA-D5B8-4C90-8797-78C01D53B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8251" y="22103345"/>
          <a:ext cx="11791949" cy="72230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ck/Downloads/WAR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/Dropbox%20(Fovea)/Fovea_Team/Projects/University%20of%20Central%20Florida/Model/Fovea_UBP_v10.3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Assumptions"/>
      <sheetName val="REFCASE_CHTS"/>
      <sheetName val="REFCASE"/>
      <sheetName val="Growth_Profiles"/>
      <sheetName val="Solutions"/>
      <sheetName val="SOLUTION_METRICS"/>
      <sheetName val="S_01"/>
      <sheetName val="S_03"/>
      <sheetName val="S_04"/>
      <sheetName val="S_05"/>
      <sheetName val="S_06"/>
      <sheetName val="S_07"/>
      <sheetName val="S_08"/>
      <sheetName val="S_09"/>
      <sheetName val="S_10"/>
      <sheetName val="S_11"/>
      <sheetName val="S_13"/>
      <sheetName val="S_14"/>
      <sheetName val="S_Template"/>
      <sheetName val="Portfolios"/>
      <sheetName val="PORTFOLIO_CHT"/>
      <sheetName val="PORTFOLIO_DETAIL"/>
      <sheetName val="MODEL_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11">
          <cell r="E11">
            <v>2019</v>
          </cell>
        </row>
        <row r="14">
          <cell r="E14">
            <v>2050</v>
          </cell>
        </row>
        <row r="15">
          <cell r="E15">
            <v>2013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reativecommons.org/licenses/by-sa/4.0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portfoliomanager.energystar.gov/pm/degreeDaysCalculator" TargetMode="External"/><Relationship Id="rId1" Type="http://schemas.openxmlformats.org/officeDocument/2006/relationships/hyperlink" Target="https://reporting.secondnature.org/institution/detail!2028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pa.gov/egrid/download-data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s://www.epa.gov/sites/production/files/2020-01/documents/egrid2018_summary_tables.pdf" TargetMode="External"/><Relationship Id="rId1" Type="http://schemas.openxmlformats.org/officeDocument/2006/relationships/hyperlink" Target="https://www.epa.gov/energy/emissions-generation-resource-integrated-database-egrid" TargetMode="External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epa.gov/sites/production/files/2018-03/documents/emission-factors_mar_2018_0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08B61-955D-4498-8DE9-0D737B3EA299}">
  <dimension ref="A1:Y83"/>
  <sheetViews>
    <sheetView tabSelected="1" zoomScaleNormal="100" workbookViewId="0">
      <selection activeCell="A5" sqref="A5:XFD5"/>
    </sheetView>
  </sheetViews>
  <sheetFormatPr defaultRowHeight="14.4" x14ac:dyDescent="0.3"/>
  <cols>
    <col min="1" max="1" width="8.33203125" bestFit="1" customWidth="1"/>
    <col min="2" max="2" width="34.33203125" style="23" customWidth="1"/>
    <col min="3" max="3" width="14.88671875" style="24" customWidth="1"/>
    <col min="4" max="8" width="18.6640625" customWidth="1"/>
    <col min="9" max="9" width="56" bestFit="1" customWidth="1"/>
    <col min="12" max="12" width="33.33203125" customWidth="1"/>
    <col min="13" max="13" width="8" bestFit="1" customWidth="1"/>
    <col min="14" max="14" width="5.6640625" bestFit="1" customWidth="1"/>
    <col min="15" max="15" width="8" bestFit="1" customWidth="1"/>
    <col min="16" max="16" width="12" bestFit="1" customWidth="1"/>
  </cols>
  <sheetData>
    <row r="1" spans="1:21" ht="18" x14ac:dyDescent="0.3">
      <c r="A1" s="45" t="s">
        <v>52</v>
      </c>
      <c r="B1" s="3"/>
      <c r="C1" s="4" t="s">
        <v>0</v>
      </c>
      <c r="D1" s="38" t="s">
        <v>122</v>
      </c>
      <c r="E1" s="38"/>
      <c r="F1" s="38"/>
      <c r="G1" s="38"/>
      <c r="H1" s="38"/>
    </row>
    <row r="2" spans="1:21" ht="15.6" x14ac:dyDescent="0.3">
      <c r="A2" s="41"/>
      <c r="B2" s="6"/>
      <c r="C2" s="7" t="s">
        <v>1</v>
      </c>
      <c r="D2" s="151">
        <v>2016</v>
      </c>
      <c r="E2" s="151">
        <v>2017</v>
      </c>
      <c r="F2" s="151">
        <v>2018</v>
      </c>
      <c r="G2" s="151">
        <v>2019</v>
      </c>
      <c r="H2" s="151">
        <v>2020</v>
      </c>
    </row>
    <row r="3" spans="1:21" ht="18" x14ac:dyDescent="0.3">
      <c r="A3" s="41"/>
      <c r="B3" s="117" t="s">
        <v>27</v>
      </c>
      <c r="C3" s="118"/>
      <c r="D3" s="119">
        <f t="shared" ref="D3:F3" si="0">SUM(D4:D8)</f>
        <v>22987.954595760002</v>
      </c>
      <c r="E3" s="119">
        <f t="shared" si="0"/>
        <v>21556.499581519998</v>
      </c>
      <c r="F3" s="119">
        <f t="shared" si="0"/>
        <v>22822.063366520004</v>
      </c>
      <c r="G3" s="119">
        <f t="shared" ref="G3:H3" si="1">SUM(G4:G8)</f>
        <v>22632.634797920004</v>
      </c>
      <c r="H3" s="119">
        <f t="shared" si="1"/>
        <v>22237.292144999999</v>
      </c>
      <c r="I3" s="119" t="s">
        <v>24</v>
      </c>
      <c r="K3" s="8" t="s">
        <v>131</v>
      </c>
      <c r="L3" s="8"/>
    </row>
    <row r="4" spans="1:21" s="11" customFormat="1" ht="15.6" x14ac:dyDescent="0.3">
      <c r="A4" s="41"/>
      <c r="B4" s="120" t="s">
        <v>50</v>
      </c>
      <c r="C4" s="9" t="s">
        <v>3</v>
      </c>
      <c r="D4" s="10">
        <f>+D52*D71/1000</f>
        <v>19446.719887760002</v>
      </c>
      <c r="E4" s="10">
        <f>+E52*E71/1000</f>
        <v>17960.76430852</v>
      </c>
      <c r="F4" s="10">
        <f t="shared" ref="F4:G4" si="2">+F52*F71/1000</f>
        <v>19228.216223520005</v>
      </c>
      <c r="G4" s="10">
        <f t="shared" si="2"/>
        <v>18992.678642920004</v>
      </c>
      <c r="H4" s="10">
        <f>+H52*H71/1000</f>
        <v>18773.558847</v>
      </c>
      <c r="I4" s="121"/>
      <c r="K4" s="110"/>
      <c r="L4" s="11" t="s">
        <v>132</v>
      </c>
      <c r="U4"/>
    </row>
    <row r="5" spans="1:21" s="11" customFormat="1" ht="15.6" x14ac:dyDescent="0.3">
      <c r="A5" s="41"/>
      <c r="B5" s="120" t="s">
        <v>49</v>
      </c>
      <c r="C5" s="9" t="s">
        <v>3</v>
      </c>
      <c r="D5" s="10">
        <f>((D58+D57)*10.33+D56*8.87)/1000</f>
        <v>1947.2347080000002</v>
      </c>
      <c r="E5" s="10">
        <f>((E58+E57)*10.33+E56*8.87)/1000</f>
        <v>2001.735273</v>
      </c>
      <c r="F5" s="10">
        <f>((F58+F57)*10.33+F56*8.87)/1000</f>
        <v>1999.8471429999997</v>
      </c>
      <c r="G5" s="10">
        <f>((G58+G57)*10.33+G56*8.87)/1000</f>
        <v>1728.9561549999999</v>
      </c>
      <c r="H5" s="10">
        <f>((H58+H57)*10.33+H56*8.87)/1000</f>
        <v>1552.7332979999999</v>
      </c>
      <c r="I5" s="121" t="s">
        <v>136</v>
      </c>
      <c r="K5" s="113"/>
      <c r="L5" s="11" t="s">
        <v>133</v>
      </c>
      <c r="U5"/>
    </row>
    <row r="6" spans="1:21" s="11" customFormat="1" ht="15.6" x14ac:dyDescent="0.3">
      <c r="A6" s="41"/>
      <c r="B6" s="120" t="s">
        <v>94</v>
      </c>
      <c r="C6" s="9" t="s">
        <v>3</v>
      </c>
      <c r="D6" s="10">
        <v>1531</v>
      </c>
      <c r="E6" s="189">
        <f>D6</f>
        <v>1531</v>
      </c>
      <c r="F6" s="189">
        <f t="shared" ref="F6:H6" si="3">E6</f>
        <v>1531</v>
      </c>
      <c r="G6" s="189">
        <f t="shared" si="3"/>
        <v>1531</v>
      </c>
      <c r="H6" s="189">
        <f t="shared" si="3"/>
        <v>1531</v>
      </c>
      <c r="I6" s="121" t="s">
        <v>96</v>
      </c>
      <c r="L6" s="12"/>
      <c r="U6"/>
    </row>
    <row r="7" spans="1:21" s="11" customFormat="1" ht="15.6" x14ac:dyDescent="0.3">
      <c r="A7" s="41"/>
      <c r="B7" s="120" t="s">
        <v>95</v>
      </c>
      <c r="C7" s="9" t="s">
        <v>3</v>
      </c>
      <c r="D7" s="10">
        <v>63</v>
      </c>
      <c r="E7" s="189">
        <f t="shared" ref="E7:F7" si="4">D7</f>
        <v>63</v>
      </c>
      <c r="F7" s="189">
        <f t="shared" si="4"/>
        <v>63</v>
      </c>
      <c r="G7" s="113">
        <f>195+185</f>
        <v>380</v>
      </c>
      <c r="H7" s="189">
        <f>G7</f>
        <v>380</v>
      </c>
      <c r="I7" s="121" t="s">
        <v>97</v>
      </c>
      <c r="L7" s="12"/>
      <c r="U7"/>
    </row>
    <row r="8" spans="1:21" s="11" customFormat="1" ht="15.6" x14ac:dyDescent="0.3">
      <c r="A8" s="41"/>
      <c r="B8" s="120" t="s">
        <v>5</v>
      </c>
      <c r="C8" s="9" t="s">
        <v>3</v>
      </c>
      <c r="D8" s="111"/>
      <c r="E8" s="111"/>
      <c r="F8" s="111"/>
      <c r="G8" s="111"/>
      <c r="H8" s="111"/>
      <c r="I8" s="121"/>
      <c r="L8" s="12"/>
      <c r="U8"/>
    </row>
    <row r="9" spans="1:21" ht="18" x14ac:dyDescent="0.3">
      <c r="A9" s="41"/>
      <c r="B9" s="122" t="s">
        <v>28</v>
      </c>
      <c r="C9" s="123"/>
      <c r="D9" s="124">
        <f t="shared" ref="D9:H9" si="5">SUM(D10:D10)</f>
        <v>138806</v>
      </c>
      <c r="E9" s="124">
        <f t="shared" si="5"/>
        <v>131237</v>
      </c>
      <c r="F9" s="124">
        <f t="shared" si="5"/>
        <v>133844</v>
      </c>
      <c r="G9" s="124">
        <f t="shared" si="5"/>
        <v>136003</v>
      </c>
      <c r="H9" s="124">
        <f t="shared" si="5"/>
        <v>128028</v>
      </c>
      <c r="I9" s="125"/>
    </row>
    <row r="10" spans="1:21" x14ac:dyDescent="0.3">
      <c r="A10" s="41"/>
      <c r="B10" s="126" t="s">
        <v>6</v>
      </c>
      <c r="C10" s="13" t="s">
        <v>3</v>
      </c>
      <c r="D10" s="190">
        <v>138806</v>
      </c>
      <c r="E10" s="190">
        <v>131237</v>
      </c>
      <c r="F10" s="190">
        <v>133844</v>
      </c>
      <c r="G10" s="190">
        <v>136003</v>
      </c>
      <c r="H10" s="190">
        <v>128028</v>
      </c>
      <c r="I10" s="191" t="s">
        <v>144</v>
      </c>
      <c r="L10" s="14"/>
      <c r="M10" s="15"/>
      <c r="O10" s="16"/>
    </row>
    <row r="11" spans="1:21" x14ac:dyDescent="0.3">
      <c r="A11" s="41"/>
      <c r="B11" s="126"/>
      <c r="C11" s="13"/>
      <c r="D11" s="112">
        <f>D60*D74/1000</f>
        <v>90249.930290990553</v>
      </c>
      <c r="E11" s="112">
        <f t="shared" ref="E11:H11" si="6">E60*E74/1000</f>
        <v>85328.74496725596</v>
      </c>
      <c r="F11" s="112">
        <f t="shared" si="6"/>
        <v>80151.495354249841</v>
      </c>
      <c r="G11" s="112">
        <f t="shared" si="6"/>
        <v>74529.3257940443</v>
      </c>
      <c r="H11" s="112">
        <f t="shared" si="6"/>
        <v>70802.793604451377</v>
      </c>
      <c r="I11" s="191"/>
      <c r="L11" s="14"/>
      <c r="M11" s="15"/>
      <c r="O11" s="16"/>
    </row>
    <row r="12" spans="1:21" ht="18" x14ac:dyDescent="0.3">
      <c r="A12" s="5"/>
      <c r="B12" s="127" t="s">
        <v>56</v>
      </c>
      <c r="C12" s="128"/>
      <c r="D12" s="1">
        <f>D3+D9</f>
        <v>161793.95459576001</v>
      </c>
      <c r="E12" s="1">
        <f>E3+E9</f>
        <v>152793.49958152001</v>
      </c>
      <c r="F12" s="1">
        <f>F3+F9</f>
        <v>156666.06336652001</v>
      </c>
      <c r="G12" s="1">
        <f>G3+G9</f>
        <v>158635.63479792001</v>
      </c>
      <c r="H12" s="1">
        <f>H3+H9</f>
        <v>150265.29214500001</v>
      </c>
      <c r="I12" s="125"/>
    </row>
    <row r="13" spans="1:21" ht="18" x14ac:dyDescent="0.3">
      <c r="A13" s="41"/>
      <c r="B13" s="129" t="s">
        <v>8</v>
      </c>
      <c r="C13" s="130"/>
      <c r="D13" s="17">
        <f t="shared" ref="D13:F13" si="7">SUM(D14:D17)</f>
        <v>0</v>
      </c>
      <c r="E13" s="17">
        <f t="shared" si="7"/>
        <v>0</v>
      </c>
      <c r="F13" s="17">
        <f t="shared" si="7"/>
        <v>0</v>
      </c>
      <c r="G13" s="17">
        <f t="shared" ref="G13:H13" si="8">SUM(G14:G17)</f>
        <v>0</v>
      </c>
      <c r="H13" s="17">
        <f t="shared" si="8"/>
        <v>0</v>
      </c>
      <c r="I13" s="125"/>
    </row>
    <row r="14" spans="1:21" x14ac:dyDescent="0.3">
      <c r="A14" s="41"/>
      <c r="B14" s="131" t="s">
        <v>9</v>
      </c>
      <c r="C14" s="13" t="s">
        <v>3</v>
      </c>
      <c r="D14" s="110">
        <v>0</v>
      </c>
      <c r="E14" s="110">
        <v>0</v>
      </c>
      <c r="F14" s="112">
        <v>0</v>
      </c>
      <c r="G14" s="112">
        <v>0</v>
      </c>
      <c r="H14" s="112">
        <v>0</v>
      </c>
      <c r="I14" s="191" t="s">
        <v>145</v>
      </c>
    </row>
    <row r="15" spans="1:21" x14ac:dyDescent="0.3">
      <c r="A15" s="41"/>
      <c r="B15" s="131" t="s">
        <v>98</v>
      </c>
      <c r="C15" s="13" t="s">
        <v>3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25"/>
    </row>
    <row r="16" spans="1:21" x14ac:dyDescent="0.3">
      <c r="A16" s="41"/>
      <c r="B16" s="131" t="s">
        <v>99</v>
      </c>
      <c r="C16" s="13" t="s">
        <v>3</v>
      </c>
      <c r="D16" s="112">
        <v>0</v>
      </c>
      <c r="E16" s="112">
        <v>0</v>
      </c>
      <c r="F16" s="112">
        <v>0</v>
      </c>
      <c r="G16" s="112">
        <v>0</v>
      </c>
      <c r="H16" s="112">
        <v>0</v>
      </c>
      <c r="I16" s="125"/>
    </row>
    <row r="17" spans="1:9" x14ac:dyDescent="0.3">
      <c r="A17" s="41"/>
      <c r="B17" s="131" t="s">
        <v>10</v>
      </c>
      <c r="C17" s="13" t="s">
        <v>3</v>
      </c>
      <c r="D17" s="112">
        <v>0</v>
      </c>
      <c r="E17" s="112">
        <v>0</v>
      </c>
      <c r="F17" s="112">
        <v>0</v>
      </c>
      <c r="G17" s="112">
        <v>0</v>
      </c>
      <c r="H17" s="112">
        <v>0</v>
      </c>
      <c r="I17" s="125"/>
    </row>
    <row r="18" spans="1:9" ht="18" x14ac:dyDescent="0.3">
      <c r="A18" s="41"/>
      <c r="B18" s="132" t="s">
        <v>11</v>
      </c>
      <c r="C18" s="132"/>
      <c r="D18" s="133">
        <f>D3+D9-D13</f>
        <v>161793.95459576001</v>
      </c>
      <c r="E18" s="133">
        <f>E3+E9-E13</f>
        <v>152793.49958152001</v>
      </c>
      <c r="F18" s="133">
        <f>F3+F9-F13</f>
        <v>156666.06336652001</v>
      </c>
      <c r="G18" s="133">
        <f>G3+G9-G13</f>
        <v>158635.63479792001</v>
      </c>
      <c r="H18" s="133">
        <f>H3+H9-H13</f>
        <v>150265.29214500001</v>
      </c>
      <c r="I18" s="125"/>
    </row>
    <row r="19" spans="1:9" x14ac:dyDescent="0.3">
      <c r="A19" s="41"/>
      <c r="B19" s="18"/>
      <c r="C19" s="5"/>
      <c r="D19" s="15"/>
      <c r="E19" s="15"/>
      <c r="F19" s="15"/>
      <c r="G19" s="15"/>
      <c r="H19" s="15"/>
      <c r="I19" s="125"/>
    </row>
    <row r="20" spans="1:9" ht="18" x14ac:dyDescent="0.35">
      <c r="A20" s="41"/>
      <c r="B20" s="19" t="s">
        <v>12</v>
      </c>
      <c r="C20" s="20" t="s">
        <v>2</v>
      </c>
      <c r="D20" s="150">
        <v>2016</v>
      </c>
      <c r="E20" s="150">
        <v>2017</v>
      </c>
      <c r="F20" s="150">
        <v>2018</v>
      </c>
      <c r="G20" s="150">
        <v>2019</v>
      </c>
      <c r="H20" s="150">
        <v>2020</v>
      </c>
      <c r="I20" s="125"/>
    </row>
    <row r="21" spans="1:9" x14ac:dyDescent="0.3">
      <c r="A21" s="41"/>
      <c r="B21" s="47" t="s">
        <v>13</v>
      </c>
      <c r="C21" s="22" t="s">
        <v>14</v>
      </c>
      <c r="D21" s="42">
        <v>10251149</v>
      </c>
      <c r="E21" s="42">
        <v>10133730</v>
      </c>
      <c r="F21" s="42">
        <v>10133730</v>
      </c>
      <c r="G21" s="42">
        <v>10133730</v>
      </c>
      <c r="H21" s="42">
        <v>10133730</v>
      </c>
      <c r="I21" s="125"/>
    </row>
    <row r="22" spans="1:9" x14ac:dyDescent="0.3">
      <c r="A22" s="41"/>
      <c r="B22" s="21" t="s">
        <v>15</v>
      </c>
      <c r="C22" s="22" t="s">
        <v>14</v>
      </c>
      <c r="D22" s="140">
        <v>2191137</v>
      </c>
      <c r="E22" s="140">
        <v>2191137</v>
      </c>
      <c r="F22" s="42">
        <v>2287107</v>
      </c>
      <c r="G22" s="42">
        <v>2287107</v>
      </c>
      <c r="H22" s="42">
        <v>2287107</v>
      </c>
      <c r="I22" s="125" t="s">
        <v>137</v>
      </c>
    </row>
    <row r="23" spans="1:9" x14ac:dyDescent="0.3">
      <c r="A23" s="41"/>
      <c r="B23" s="47" t="s">
        <v>41</v>
      </c>
      <c r="C23" s="22" t="s">
        <v>17</v>
      </c>
      <c r="D23" s="43">
        <f t="shared" ref="D23" si="9">SUM(D24:D26)</f>
        <v>42586.5</v>
      </c>
      <c r="E23" s="43">
        <f t="shared" ref="E23:F23" si="10">SUM(E24:E26)</f>
        <v>42597</v>
      </c>
      <c r="F23" s="43">
        <f t="shared" si="10"/>
        <v>43419</v>
      </c>
      <c r="G23" s="43">
        <f t="shared" ref="G23:H23" si="11">SUM(G24:G26)</f>
        <v>43697.5</v>
      </c>
      <c r="H23" s="43">
        <f t="shared" si="11"/>
        <v>52391</v>
      </c>
      <c r="I23" s="125"/>
    </row>
    <row r="24" spans="1:9" x14ac:dyDescent="0.3">
      <c r="A24" s="41"/>
      <c r="B24" s="21" t="s">
        <v>16</v>
      </c>
      <c r="C24" s="22" t="s">
        <v>17</v>
      </c>
      <c r="D24" s="141">
        <v>35246</v>
      </c>
      <c r="E24" s="142">
        <v>35198</v>
      </c>
      <c r="F24" s="141">
        <v>35824</v>
      </c>
      <c r="G24" s="42">
        <v>35945</v>
      </c>
      <c r="H24" s="42">
        <v>44053</v>
      </c>
      <c r="I24" s="191" t="s">
        <v>147</v>
      </c>
    </row>
    <row r="25" spans="1:9" x14ac:dyDescent="0.3">
      <c r="A25" s="41"/>
      <c r="B25" s="21" t="s">
        <v>18</v>
      </c>
      <c r="C25" s="22" t="s">
        <v>17</v>
      </c>
      <c r="D25" s="141">
        <f>2112+(141*0.5)</f>
        <v>2182.5</v>
      </c>
      <c r="E25" s="141">
        <f>2131+(137*0.5)</f>
        <v>2199.5</v>
      </c>
      <c r="F25" s="141">
        <f>2164+(133*0.5)</f>
        <v>2230.5</v>
      </c>
      <c r="G25" s="42">
        <f>2218+(135*0.5)</f>
        <v>2285.5</v>
      </c>
      <c r="H25" s="42">
        <f>2218+(135*0.5)</f>
        <v>2285.5</v>
      </c>
      <c r="I25" s="125"/>
    </row>
    <row r="26" spans="1:9" x14ac:dyDescent="0.3">
      <c r="A26" s="41"/>
      <c r="B26" s="21" t="s">
        <v>19</v>
      </c>
      <c r="C26" s="145" t="s">
        <v>17</v>
      </c>
      <c r="D26" s="146">
        <f>4685+(946*0.5)</f>
        <v>5158</v>
      </c>
      <c r="E26" s="147">
        <f>4690+(1019*0.5)</f>
        <v>5199.5</v>
      </c>
      <c r="F26" s="146">
        <f>4825+(1079*0.5)</f>
        <v>5364.5</v>
      </c>
      <c r="G26" s="147">
        <f>4965+(1004*0.5)</f>
        <v>5467</v>
      </c>
      <c r="H26" s="147">
        <f>5477+(1151*0.5)</f>
        <v>6052.5</v>
      </c>
      <c r="I26" s="191" t="s">
        <v>146</v>
      </c>
    </row>
    <row r="27" spans="1:9" x14ac:dyDescent="0.3">
      <c r="A27" s="41"/>
      <c r="B27" s="143" t="s">
        <v>20</v>
      </c>
      <c r="C27" s="183" t="s">
        <v>21</v>
      </c>
      <c r="D27" s="184">
        <v>324</v>
      </c>
      <c r="E27" s="184">
        <v>164</v>
      </c>
      <c r="F27" s="184">
        <v>338</v>
      </c>
      <c r="G27" s="184">
        <v>332</v>
      </c>
      <c r="H27" s="187">
        <v>423</v>
      </c>
      <c r="I27" s="144"/>
    </row>
    <row r="28" spans="1:9" x14ac:dyDescent="0.3">
      <c r="A28" s="41"/>
      <c r="B28" s="143" t="s">
        <v>22</v>
      </c>
      <c r="C28" s="185" t="s">
        <v>23</v>
      </c>
      <c r="D28" s="186">
        <v>4298</v>
      </c>
      <c r="E28" s="186">
        <v>4448</v>
      </c>
      <c r="F28" s="186">
        <v>4300</v>
      </c>
      <c r="G28" s="186">
        <v>4304</v>
      </c>
      <c r="H28" s="188">
        <v>3808</v>
      </c>
      <c r="I28" s="144"/>
    </row>
    <row r="29" spans="1:9" ht="16.2" customHeight="1" x14ac:dyDescent="0.3">
      <c r="A29" s="41"/>
      <c r="B29" s="47" t="s">
        <v>121</v>
      </c>
      <c r="C29" s="148" t="s">
        <v>29</v>
      </c>
      <c r="D29" s="149">
        <f>D12/(D21/1000)</f>
        <v>15.783006821553371</v>
      </c>
      <c r="E29" s="149">
        <f>E12/(E21/1000)</f>
        <v>15.077715666543318</v>
      </c>
      <c r="F29" s="149">
        <f>F12/(F21/1000)</f>
        <v>15.459861607376556</v>
      </c>
      <c r="G29" s="149">
        <f>G12/(G21/1000)</f>
        <v>15.654219601066933</v>
      </c>
      <c r="H29" s="149">
        <f>H12/(H21/1000)</f>
        <v>14.828231277624331</v>
      </c>
      <c r="I29" s="125"/>
    </row>
    <row r="30" spans="1:9" ht="16.2" customHeight="1" x14ac:dyDescent="0.3">
      <c r="A30" s="41"/>
      <c r="B30" s="47" t="s">
        <v>30</v>
      </c>
      <c r="C30" s="30" t="s">
        <v>29</v>
      </c>
      <c r="D30" s="44">
        <f>D18/(D21/1000)</f>
        <v>15.783006821553371</v>
      </c>
      <c r="E30" s="44">
        <f>E18/(E21/1000)</f>
        <v>15.077715666543318</v>
      </c>
      <c r="F30" s="44">
        <f>F18/(F21/1000)</f>
        <v>15.459861607376556</v>
      </c>
      <c r="G30" s="44">
        <f>G18/(G21/1000)</f>
        <v>15.654219601066933</v>
      </c>
      <c r="H30" s="44">
        <f>H18/(H21/1000)</f>
        <v>14.828231277624331</v>
      </c>
      <c r="I30" s="125" t="s">
        <v>138</v>
      </c>
    </row>
    <row r="31" spans="1:9" x14ac:dyDescent="0.3">
      <c r="A31" s="41"/>
      <c r="B31" s="47" t="s">
        <v>57</v>
      </c>
      <c r="C31" s="30" t="s">
        <v>58</v>
      </c>
      <c r="D31" s="114"/>
      <c r="E31" s="46">
        <f>E18/D18-1</f>
        <v>-5.5629118138112776E-2</v>
      </c>
      <c r="F31" s="46">
        <f t="shared" ref="F31:H31" si="12">F18/E18-1</f>
        <v>2.5345082059160973E-2</v>
      </c>
      <c r="G31" s="46">
        <f t="shared" si="12"/>
        <v>1.2571780952918887E-2</v>
      </c>
      <c r="H31" s="46">
        <f t="shared" si="12"/>
        <v>-5.2764580061615107E-2</v>
      </c>
      <c r="I31" s="125"/>
    </row>
    <row r="32" spans="1:9" ht="15" thickBot="1" x14ac:dyDescent="0.35">
      <c r="A32" s="161"/>
      <c r="B32" s="162"/>
      <c r="C32" s="163"/>
      <c r="D32" s="164"/>
      <c r="E32" s="164"/>
      <c r="F32" s="164"/>
      <c r="G32" s="164"/>
      <c r="H32" s="164"/>
      <c r="I32" s="165"/>
    </row>
    <row r="33" spans="1:25" ht="13.95" customHeight="1" x14ac:dyDescent="0.3">
      <c r="A33" s="171"/>
      <c r="B33" s="172" t="s">
        <v>62</v>
      </c>
      <c r="C33" s="173"/>
      <c r="D33" s="174"/>
      <c r="E33" s="174"/>
      <c r="F33" s="174"/>
      <c r="G33" s="174"/>
      <c r="H33" s="174"/>
      <c r="I33" s="175"/>
    </row>
    <row r="34" spans="1:25" ht="13.95" customHeight="1" x14ac:dyDescent="0.3">
      <c r="A34" s="176"/>
      <c r="B34" s="21" t="s">
        <v>63</v>
      </c>
      <c r="C34" s="30" t="s">
        <v>61</v>
      </c>
      <c r="D34" s="152">
        <v>1507286016</v>
      </c>
      <c r="E34" s="152">
        <v>1590072718</v>
      </c>
      <c r="F34" s="153">
        <v>1686437169</v>
      </c>
      <c r="G34" s="153">
        <v>1730132722</v>
      </c>
      <c r="H34" s="153">
        <v>1739849256</v>
      </c>
      <c r="I34" s="177"/>
      <c r="P34" s="49"/>
      <c r="Q34" s="49"/>
      <c r="R34" s="49"/>
      <c r="S34" s="49"/>
      <c r="T34" s="49"/>
      <c r="U34" s="49"/>
      <c r="V34" s="49"/>
      <c r="W34" s="49"/>
      <c r="X34" s="49"/>
      <c r="Y34" s="49"/>
    </row>
    <row r="35" spans="1:25" ht="13.95" customHeight="1" x14ac:dyDescent="0.3">
      <c r="A35" s="176"/>
      <c r="B35" s="21" t="s">
        <v>64</v>
      </c>
      <c r="C35" s="30" t="s">
        <v>61</v>
      </c>
      <c r="D35" s="153"/>
      <c r="E35" s="153"/>
      <c r="F35" s="153"/>
      <c r="G35" s="153"/>
      <c r="H35" s="153"/>
      <c r="I35" s="177"/>
    </row>
    <row r="36" spans="1:25" ht="16.2" customHeight="1" x14ac:dyDescent="0.3">
      <c r="A36" s="176"/>
      <c r="B36" s="21" t="s">
        <v>115</v>
      </c>
      <c r="C36" s="30"/>
      <c r="D36" s="154"/>
      <c r="E36" s="154"/>
      <c r="F36" s="154"/>
      <c r="G36" s="154"/>
      <c r="H36" s="154"/>
      <c r="I36" s="177"/>
    </row>
    <row r="37" spans="1:25" ht="13.95" customHeight="1" x14ac:dyDescent="0.3">
      <c r="A37" s="176"/>
      <c r="B37" s="50" t="s">
        <v>65</v>
      </c>
      <c r="C37" s="135" t="s">
        <v>61</v>
      </c>
      <c r="D37" s="158">
        <f>D38+D39</f>
        <v>16.313547</v>
      </c>
      <c r="E37" s="158">
        <f t="shared" ref="E37:H37" si="13">E38+E39</f>
        <v>15.524336</v>
      </c>
      <c r="F37" s="158">
        <f t="shared" si="13"/>
        <v>15.065712</v>
      </c>
      <c r="G37" s="158">
        <f t="shared" si="13"/>
        <v>15.178426999999999</v>
      </c>
      <c r="H37" s="158">
        <f t="shared" si="13"/>
        <v>14.110374999999999</v>
      </c>
      <c r="I37" s="177"/>
    </row>
    <row r="38" spans="1:25" x14ac:dyDescent="0.3">
      <c r="A38" s="176"/>
      <c r="B38" s="21" t="s">
        <v>66</v>
      </c>
      <c r="C38" s="30" t="s">
        <v>61</v>
      </c>
      <c r="D38" s="134">
        <v>1.485147</v>
      </c>
      <c r="E38" s="134">
        <v>1.6193630000000001</v>
      </c>
      <c r="F38" s="134">
        <v>1.607604</v>
      </c>
      <c r="G38" s="134">
        <v>1.6259189999999999</v>
      </c>
      <c r="H38" s="134">
        <v>1.4921469999999999</v>
      </c>
      <c r="I38" s="177"/>
    </row>
    <row r="39" spans="1:25" x14ac:dyDescent="0.3">
      <c r="A39" s="176"/>
      <c r="B39" s="160" t="s">
        <v>6</v>
      </c>
      <c r="C39" s="30" t="s">
        <v>61</v>
      </c>
      <c r="D39" s="134">
        <v>14.8284</v>
      </c>
      <c r="E39" s="134">
        <v>13.904973</v>
      </c>
      <c r="F39" s="134">
        <v>13.458107999999999</v>
      </c>
      <c r="G39" s="134">
        <v>13.552508</v>
      </c>
      <c r="H39" s="134">
        <v>12.618228</v>
      </c>
      <c r="I39" s="177" t="s">
        <v>143</v>
      </c>
    </row>
    <row r="40" spans="1:25" ht="15" thickBot="1" x14ac:dyDescent="0.35">
      <c r="A40" s="178"/>
      <c r="B40" s="179"/>
      <c r="C40" s="180"/>
      <c r="D40" s="181"/>
      <c r="E40" s="181"/>
      <c r="F40" s="181"/>
      <c r="G40" s="181"/>
      <c r="H40" s="181"/>
      <c r="I40" s="182"/>
    </row>
    <row r="41" spans="1:25" x14ac:dyDescent="0.3">
      <c r="A41" s="166"/>
      <c r="B41" s="167" t="s">
        <v>67</v>
      </c>
      <c r="C41" s="168" t="s">
        <v>68</v>
      </c>
      <c r="D41" s="169">
        <f>D37/D21*1000000</f>
        <v>1.5913871703552449</v>
      </c>
      <c r="E41" s="169">
        <f>E37/E21*1000000</f>
        <v>1.5319468744480069</v>
      </c>
      <c r="F41" s="169">
        <f>F37/F21*1000000</f>
        <v>1.4866896986598221</v>
      </c>
      <c r="G41" s="169">
        <f>G37/G21*1000000</f>
        <v>1.4978124540519631</v>
      </c>
      <c r="H41" s="169">
        <f>H37/H21*1000000</f>
        <v>1.3924167113195238</v>
      </c>
      <c r="I41" s="170"/>
    </row>
    <row r="42" spans="1:25" x14ac:dyDescent="0.3">
      <c r="A42" s="5"/>
      <c r="B42" s="21" t="s">
        <v>69</v>
      </c>
      <c r="C42" s="51" t="s">
        <v>70</v>
      </c>
      <c r="D42" s="52">
        <f>D37/D23*1000000</f>
        <v>383.06850762565603</v>
      </c>
      <c r="E42" s="52">
        <f>E37/E23*1000000</f>
        <v>364.446698124281</v>
      </c>
      <c r="F42" s="52">
        <f>F37/F23*1000000</f>
        <v>346.98431562219304</v>
      </c>
      <c r="G42" s="52">
        <f>G37/G23*1000000</f>
        <v>347.35229704216488</v>
      </c>
      <c r="H42" s="52">
        <f>H37/H23*1000000</f>
        <v>269.32822431333625</v>
      </c>
      <c r="I42" s="125"/>
    </row>
    <row r="43" spans="1:25" x14ac:dyDescent="0.3">
      <c r="A43" s="5"/>
      <c r="B43" s="21" t="s">
        <v>71</v>
      </c>
      <c r="C43" s="51" t="str">
        <f>B43</f>
        <v>MTCO2e / kGSF</v>
      </c>
      <c r="D43" s="53">
        <f>D12/D21*1000</f>
        <v>15.78300682155337</v>
      </c>
      <c r="E43" s="53">
        <f>E12/E21*1000</f>
        <v>15.077715666543318</v>
      </c>
      <c r="F43" s="53">
        <f>F12/F21*1000</f>
        <v>15.459861607376556</v>
      </c>
      <c r="G43" s="53">
        <f>G12/G21*1000</f>
        <v>15.654219601066933</v>
      </c>
      <c r="H43" s="53">
        <f>H12/H21*1000</f>
        <v>14.828231277624331</v>
      </c>
      <c r="I43" s="125"/>
    </row>
    <row r="44" spans="1:25" x14ac:dyDescent="0.3">
      <c r="A44" s="5"/>
      <c r="B44" s="21" t="s">
        <v>72</v>
      </c>
      <c r="C44" s="51" t="str">
        <f>B44</f>
        <v>MTCO2e / FTE</v>
      </c>
      <c r="D44" s="53">
        <f>D12/D23</f>
        <v>3.7991841216291551</v>
      </c>
      <c r="E44" s="53">
        <f>E12/E23</f>
        <v>3.5869544705383012</v>
      </c>
      <c r="F44" s="53">
        <f>F12/F23</f>
        <v>3.6082374851221819</v>
      </c>
      <c r="G44" s="53">
        <f>G12/G23</f>
        <v>3.6303137433015622</v>
      </c>
      <c r="H44" s="53">
        <f>H12/H23</f>
        <v>2.8681508683743395</v>
      </c>
      <c r="I44" s="125"/>
    </row>
    <row r="45" spans="1:25" ht="13.95" customHeight="1" x14ac:dyDescent="0.3">
      <c r="A45" s="5"/>
      <c r="B45" s="21" t="s">
        <v>73</v>
      </c>
      <c r="C45" s="22" t="s">
        <v>51</v>
      </c>
      <c r="D45" s="48">
        <f>D$52+(D$53*0.13869)+(D$54*0.0915)+(D60*3.412)</f>
        <v>1034479.6566959999</v>
      </c>
      <c r="E45" s="48">
        <f>E$52+(E$53*0.13869)+(E$54*0.0915)+(E60*3.412)</f>
        <v>970000.27723600005</v>
      </c>
      <c r="F45" s="48">
        <f>F$52+(F$53*0.13869)+(F$54*0.0915)+(F60*3.412)</f>
        <v>1006604.1542440001</v>
      </c>
      <c r="G45" s="48">
        <f>G$52+(G$53*0.13869)+(G$54*0.0915)+(G60*3.412)</f>
        <v>1006420.5775115011</v>
      </c>
      <c r="H45" s="48">
        <f>H$52+(H$53*0.13869)+(H$54*0.0915)+(H60*3.412)</f>
        <v>969852.46991999506</v>
      </c>
      <c r="I45" s="125"/>
    </row>
    <row r="46" spans="1:25" ht="13.95" customHeight="1" x14ac:dyDescent="0.3">
      <c r="A46" s="5"/>
      <c r="B46" s="21" t="s">
        <v>74</v>
      </c>
      <c r="C46" s="22" t="s">
        <v>75</v>
      </c>
      <c r="D46" s="54">
        <f>D45*1000/D$21</f>
        <v>100.9135323948564</v>
      </c>
      <c r="E46" s="54">
        <f>E45*1000/E$21</f>
        <v>95.719964636515883</v>
      </c>
      <c r="F46" s="54">
        <f>F45*1000/F$21</f>
        <v>99.332047947202071</v>
      </c>
      <c r="G46" s="54">
        <f>G45*1000/G$21</f>
        <v>99.313932531407602</v>
      </c>
      <c r="H46" s="54">
        <f>H45*1000/H$21</f>
        <v>95.705378959178418</v>
      </c>
      <c r="I46" s="125"/>
    </row>
    <row r="47" spans="1:25" x14ac:dyDescent="0.3">
      <c r="A47" s="41"/>
      <c r="B47" s="21"/>
      <c r="C47" s="30"/>
      <c r="D47" s="46"/>
      <c r="E47" s="46"/>
      <c r="F47" s="46"/>
      <c r="G47" s="46"/>
      <c r="H47" s="46"/>
      <c r="I47" s="125"/>
    </row>
    <row r="48" spans="1:25" x14ac:dyDescent="0.3">
      <c r="A48" s="41"/>
      <c r="B48" s="18"/>
      <c r="C48" s="5"/>
      <c r="D48" s="5"/>
      <c r="E48" s="5"/>
      <c r="F48" s="5"/>
      <c r="G48" s="5"/>
      <c r="H48" s="5"/>
      <c r="I48" s="125"/>
    </row>
    <row r="49" spans="1:9" x14ac:dyDescent="0.3">
      <c r="A49" s="41"/>
      <c r="B49" s="136"/>
      <c r="C49" s="137"/>
      <c r="D49" s="125"/>
      <c r="E49" s="125"/>
      <c r="F49" s="125"/>
      <c r="G49" s="125"/>
      <c r="H49" s="125"/>
      <c r="I49" s="125"/>
    </row>
    <row r="50" spans="1:9" ht="18" x14ac:dyDescent="0.35">
      <c r="A50" s="41"/>
      <c r="B50" s="25" t="s">
        <v>25</v>
      </c>
      <c r="C50" s="26"/>
      <c r="D50" s="27">
        <f>D20</f>
        <v>2016</v>
      </c>
      <c r="E50" s="27">
        <f>E20</f>
        <v>2017</v>
      </c>
      <c r="F50" s="27">
        <f>F20</f>
        <v>2018</v>
      </c>
      <c r="G50" s="27">
        <f>G20</f>
        <v>2019</v>
      </c>
      <c r="H50" s="27">
        <f>H20</f>
        <v>2020</v>
      </c>
      <c r="I50" s="125"/>
    </row>
    <row r="51" spans="1:9" x14ac:dyDescent="0.3">
      <c r="A51" s="5"/>
      <c r="B51" s="115" t="s">
        <v>126</v>
      </c>
      <c r="C51" s="30"/>
      <c r="D51" s="134"/>
      <c r="E51" s="134"/>
      <c r="F51" s="134"/>
      <c r="G51" s="134"/>
      <c r="H51" s="134"/>
      <c r="I51" s="125"/>
    </row>
    <row r="52" spans="1:9" x14ac:dyDescent="0.3">
      <c r="A52" s="5"/>
      <c r="B52" s="28" t="s">
        <v>4</v>
      </c>
      <c r="C52" s="30" t="s">
        <v>51</v>
      </c>
      <c r="D52" s="110">
        <f>3661262/10</f>
        <v>366126.2</v>
      </c>
      <c r="E52" s="110">
        <f>3381499/10</f>
        <v>338149.9</v>
      </c>
      <c r="F52" s="110">
        <f>3620124/10</f>
        <v>362012.4</v>
      </c>
      <c r="G52" s="110">
        <f>3575779/10</f>
        <v>357577.9</v>
      </c>
      <c r="H52" s="110">
        <f>3534525/10</f>
        <v>353452.5</v>
      </c>
      <c r="I52" s="125"/>
    </row>
    <row r="53" spans="1:9" x14ac:dyDescent="0.3">
      <c r="A53" s="5"/>
      <c r="B53" s="28" t="s">
        <v>135</v>
      </c>
      <c r="C53" s="30" t="s">
        <v>125</v>
      </c>
      <c r="D53" s="110"/>
      <c r="E53" s="110"/>
      <c r="F53" s="110"/>
      <c r="G53" s="110"/>
      <c r="H53" s="110">
        <v>0</v>
      </c>
      <c r="I53" s="125"/>
    </row>
    <row r="54" spans="1:9" x14ac:dyDescent="0.3">
      <c r="A54" s="5"/>
      <c r="B54" s="28" t="s">
        <v>60</v>
      </c>
      <c r="C54" s="30" t="s">
        <v>125</v>
      </c>
      <c r="D54" s="110">
        <v>680</v>
      </c>
      <c r="E54" s="110"/>
      <c r="F54" s="110"/>
      <c r="G54" s="110"/>
      <c r="H54" s="110">
        <v>0</v>
      </c>
      <c r="I54" s="125"/>
    </row>
    <row r="55" spans="1:9" x14ac:dyDescent="0.3">
      <c r="A55" s="5"/>
      <c r="B55" s="115" t="s">
        <v>127</v>
      </c>
      <c r="C55" s="30"/>
      <c r="D55" s="112"/>
      <c r="E55" s="112"/>
      <c r="F55" s="112"/>
      <c r="G55" s="112"/>
      <c r="H55" s="112"/>
      <c r="I55" s="125"/>
    </row>
    <row r="56" spans="1:9" x14ac:dyDescent="0.3">
      <c r="A56" s="5"/>
      <c r="B56" s="28" t="s">
        <v>123</v>
      </c>
      <c r="C56" s="30" t="s">
        <v>125</v>
      </c>
      <c r="D56" s="155">
        <v>90118.1</v>
      </c>
      <c r="E56" s="155">
        <v>91869.6</v>
      </c>
      <c r="F56" s="155">
        <v>92548.7</v>
      </c>
      <c r="G56" s="155">
        <v>76291.8</v>
      </c>
      <c r="H56" s="155">
        <v>61370.1</v>
      </c>
      <c r="I56" s="159" t="s">
        <v>140</v>
      </c>
    </row>
    <row r="57" spans="1:9" x14ac:dyDescent="0.3">
      <c r="A57" s="5"/>
      <c r="B57" s="28" t="s">
        <v>124</v>
      </c>
      <c r="C57" s="30" t="s">
        <v>125</v>
      </c>
      <c r="D57" s="155">
        <v>13822.1</v>
      </c>
      <c r="E57" s="155">
        <v>13758.7</v>
      </c>
      <c r="F57" s="155">
        <v>13903.4</v>
      </c>
      <c r="G57" s="155">
        <v>11754.9</v>
      </c>
      <c r="H57" s="155">
        <v>9210.5</v>
      </c>
      <c r="I57" s="159" t="s">
        <v>141</v>
      </c>
    </row>
    <row r="58" spans="1:9" x14ac:dyDescent="0.3">
      <c r="A58" s="5"/>
      <c r="B58" s="156" t="s">
        <v>139</v>
      </c>
      <c r="C58" s="30"/>
      <c r="D58" s="155">
        <v>97299.6</v>
      </c>
      <c r="E58" s="155">
        <v>101135</v>
      </c>
      <c r="F58" s="155">
        <v>100224.4</v>
      </c>
      <c r="G58" s="155">
        <v>90108.4</v>
      </c>
      <c r="H58" s="155">
        <f>88406.2</f>
        <v>88406.2</v>
      </c>
      <c r="I58" s="159" t="s">
        <v>142</v>
      </c>
    </row>
    <row r="59" spans="1:9" x14ac:dyDescent="0.3">
      <c r="A59" s="5"/>
      <c r="B59" s="115" t="s">
        <v>134</v>
      </c>
      <c r="C59" s="30"/>
      <c r="D59" s="112"/>
      <c r="E59" s="112"/>
      <c r="F59" s="112"/>
      <c r="G59" s="112"/>
      <c r="H59" s="112"/>
      <c r="I59" s="125"/>
    </row>
    <row r="60" spans="1:9" x14ac:dyDescent="0.3">
      <c r="A60" s="5"/>
      <c r="B60" s="28" t="s">
        <v>6</v>
      </c>
      <c r="C60" s="30" t="s">
        <v>7</v>
      </c>
      <c r="D60" s="110">
        <v>195864.95800000001</v>
      </c>
      <c r="E60" s="110">
        <v>185184.753</v>
      </c>
      <c r="F60" s="110">
        <v>188919.03700000001</v>
      </c>
      <c r="G60" s="157">
        <f>190164911.345692/1000</f>
        <v>190164.911345692</v>
      </c>
      <c r="H60" s="157">
        <f>180656497.631886/1000</f>
        <v>180656.49763188601</v>
      </c>
      <c r="I60" s="125"/>
    </row>
    <row r="61" spans="1:9" x14ac:dyDescent="0.3">
      <c r="A61" s="5"/>
      <c r="B61" s="125"/>
      <c r="C61" s="125"/>
      <c r="D61" s="125"/>
      <c r="E61" s="125"/>
      <c r="F61" s="125"/>
      <c r="G61" s="125"/>
      <c r="H61" s="125"/>
      <c r="I61" s="125"/>
    </row>
    <row r="62" spans="1:9" x14ac:dyDescent="0.3">
      <c r="A62" s="5"/>
      <c r="B62" s="47" t="s">
        <v>128</v>
      </c>
      <c r="C62" s="30"/>
      <c r="D62" s="134"/>
      <c r="E62" s="134"/>
      <c r="F62" s="134"/>
      <c r="G62" s="134"/>
      <c r="H62" s="134"/>
      <c r="I62" s="125"/>
    </row>
    <row r="63" spans="1:9" x14ac:dyDescent="0.3">
      <c r="A63" s="5"/>
      <c r="B63" s="21" t="s">
        <v>4</v>
      </c>
      <c r="C63" s="30" t="s">
        <v>54</v>
      </c>
      <c r="D63" s="138">
        <f>D38*1*10^6/D52</f>
        <v>4.0563800132304104</v>
      </c>
      <c r="E63" s="138">
        <f>E38*1*10^6/E52</f>
        <v>4.7888909622625935</v>
      </c>
      <c r="F63" s="138">
        <f>F38*1*10^6/F52</f>
        <v>4.4407429137786441</v>
      </c>
      <c r="G63" s="138">
        <f>G38*1*10^6/G52</f>
        <v>4.5470343664974822</v>
      </c>
      <c r="H63" s="138">
        <f>H38*1*10^6/H52</f>
        <v>4.2216337414504075</v>
      </c>
      <c r="I63" s="125"/>
    </row>
    <row r="64" spans="1:9" x14ac:dyDescent="0.3">
      <c r="A64" s="5"/>
      <c r="B64" s="21" t="s">
        <v>135</v>
      </c>
      <c r="C64" s="30" t="s">
        <v>103</v>
      </c>
      <c r="D64" s="138"/>
      <c r="E64" s="138"/>
      <c r="F64" s="138"/>
      <c r="G64" s="138"/>
      <c r="H64" s="138"/>
      <c r="I64" s="125"/>
    </row>
    <row r="65" spans="1:14" x14ac:dyDescent="0.3">
      <c r="A65" s="5"/>
      <c r="B65" s="21" t="s">
        <v>60</v>
      </c>
      <c r="C65" s="30" t="s">
        <v>103</v>
      </c>
      <c r="D65" s="138"/>
      <c r="E65" s="138"/>
      <c r="F65" s="138"/>
      <c r="G65" s="138"/>
      <c r="H65" s="138"/>
      <c r="I65" s="125"/>
    </row>
    <row r="66" spans="1:14" x14ac:dyDescent="0.3">
      <c r="A66" s="5"/>
      <c r="B66" s="21" t="s">
        <v>123</v>
      </c>
      <c r="C66" s="30" t="s">
        <v>103</v>
      </c>
      <c r="D66" s="110"/>
      <c r="E66" s="110"/>
      <c r="F66" s="110"/>
      <c r="G66" s="110"/>
      <c r="H66" s="110"/>
      <c r="I66" s="125"/>
    </row>
    <row r="67" spans="1:14" x14ac:dyDescent="0.3">
      <c r="A67" s="5"/>
      <c r="B67" s="21" t="s">
        <v>124</v>
      </c>
      <c r="C67" s="30" t="s">
        <v>103</v>
      </c>
      <c r="D67" s="110"/>
      <c r="E67" s="110"/>
      <c r="F67" s="110"/>
      <c r="G67" s="110"/>
      <c r="H67" s="110"/>
      <c r="I67" s="191" t="s">
        <v>148</v>
      </c>
    </row>
    <row r="68" spans="1:14" x14ac:dyDescent="0.3">
      <c r="A68" s="5"/>
      <c r="B68" s="21" t="s">
        <v>59</v>
      </c>
      <c r="C68" s="30" t="s">
        <v>55</v>
      </c>
      <c r="D68" s="139">
        <f>D39*1*10^6/D60</f>
        <v>75.707263572894945</v>
      </c>
      <c r="E68" s="139">
        <f>E39*1*10^6/E60</f>
        <v>75.087029438109298</v>
      </c>
      <c r="F68" s="139">
        <f>F39*1*10^6/F60</f>
        <v>71.237437019118403</v>
      </c>
      <c r="G68" s="139">
        <f>G39*1*10^6/G60</f>
        <v>71.267132848517576</v>
      </c>
      <c r="H68" s="139">
        <f>H39*1*10^6/H60</f>
        <v>69.846521799129974</v>
      </c>
      <c r="I68" s="125" t="s">
        <v>130</v>
      </c>
    </row>
    <row r="69" spans="1:14" x14ac:dyDescent="0.3">
      <c r="A69" s="41"/>
      <c r="B69" s="136"/>
      <c r="C69" s="137"/>
      <c r="D69" s="125"/>
      <c r="E69" s="125"/>
      <c r="F69" s="125"/>
      <c r="G69" s="125"/>
      <c r="H69" s="125"/>
      <c r="I69" s="125"/>
    </row>
    <row r="70" spans="1:14" ht="27.75" customHeight="1" x14ac:dyDescent="0.35">
      <c r="A70" s="41"/>
      <c r="B70" s="19" t="s">
        <v>26</v>
      </c>
      <c r="C70" s="29" t="s">
        <v>48</v>
      </c>
      <c r="D70" s="2">
        <f>D50</f>
        <v>2016</v>
      </c>
      <c r="E70" s="2">
        <f>E50</f>
        <v>2017</v>
      </c>
      <c r="F70" s="2">
        <f>F50</f>
        <v>2018</v>
      </c>
      <c r="G70" s="2">
        <f>G50</f>
        <v>2019</v>
      </c>
      <c r="H70" s="2">
        <f>H50</f>
        <v>2020</v>
      </c>
      <c r="I70" s="125"/>
    </row>
    <row r="71" spans="1:14" ht="22.95" customHeight="1" x14ac:dyDescent="0.3">
      <c r="A71" s="41"/>
      <c r="B71" s="40" t="str">
        <f>B52&amp;" (EF)"</f>
        <v>Natural Gas (EF)</v>
      </c>
      <c r="C71" s="30" t="str">
        <f>"kg CO2e /"&amp;C52</f>
        <v>kg CO2e /MMBTU</v>
      </c>
      <c r="D71" s="39" cm="1">
        <f t="array" ref="D71">INDEX('Emission Factors'!$D$16:$P$16,0,MATCH(D$2,'Emission Factors'!$D$15:$P$15,0))</f>
        <v>53.114800000000002</v>
      </c>
      <c r="E71" s="39" cm="1">
        <f t="array" ref="E71">INDEX('Emission Factors'!$D$16:$P$16,0,MATCH(E$2,'Emission Factors'!$D$15:$P$15,0))</f>
        <v>53.114800000000002</v>
      </c>
      <c r="F71" s="39" cm="1">
        <f t="array" ref="F71">INDEX('Emission Factors'!$D$16:$P$16,0,MATCH(F$2,'Emission Factors'!$D$15:$P$15,0))</f>
        <v>53.114800000000002</v>
      </c>
      <c r="G71" s="39" cm="1">
        <f t="array" ref="G71">INDEX('Emission Factors'!$D$16:$P$16,0,MATCH(G$2,'Emission Factors'!$D$15:$P$15,0))</f>
        <v>53.114800000000002</v>
      </c>
      <c r="H71" s="39" cm="1">
        <f t="array" ref="H71">INDEX('Emission Factors'!$D$16:$P$16,0,MATCH(H$2,'Emission Factors'!$D$15:$P$15,0))</f>
        <v>53.114800000000002</v>
      </c>
      <c r="I71" s="125"/>
    </row>
    <row r="72" spans="1:14" ht="19.95" customHeight="1" x14ac:dyDescent="0.3">
      <c r="A72" s="41"/>
      <c r="B72" s="40" t="str">
        <f>B53&amp;" (EF)"</f>
        <v>Fuel Oil (#1-4) (EF)</v>
      </c>
      <c r="C72" s="30" t="str">
        <f>"kg CO2e /"&amp;C53</f>
        <v>kg CO2e /Gallons</v>
      </c>
      <c r="D72" s="39" cm="1">
        <f t="array" ref="D72">INDEX('Emission Factors'!$D$18:$P$18,0,MATCH(D$2,'Emission Factors'!$D$15:$P$15,0))</f>
        <v>10.334112533333334</v>
      </c>
      <c r="E72" s="39" cm="1">
        <f t="array" ref="E72">INDEX('Emission Factors'!$D$18:$P$18,0,MATCH(E$2,'Emission Factors'!$D$15:$P$15,0))</f>
        <v>10.334112533333334</v>
      </c>
      <c r="F72" s="39" cm="1">
        <f t="array" ref="F72">INDEX('Emission Factors'!$D$18:$P$18,0,MATCH(F$2,'Emission Factors'!$D$15:$P$15,0))</f>
        <v>10.334112533333334</v>
      </c>
      <c r="G72" s="39" cm="1">
        <f t="array" ref="G72">INDEX('Emission Factors'!$D$18:$P$18,0,MATCH(G$2,'Emission Factors'!$D$15:$P$15,0))</f>
        <v>10.334112533333334</v>
      </c>
      <c r="H72" s="39" cm="1">
        <f t="array" ref="H72">INDEX('Emission Factors'!$D$18:$P$18,0,MATCH(H$2,'Emission Factors'!$D$15:$P$15,0))</f>
        <v>10.334112533333334</v>
      </c>
      <c r="I72" s="125"/>
    </row>
    <row r="73" spans="1:14" ht="19.95" customHeight="1" x14ac:dyDescent="0.3">
      <c r="A73" s="41"/>
      <c r="B73" s="40" t="str">
        <f>B54&amp;" (EF)"</f>
        <v>Propane (EF)</v>
      </c>
      <c r="C73" s="30" t="str">
        <f>"kg CO2e /"&amp;C54</f>
        <v>kg CO2e /Gallons</v>
      </c>
      <c r="D73" s="39" cm="1">
        <f t="array" ref="D73">INDEX('Emission Factors'!$D$20:$P$20,0,MATCH(D$2,'Emission Factors'!$D$15:$P$15,0))</f>
        <v>5.7450847999999999</v>
      </c>
      <c r="E73" s="39" cm="1">
        <f t="array" ref="E73">INDEX('Emission Factors'!$D$20:$P$20,0,MATCH(E$2,'Emission Factors'!$D$15:$P$15,0))</f>
        <v>5.7450847999999999</v>
      </c>
      <c r="F73" s="39" cm="1">
        <f t="array" ref="F73">INDEX('Emission Factors'!$D$20:$P$20,0,MATCH(F$2,'Emission Factors'!$D$15:$P$15,0))</f>
        <v>5.7450847999999999</v>
      </c>
      <c r="G73" s="39" cm="1">
        <f t="array" ref="G73">INDEX('Emission Factors'!$D$20:$P$20,0,MATCH(G$2,'Emission Factors'!$D$15:$P$15,0))</f>
        <v>5.7450847999999999</v>
      </c>
      <c r="H73" s="39" cm="1">
        <f t="array" ref="H73">INDEX('Emission Factors'!$D$20:$P$20,0,MATCH(H$2,'Emission Factors'!$D$15:$P$15,0))</f>
        <v>5.7450847999999999</v>
      </c>
      <c r="I73" s="125"/>
    </row>
    <row r="74" spans="1:14" ht="19.95" customHeight="1" x14ac:dyDescent="0.3">
      <c r="A74" s="41"/>
      <c r="B74" s="40" t="str">
        <f>B60&amp;" (EF)"</f>
        <v>Purchased Electricity (EF)</v>
      </c>
      <c r="C74" s="30" t="str">
        <f>"kg CO2e /"&amp;C60</f>
        <v>kg CO2e /MWh</v>
      </c>
      <c r="D74" s="39">
        <f>E74</f>
        <v>460.77629818290688</v>
      </c>
      <c r="E74" s="39" cm="1">
        <f t="array" ref="E74">INDEX('Emission Factors'!$D$11:$G$11,0,MATCH(E$2,'Emission Factors'!$D$4:$G$4,0))</f>
        <v>460.77629818290688</v>
      </c>
      <c r="F74" s="39" cm="1">
        <f t="array" ref="F74">INDEX('Emission Factors'!$D$11:$G$11,0,MATCH(F$2,'Emission Factors'!$D$4:$G$4,0))</f>
        <v>424.26373025736859</v>
      </c>
      <c r="G74" s="39" cm="1">
        <f t="array" ref="G74">INDEX('Emission Factors'!$D$11:$G$11,0,MATCH(G$2,'Emission Factors'!$D$4:$G$4,0))</f>
        <v>391.91944121889492</v>
      </c>
      <c r="H74" s="39" cm="1">
        <f t="array" ref="H74">INDEX('Emission Factors'!$D$11:$G$11,0,MATCH(H$2,'Emission Factors'!$D$4:$G$4,0))</f>
        <v>391.91944121889492</v>
      </c>
      <c r="I74" s="125"/>
    </row>
    <row r="75" spans="1:14" x14ac:dyDescent="0.3">
      <c r="A75" s="116"/>
      <c r="B75"/>
      <c r="C75"/>
    </row>
    <row r="76" spans="1:14" x14ac:dyDescent="0.3">
      <c r="A76" s="41"/>
    </row>
    <row r="77" spans="1:14" x14ac:dyDescent="0.3">
      <c r="A77" s="41"/>
      <c r="B77" s="31" t="s">
        <v>31</v>
      </c>
      <c r="C77" s="32" t="s">
        <v>32</v>
      </c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</row>
    <row r="78" spans="1:14" x14ac:dyDescent="0.3">
      <c r="A78" s="41"/>
      <c r="B78" s="34" t="s">
        <v>33</v>
      </c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</row>
    <row r="79" spans="1:14" x14ac:dyDescent="0.3">
      <c r="A79" s="41"/>
      <c r="B79" s="36" t="s">
        <v>34</v>
      </c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</row>
    <row r="80" spans="1:14" x14ac:dyDescent="0.3">
      <c r="A80" s="41"/>
      <c r="B80" s="192" t="s">
        <v>35</v>
      </c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</row>
    <row r="81" spans="1:14" x14ac:dyDescent="0.3">
      <c r="A81" s="41"/>
      <c r="B81" s="37" t="s">
        <v>36</v>
      </c>
      <c r="C81" s="35" t="s">
        <v>37</v>
      </c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</row>
    <row r="82" spans="1:14" x14ac:dyDescent="0.3">
      <c r="A82" s="41"/>
      <c r="B82" s="35" t="s">
        <v>38</v>
      </c>
      <c r="C82" s="37" t="s">
        <v>39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</row>
    <row r="83" spans="1:14" x14ac:dyDescent="0.3">
      <c r="A83" s="41"/>
      <c r="B83" s="37" t="s">
        <v>40</v>
      </c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</row>
  </sheetData>
  <mergeCells count="1">
    <mergeCell ref="B80:N80"/>
  </mergeCells>
  <phoneticPr fontId="56" type="noConversion"/>
  <hyperlinks>
    <hyperlink ref="B79" r:id="rId1" xr:uid="{F706968F-4084-4215-A031-E953F7D85CFE}"/>
  </hyperlinks>
  <pageMargins left="0.7" right="0.7" top="0.75" bottom="0.75" header="0.3" footer="0.3"/>
  <pageSetup orientation="portrait" r:id="rId2"/>
  <ignoredErrors>
    <ignoredError sqref="D23" formula="1"/>
  </ignoredError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5E30F-7EF1-40C3-9006-C922F1FAB79B}">
  <dimension ref="A1:D13"/>
  <sheetViews>
    <sheetView topLeftCell="B1" workbookViewId="0">
      <selection activeCell="D2" sqref="D2"/>
    </sheetView>
  </sheetViews>
  <sheetFormatPr defaultRowHeight="14.4" x14ac:dyDescent="0.3"/>
  <cols>
    <col min="1" max="1" width="19.33203125" customWidth="1"/>
    <col min="2" max="2" width="61.6640625" customWidth="1"/>
    <col min="3" max="3" width="54.44140625" customWidth="1"/>
    <col min="4" max="4" width="23.44140625" customWidth="1"/>
    <col min="5" max="9" width="13.44140625" bestFit="1" customWidth="1"/>
    <col min="10" max="12" width="11.88671875" bestFit="1" customWidth="1"/>
    <col min="13" max="13" width="11.33203125" bestFit="1" customWidth="1"/>
    <col min="14" max="15" width="10.88671875" bestFit="1" customWidth="1"/>
  </cols>
  <sheetData>
    <row r="1" spans="1:4" ht="18" x14ac:dyDescent="0.35">
      <c r="A1" s="55"/>
      <c r="B1" s="55" t="s">
        <v>76</v>
      </c>
      <c r="C1" s="55" t="s">
        <v>24</v>
      </c>
      <c r="D1" s="55" t="s">
        <v>77</v>
      </c>
    </row>
    <row r="2" spans="1:4" x14ac:dyDescent="0.3">
      <c r="A2" s="56" t="s">
        <v>100</v>
      </c>
      <c r="B2" s="57" t="s">
        <v>101</v>
      </c>
      <c r="C2" s="59" t="s">
        <v>120</v>
      </c>
      <c r="D2" s="58" t="s">
        <v>102</v>
      </c>
    </row>
    <row r="3" spans="1:4" x14ac:dyDescent="0.3">
      <c r="A3" s="56" t="s">
        <v>112</v>
      </c>
      <c r="B3" s="57" t="s">
        <v>113</v>
      </c>
      <c r="C3" s="59" t="s">
        <v>120</v>
      </c>
      <c r="D3" s="58" t="s">
        <v>114</v>
      </c>
    </row>
    <row r="4" spans="1:4" x14ac:dyDescent="0.3">
      <c r="A4" s="56"/>
      <c r="B4" s="57" t="s">
        <v>118</v>
      </c>
      <c r="C4" s="59"/>
      <c r="D4" s="58" t="s">
        <v>119</v>
      </c>
    </row>
    <row r="5" spans="1:4" x14ac:dyDescent="0.3">
      <c r="A5" s="56" t="s">
        <v>116</v>
      </c>
      <c r="B5" s="57"/>
      <c r="C5" s="59"/>
      <c r="D5" s="58"/>
    </row>
    <row r="6" spans="1:4" x14ac:dyDescent="0.3">
      <c r="A6" s="56"/>
      <c r="B6" s="57"/>
      <c r="C6" s="59"/>
      <c r="D6" s="58"/>
    </row>
    <row r="7" spans="1:4" x14ac:dyDescent="0.3">
      <c r="A7" s="56" t="s">
        <v>26</v>
      </c>
      <c r="B7" s="57"/>
      <c r="D7" s="58"/>
    </row>
    <row r="8" spans="1:4" x14ac:dyDescent="0.3">
      <c r="A8" s="56"/>
      <c r="B8" s="57"/>
      <c r="C8" s="59"/>
      <c r="D8" s="58"/>
    </row>
    <row r="9" spans="1:4" x14ac:dyDescent="0.3">
      <c r="A9" s="56"/>
      <c r="B9" s="57"/>
      <c r="C9" s="60"/>
      <c r="D9" s="58"/>
    </row>
    <row r="10" spans="1:4" x14ac:dyDescent="0.3">
      <c r="A10" s="56" t="s">
        <v>117</v>
      </c>
      <c r="B10" s="57"/>
      <c r="C10" s="61"/>
      <c r="D10" s="58"/>
    </row>
    <row r="11" spans="1:4" x14ac:dyDescent="0.3">
      <c r="A11" s="56"/>
      <c r="B11" s="57"/>
      <c r="C11" s="59"/>
      <c r="D11" s="58"/>
    </row>
    <row r="12" spans="1:4" x14ac:dyDescent="0.3">
      <c r="A12" s="56"/>
      <c r="B12" s="57"/>
      <c r="C12" s="59"/>
      <c r="D12" s="58"/>
    </row>
    <row r="13" spans="1:4" x14ac:dyDescent="0.3">
      <c r="A13" s="56"/>
      <c r="B13" s="57"/>
      <c r="C13" s="59"/>
      <c r="D13" s="58"/>
    </row>
  </sheetData>
  <phoneticPr fontId="56" type="noConversion"/>
  <hyperlinks>
    <hyperlink ref="D3" r:id="rId1" location="#2028" xr:uid="{8364AE88-A80D-42D3-8B6A-0A1852E759C4}"/>
    <hyperlink ref="D2" r:id="rId2" xr:uid="{91622A05-50AF-4325-A4F2-5E9EF934906E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56D32-D542-4A6B-9382-8C3814D3E63E}">
  <dimension ref="B1:S28"/>
  <sheetViews>
    <sheetView workbookViewId="0">
      <selection activeCell="G31" sqref="G31"/>
    </sheetView>
  </sheetViews>
  <sheetFormatPr defaultRowHeight="14.4" x14ac:dyDescent="0.3"/>
  <cols>
    <col min="2" max="2" width="17.44140625" customWidth="1"/>
    <col min="3" max="3" width="14.33203125" customWidth="1"/>
    <col min="4" max="7" width="11.33203125" bestFit="1" customWidth="1"/>
    <col min="8" max="16" width="10.88671875" customWidth="1"/>
    <col min="17" max="17" width="12.5546875" bestFit="1" customWidth="1"/>
    <col min="18" max="19" width="10.44140625" customWidth="1"/>
    <col min="20" max="25" width="21.5546875" bestFit="1" customWidth="1"/>
    <col min="26" max="26" width="29.109375" bestFit="1" customWidth="1"/>
  </cols>
  <sheetData>
    <row r="1" spans="2:16" ht="16.5" customHeight="1" thickBot="1" x14ac:dyDescent="0.35"/>
    <row r="2" spans="2:16" ht="16.2" customHeight="1" x14ac:dyDescent="0.3">
      <c r="B2" s="62" t="s">
        <v>129</v>
      </c>
      <c r="C2" s="63"/>
      <c r="D2" s="62"/>
      <c r="E2" s="62"/>
      <c r="F2" s="62"/>
      <c r="G2" s="62"/>
      <c r="H2" s="62"/>
      <c r="I2" s="62"/>
      <c r="J2" s="62"/>
    </row>
    <row r="3" spans="2:16" ht="21" customHeight="1" x14ac:dyDescent="0.3">
      <c r="B3" s="64"/>
      <c r="C3" s="65" t="s">
        <v>42</v>
      </c>
      <c r="D3" s="100" t="s">
        <v>79</v>
      </c>
      <c r="E3" s="100" t="s">
        <v>79</v>
      </c>
      <c r="F3" s="100" t="s">
        <v>79</v>
      </c>
      <c r="G3" s="66" t="s">
        <v>78</v>
      </c>
      <c r="H3" s="201" t="s">
        <v>47</v>
      </c>
      <c r="I3" s="201"/>
      <c r="J3" s="202"/>
    </row>
    <row r="4" spans="2:16" ht="24" x14ac:dyDescent="0.3">
      <c r="B4" s="67" t="s">
        <v>83</v>
      </c>
      <c r="C4" s="68" t="s">
        <v>53</v>
      </c>
      <c r="D4" s="68">
        <v>2017</v>
      </c>
      <c r="E4" s="68">
        <v>2018</v>
      </c>
      <c r="F4" s="68">
        <v>2019</v>
      </c>
      <c r="G4" s="68">
        <v>2020</v>
      </c>
      <c r="H4" s="69" t="s">
        <v>45</v>
      </c>
      <c r="I4" s="70">
        <v>1</v>
      </c>
      <c r="J4" s="71" t="s">
        <v>46</v>
      </c>
    </row>
    <row r="5" spans="2:16" x14ac:dyDescent="0.3">
      <c r="B5" s="72" t="s">
        <v>84</v>
      </c>
      <c r="C5" s="73" t="s">
        <v>85</v>
      </c>
      <c r="D5" s="74">
        <v>1.0117</v>
      </c>
      <c r="E5" s="74">
        <v>0.93169999999999997</v>
      </c>
      <c r="F5" s="74">
        <v>0.86099999999999999</v>
      </c>
      <c r="G5" s="74">
        <v>0.86099999999999999</v>
      </c>
      <c r="H5" s="75" t="s">
        <v>43</v>
      </c>
      <c r="I5" s="70">
        <v>25</v>
      </c>
      <c r="J5" s="71" t="s">
        <v>46</v>
      </c>
    </row>
    <row r="6" spans="2:16" x14ac:dyDescent="0.3">
      <c r="B6" s="76" t="s">
        <v>84</v>
      </c>
      <c r="C6" s="77" t="s">
        <v>86</v>
      </c>
      <c r="D6" s="78">
        <f t="shared" ref="D6" si="0">D5*1000/2.20462</f>
        <v>458.89994647603675</v>
      </c>
      <c r="E6" s="78">
        <f>E5*1000/2.20462</f>
        <v>422.61251372118551</v>
      </c>
      <c r="F6" s="78">
        <f>F5*1000/2.20462</f>
        <v>390.54349502408581</v>
      </c>
      <c r="G6" s="78">
        <f>G5*1000/2.20462</f>
        <v>390.54349502408581</v>
      </c>
      <c r="H6" s="75" t="s">
        <v>44</v>
      </c>
      <c r="I6" s="70">
        <v>298</v>
      </c>
      <c r="J6" s="71" t="s">
        <v>46</v>
      </c>
    </row>
    <row r="7" spans="2:16" x14ac:dyDescent="0.3">
      <c r="B7" s="76" t="s">
        <v>87</v>
      </c>
      <c r="C7" s="79" t="s">
        <v>88</v>
      </c>
      <c r="D7" s="99">
        <v>7.4999999999999997E-2</v>
      </c>
      <c r="E7" s="99">
        <v>6.6000000000000003E-2</v>
      </c>
      <c r="F7" s="99">
        <v>5.5E-2</v>
      </c>
      <c r="G7" s="99">
        <v>5.5E-2</v>
      </c>
      <c r="H7" s="75"/>
      <c r="I7" s="70"/>
      <c r="J7" s="71"/>
    </row>
    <row r="8" spans="2:16" x14ac:dyDescent="0.3">
      <c r="B8" s="76" t="s">
        <v>87</v>
      </c>
      <c r="C8" s="77" t="s">
        <v>86</v>
      </c>
      <c r="D8" s="80">
        <f t="shared" ref="D8" si="1">D7/2.20462/1000</f>
        <v>3.4019468207672978E-5</v>
      </c>
      <c r="E8" s="80">
        <f t="shared" ref="E8:G8" si="2">E7/2.20462/1000</f>
        <v>2.9937132022752226E-5</v>
      </c>
      <c r="F8" s="80">
        <f t="shared" si="2"/>
        <v>2.4947610018960188E-5</v>
      </c>
      <c r="G8" s="80">
        <f t="shared" si="2"/>
        <v>2.4947610018960188E-5</v>
      </c>
      <c r="H8" s="75"/>
      <c r="I8" s="70"/>
      <c r="J8" s="71"/>
    </row>
    <row r="9" spans="2:16" x14ac:dyDescent="0.3">
      <c r="B9" s="81" t="s">
        <v>44</v>
      </c>
      <c r="C9" s="79" t="s">
        <v>88</v>
      </c>
      <c r="D9" s="99">
        <v>0.01</v>
      </c>
      <c r="E9" s="99">
        <v>8.9999999999999993E-3</v>
      </c>
      <c r="F9" s="99">
        <v>7.0000000000000001E-3</v>
      </c>
      <c r="G9" s="99">
        <v>7.0000000000000001E-3</v>
      </c>
      <c r="H9" s="82"/>
      <c r="I9" s="83"/>
      <c r="J9" s="84"/>
    </row>
    <row r="10" spans="2:16" x14ac:dyDescent="0.3">
      <c r="B10" s="76" t="s">
        <v>44</v>
      </c>
      <c r="C10" s="77" t="s">
        <v>86</v>
      </c>
      <c r="D10" s="80">
        <f t="shared" ref="D10" si="3">D9/2.20462/1000</f>
        <v>4.5359290943563975E-6</v>
      </c>
      <c r="E10" s="80">
        <f t="shared" ref="E10:G10" si="4">E9/2.20462/1000</f>
        <v>4.0823361849207577E-6</v>
      </c>
      <c r="F10" s="80">
        <f t="shared" si="4"/>
        <v>3.1751503660494784E-6</v>
      </c>
      <c r="G10" s="80">
        <f t="shared" si="4"/>
        <v>3.1751503660494784E-6</v>
      </c>
      <c r="H10" s="82"/>
      <c r="I10" s="82"/>
      <c r="J10" s="85"/>
    </row>
    <row r="11" spans="2:16" ht="15" thickBot="1" x14ac:dyDescent="0.35">
      <c r="B11" s="86" t="s">
        <v>46</v>
      </c>
      <c r="C11" s="87" t="s">
        <v>86</v>
      </c>
      <c r="D11" s="88">
        <f>D6*$I$4+D7*$I$5+D10*$I$6</f>
        <v>460.77629818290688</v>
      </c>
      <c r="E11" s="88">
        <f>E6*$I$4+E7*$I$5+E10*$I$6</f>
        <v>424.26373025736859</v>
      </c>
      <c r="F11" s="88">
        <f>F6*$I$4+F7*$I$5+F10*$I$6</f>
        <v>391.91944121889492</v>
      </c>
      <c r="G11" s="88">
        <f>G6*$I$4+G7*$I$5+G10*$I$6</f>
        <v>391.91944121889492</v>
      </c>
      <c r="H11" s="89"/>
      <c r="I11" s="89"/>
      <c r="J11" s="90"/>
    </row>
    <row r="12" spans="2:16" ht="15" thickBot="1" x14ac:dyDescent="0.35"/>
    <row r="13" spans="2:16" ht="15.6" x14ac:dyDescent="0.3">
      <c r="B13" s="62" t="s">
        <v>105</v>
      </c>
      <c r="C13" s="101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</row>
    <row r="14" spans="2:16" ht="21" customHeight="1" x14ac:dyDescent="0.3">
      <c r="B14" s="64"/>
      <c r="C14" s="102" t="s">
        <v>42</v>
      </c>
      <c r="D14" s="105" t="s">
        <v>80</v>
      </c>
      <c r="E14" s="105" t="s">
        <v>80</v>
      </c>
      <c r="F14" s="105" t="s">
        <v>80</v>
      </c>
      <c r="G14" s="105" t="s">
        <v>80</v>
      </c>
      <c r="H14" s="105" t="s">
        <v>80</v>
      </c>
      <c r="I14" s="105" t="s">
        <v>80</v>
      </c>
      <c r="J14" s="105" t="s">
        <v>80</v>
      </c>
      <c r="K14" s="105" t="s">
        <v>80</v>
      </c>
      <c r="L14" s="105" t="s">
        <v>80</v>
      </c>
      <c r="M14" s="105" t="s">
        <v>80</v>
      </c>
      <c r="N14" s="105" t="s">
        <v>80</v>
      </c>
      <c r="O14" s="105" t="s">
        <v>80</v>
      </c>
      <c r="P14" s="105" t="s">
        <v>80</v>
      </c>
    </row>
    <row r="15" spans="2:16" x14ac:dyDescent="0.3">
      <c r="B15" s="67" t="s">
        <v>83</v>
      </c>
      <c r="C15" s="103" t="s">
        <v>53</v>
      </c>
      <c r="D15" s="68">
        <v>2008</v>
      </c>
      <c r="E15" s="68">
        <v>2009</v>
      </c>
      <c r="F15" s="68">
        <v>2010</v>
      </c>
      <c r="G15" s="68">
        <v>2011</v>
      </c>
      <c r="H15" s="68">
        <v>2012</v>
      </c>
      <c r="I15" s="68">
        <v>2013</v>
      </c>
      <c r="J15" s="68">
        <v>2014</v>
      </c>
      <c r="K15" s="68">
        <v>2015</v>
      </c>
      <c r="L15" s="68">
        <v>2016</v>
      </c>
      <c r="M15" s="68">
        <v>2017</v>
      </c>
      <c r="N15" s="68">
        <v>2018</v>
      </c>
      <c r="O15" s="68">
        <v>2019</v>
      </c>
      <c r="P15" s="68">
        <v>2020</v>
      </c>
    </row>
    <row r="16" spans="2:16" x14ac:dyDescent="0.3">
      <c r="B16" s="73" t="s">
        <v>4</v>
      </c>
      <c r="C16" s="73" t="s">
        <v>106</v>
      </c>
      <c r="D16" s="56">
        <v>53.114800000000002</v>
      </c>
      <c r="E16" s="56">
        <v>53.114800000000002</v>
      </c>
      <c r="F16" s="56">
        <v>53.114800000000002</v>
      </c>
      <c r="G16" s="56">
        <v>53.114800000000002</v>
      </c>
      <c r="H16" s="56">
        <v>53.114800000000002</v>
      </c>
      <c r="I16" s="56">
        <v>53.114800000000002</v>
      </c>
      <c r="J16" s="56">
        <v>53.114800000000002</v>
      </c>
      <c r="K16" s="56">
        <v>53.114800000000002</v>
      </c>
      <c r="L16" s="56">
        <v>53.114800000000002</v>
      </c>
      <c r="M16" s="56">
        <v>53.114800000000002</v>
      </c>
      <c r="N16" s="56">
        <v>53.114800000000002</v>
      </c>
      <c r="O16" s="56">
        <v>53.114800000000002</v>
      </c>
      <c r="P16" s="56">
        <v>53.114800000000002</v>
      </c>
    </row>
    <row r="17" spans="2:19" x14ac:dyDescent="0.3">
      <c r="B17" s="56" t="s">
        <v>110</v>
      </c>
      <c r="C17" s="73" t="s">
        <v>106</v>
      </c>
      <c r="D17" s="108">
        <v>74.346133333333327</v>
      </c>
      <c r="E17" s="108">
        <v>74.346133333333327</v>
      </c>
      <c r="F17" s="108">
        <v>74.346133333333327</v>
      </c>
      <c r="G17" s="108">
        <v>74.346133333333327</v>
      </c>
      <c r="H17" s="108">
        <v>74.346133333333327</v>
      </c>
      <c r="I17" s="108">
        <v>74.346133333333327</v>
      </c>
      <c r="J17" s="108">
        <v>74.346133333333327</v>
      </c>
      <c r="K17" s="108">
        <v>74.346133333333327</v>
      </c>
      <c r="L17" s="108">
        <v>74.346133333333327</v>
      </c>
      <c r="M17" s="108">
        <v>74.346133333333327</v>
      </c>
      <c r="N17" s="108">
        <v>74.346133333333327</v>
      </c>
      <c r="O17" s="108">
        <v>74.346133333333327</v>
      </c>
      <c r="P17" s="108">
        <v>74.346133333333327</v>
      </c>
    </row>
    <row r="18" spans="2:19" x14ac:dyDescent="0.3">
      <c r="B18" s="109">
        <v>0.13900000000000001</v>
      </c>
      <c r="C18" s="73" t="s">
        <v>111</v>
      </c>
      <c r="D18" s="108">
        <f>D17*$B$18</f>
        <v>10.334112533333334</v>
      </c>
      <c r="E18" s="108">
        <f t="shared" ref="E18:P18" si="5">E17*$B$18</f>
        <v>10.334112533333334</v>
      </c>
      <c r="F18" s="108">
        <f t="shared" si="5"/>
        <v>10.334112533333334</v>
      </c>
      <c r="G18" s="108">
        <f t="shared" si="5"/>
        <v>10.334112533333334</v>
      </c>
      <c r="H18" s="108">
        <f t="shared" si="5"/>
        <v>10.334112533333334</v>
      </c>
      <c r="I18" s="108">
        <f t="shared" si="5"/>
        <v>10.334112533333334</v>
      </c>
      <c r="J18" s="108">
        <f t="shared" si="5"/>
        <v>10.334112533333334</v>
      </c>
      <c r="K18" s="108">
        <f t="shared" si="5"/>
        <v>10.334112533333334</v>
      </c>
      <c r="L18" s="108">
        <f t="shared" si="5"/>
        <v>10.334112533333334</v>
      </c>
      <c r="M18" s="108">
        <f t="shared" si="5"/>
        <v>10.334112533333334</v>
      </c>
      <c r="N18" s="108">
        <f t="shared" si="5"/>
        <v>10.334112533333334</v>
      </c>
      <c r="O18" s="108">
        <f t="shared" si="5"/>
        <v>10.334112533333334</v>
      </c>
      <c r="P18" s="108">
        <f t="shared" si="5"/>
        <v>10.334112533333334</v>
      </c>
    </row>
    <row r="19" spans="2:19" x14ac:dyDescent="0.3">
      <c r="B19" s="56" t="s">
        <v>60</v>
      </c>
      <c r="C19" s="73" t="s">
        <v>106</v>
      </c>
      <c r="D19" s="108">
        <v>63.132800000000003</v>
      </c>
      <c r="E19" s="108">
        <v>63.132800000000003</v>
      </c>
      <c r="F19" s="108">
        <v>63.132800000000003</v>
      </c>
      <c r="G19" s="108">
        <v>63.132800000000003</v>
      </c>
      <c r="H19" s="108">
        <v>63.132800000000003</v>
      </c>
      <c r="I19" s="108">
        <v>63.132800000000003</v>
      </c>
      <c r="J19" s="108">
        <v>63.132800000000003</v>
      </c>
      <c r="K19" s="108">
        <v>63.132800000000003</v>
      </c>
      <c r="L19" s="108">
        <v>63.132800000000003</v>
      </c>
      <c r="M19" s="108">
        <v>63.132800000000003</v>
      </c>
      <c r="N19" s="108">
        <v>63.132800000000003</v>
      </c>
      <c r="O19" s="108">
        <v>63.132800000000003</v>
      </c>
      <c r="P19" s="108">
        <v>63.132800000000003</v>
      </c>
    </row>
    <row r="20" spans="2:19" x14ac:dyDescent="0.3">
      <c r="B20" s="109">
        <v>9.0999999999999998E-2</v>
      </c>
      <c r="C20" s="73" t="s">
        <v>111</v>
      </c>
      <c r="D20" s="108">
        <f>D19*$B$20</f>
        <v>5.7450847999999999</v>
      </c>
      <c r="E20" s="108">
        <f t="shared" ref="E20:P20" si="6">E19*$B$20</f>
        <v>5.7450847999999999</v>
      </c>
      <c r="F20" s="108">
        <f t="shared" si="6"/>
        <v>5.7450847999999999</v>
      </c>
      <c r="G20" s="108">
        <f t="shared" si="6"/>
        <v>5.7450847999999999</v>
      </c>
      <c r="H20" s="108">
        <f t="shared" si="6"/>
        <v>5.7450847999999999</v>
      </c>
      <c r="I20" s="108">
        <f t="shared" si="6"/>
        <v>5.7450847999999999</v>
      </c>
      <c r="J20" s="108">
        <f t="shared" si="6"/>
        <v>5.7450847999999999</v>
      </c>
      <c r="K20" s="108">
        <f t="shared" si="6"/>
        <v>5.7450847999999999</v>
      </c>
      <c r="L20" s="108">
        <f t="shared" si="6"/>
        <v>5.7450847999999999</v>
      </c>
      <c r="M20" s="108">
        <f t="shared" si="6"/>
        <v>5.7450847999999999</v>
      </c>
      <c r="N20" s="108">
        <f t="shared" si="6"/>
        <v>5.7450847999999999</v>
      </c>
      <c r="O20" s="108">
        <f t="shared" si="6"/>
        <v>5.7450847999999999</v>
      </c>
      <c r="P20" s="108">
        <f t="shared" si="6"/>
        <v>5.7450847999999999</v>
      </c>
    </row>
    <row r="21" spans="2:19" x14ac:dyDescent="0.3">
      <c r="C21" s="107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</row>
    <row r="22" spans="2:19" ht="15" thickBot="1" x14ac:dyDescent="0.35"/>
    <row r="23" spans="2:19" x14ac:dyDescent="0.3">
      <c r="B23" s="91" t="s">
        <v>89</v>
      </c>
      <c r="C23" s="92" t="s">
        <v>90</v>
      </c>
      <c r="D23" s="203" t="s">
        <v>42</v>
      </c>
      <c r="E23" s="203"/>
      <c r="F23" s="203"/>
      <c r="G23" s="203" t="s">
        <v>91</v>
      </c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4"/>
    </row>
    <row r="24" spans="2:19" x14ac:dyDescent="0.3">
      <c r="B24" s="93" t="s">
        <v>78</v>
      </c>
      <c r="C24" s="73">
        <v>2</v>
      </c>
      <c r="D24" s="193" t="s">
        <v>92</v>
      </c>
      <c r="E24" s="193"/>
      <c r="F24" s="193"/>
      <c r="G24" s="194" t="s">
        <v>93</v>
      </c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205"/>
    </row>
    <row r="25" spans="2:19" x14ac:dyDescent="0.3">
      <c r="B25" s="94" t="s">
        <v>79</v>
      </c>
      <c r="C25" s="73"/>
      <c r="D25" s="193" t="s">
        <v>108</v>
      </c>
      <c r="E25" s="193"/>
      <c r="F25" s="193"/>
      <c r="G25" s="194" t="s">
        <v>104</v>
      </c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S25" s="196"/>
    </row>
    <row r="26" spans="2:19" x14ac:dyDescent="0.3">
      <c r="B26" s="95" t="s">
        <v>80</v>
      </c>
      <c r="C26" s="73"/>
      <c r="D26" s="193" t="s">
        <v>109</v>
      </c>
      <c r="E26" s="193"/>
      <c r="F26" s="193"/>
      <c r="G26" s="194" t="s">
        <v>107</v>
      </c>
      <c r="H26" s="195"/>
      <c r="I26" s="195"/>
      <c r="J26" s="195"/>
      <c r="K26" s="195"/>
      <c r="L26" s="195"/>
      <c r="M26" s="195"/>
      <c r="N26" s="195"/>
      <c r="O26" s="195"/>
      <c r="P26" s="195"/>
      <c r="Q26" s="195"/>
      <c r="R26" s="195"/>
      <c r="S26" s="196"/>
    </row>
    <row r="27" spans="2:19" x14ac:dyDescent="0.3">
      <c r="B27" s="96" t="s">
        <v>81</v>
      </c>
      <c r="C27" s="73"/>
      <c r="D27" s="193"/>
      <c r="E27" s="193"/>
      <c r="F27" s="193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6"/>
    </row>
    <row r="28" spans="2:19" ht="15" thickBot="1" x14ac:dyDescent="0.35">
      <c r="B28" s="97" t="s">
        <v>82</v>
      </c>
      <c r="C28" s="98"/>
      <c r="D28" s="197"/>
      <c r="E28" s="197"/>
      <c r="F28" s="197"/>
      <c r="G28" s="198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200"/>
    </row>
  </sheetData>
  <mergeCells count="13">
    <mergeCell ref="D25:F25"/>
    <mergeCell ref="G25:S25"/>
    <mergeCell ref="H3:J3"/>
    <mergeCell ref="D23:F23"/>
    <mergeCell ref="G23:S23"/>
    <mergeCell ref="D24:F24"/>
    <mergeCell ref="G24:S24"/>
    <mergeCell ref="D26:F26"/>
    <mergeCell ref="G26:S26"/>
    <mergeCell ref="D27:F27"/>
    <mergeCell ref="G27:S27"/>
    <mergeCell ref="D28:F28"/>
    <mergeCell ref="G28:S28"/>
  </mergeCells>
  <phoneticPr fontId="56" type="noConversion"/>
  <hyperlinks>
    <hyperlink ref="G12" r:id="rId1" display="https://www.epa.gov/energy/emissions-generation-resource-integrated-database-egrid" xr:uid="{3267BF4A-1266-4FB3-AEB8-DC0B5FF65928}"/>
    <hyperlink ref="G24:S24" r:id="rId2" display="https://www.epa.gov/sites/production/files/2020-01/documents/egrid2018_summary_tables.pdf" xr:uid="{97A5233A-5632-4FAA-8228-A0BBC8CED84E}"/>
    <hyperlink ref="G25" r:id="rId3" xr:uid="{73B15144-2F86-45CE-ACFE-F0B814A7E820}"/>
    <hyperlink ref="G26" r:id="rId4" xr:uid="{08CBEBD4-2D29-45D2-9300-06C827CEF5A9}"/>
  </hyperlinks>
  <pageMargins left="0.7" right="0.7" top="0.75" bottom="0.75" header="0.3" footer="0.3"/>
  <pageSetup orientation="portrait" r:id="rId5"/>
  <legacy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BDCC8-902B-4F75-B638-4320112A875E}">
  <dimension ref="A1"/>
  <sheetViews>
    <sheetView workbookViewId="0">
      <selection activeCell="B120" sqref="B120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</vt:lpstr>
      <vt:lpstr>Data Sources</vt:lpstr>
      <vt:lpstr>Emission Factors</vt:lpstr>
      <vt:lpstr>Source for OP funding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Karlsgodt</dc:creator>
  <cp:lastModifiedBy>Kevin Laycock</cp:lastModifiedBy>
  <dcterms:created xsi:type="dcterms:W3CDTF">2018-04-10T23:30:20Z</dcterms:created>
  <dcterms:modified xsi:type="dcterms:W3CDTF">2021-08-20T05:40:37Z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1d8ad50b-ade1-47c7-b8a8-55cbf4bcdb1b</vt:lpwstr>
  </property>
</Properties>
</file>