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newportd/Desktop/"/>
    </mc:Choice>
  </mc:AlternateContent>
  <xr:revisionPtr revIDLastSave="0" documentId="10_ncr:8100000_{B56246C1-195A-154C-BA1B-EDE2BD3F8BDB}" xr6:coauthVersionLast="32" xr6:coauthVersionMax="32" xr10:uidLastSave="{00000000-0000-0000-0000-000000000000}"/>
  <bookViews>
    <workbookView xWindow="4000" yWindow="460" windowWidth="25600" windowHeight="15460" activeTab="1" xr2:uid="{00000000-000D-0000-FFFF-FFFF00000000}"/>
  </bookViews>
  <sheets>
    <sheet name="Carbon_2005-2016" sheetId="1" r:id="rId1"/>
    <sheet name="Fleet emissions" sheetId="2" r:id="rId2"/>
    <sheet name="Graphing" sheetId="3" r:id="rId3"/>
    <sheet name="Carbon projections" sheetId="4" r:id="rId4"/>
    <sheet name="waste" sheetId="7" r:id="rId5"/>
    <sheet name="biz travel" sheetId="5" r:id="rId6"/>
    <sheet name="commuting" sheetId="6" r:id="rId7"/>
  </sheets>
  <externalReferences>
    <externalReference r:id="rId8"/>
    <externalReference r:id="rId9"/>
    <externalReference r:id="rId10"/>
  </externalReferences>
  <definedNames>
    <definedName name="EnergyUse_Baseline">[3]Sheet1!$D$69:$O$122</definedName>
    <definedName name="GHGBaseline_MTCO2E">[3]Sheet1!$D$69:$O$122</definedName>
  </definedName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6" l="1"/>
  <c r="F3" i="5"/>
  <c r="F2" i="5"/>
  <c r="C6" i="7"/>
  <c r="C5" i="7"/>
  <c r="C4" i="7"/>
  <c r="C3" i="7"/>
  <c r="C27" i="6" l="1"/>
  <c r="N18" i="6"/>
  <c r="O16" i="6" s="1"/>
  <c r="P16" i="6" s="1"/>
  <c r="M18" i="6"/>
  <c r="B18" i="6"/>
  <c r="O17" i="6"/>
  <c r="P17" i="6" s="1"/>
  <c r="B17" i="6"/>
  <c r="B19" i="6" s="1"/>
  <c r="O15" i="6"/>
  <c r="P15" i="6" s="1"/>
  <c r="O13" i="6"/>
  <c r="P13" i="6" s="1"/>
  <c r="C13" i="6"/>
  <c r="D6" i="6" s="1"/>
  <c r="E6" i="6" s="1"/>
  <c r="B13" i="6"/>
  <c r="D12" i="6"/>
  <c r="E12" i="6" s="1"/>
  <c r="D11" i="6"/>
  <c r="E11" i="6" s="1"/>
  <c r="D10" i="6"/>
  <c r="E10" i="6" s="1"/>
  <c r="D9" i="6"/>
  <c r="E9" i="6" s="1"/>
  <c r="D8" i="6"/>
  <c r="E8" i="6" s="1"/>
  <c r="I7" i="6"/>
  <c r="J5" i="6" s="1"/>
  <c r="K5" i="6" s="1"/>
  <c r="H7" i="6"/>
  <c r="D7" i="6"/>
  <c r="E7" i="6" s="1"/>
  <c r="O5" i="6"/>
  <c r="P5" i="6" s="1"/>
  <c r="D5" i="6"/>
  <c r="E5" i="6" s="1"/>
  <c r="O3" i="6"/>
  <c r="P3" i="6" s="1"/>
  <c r="D3" i="6"/>
  <c r="E3" i="6" s="1"/>
  <c r="J6" i="6" l="1"/>
  <c r="K6" i="6" s="1"/>
  <c r="J2" i="6"/>
  <c r="K2" i="6" s="1"/>
  <c r="J4" i="6"/>
  <c r="K4" i="6" s="1"/>
  <c r="J7" i="6"/>
  <c r="K7" i="6" s="1"/>
  <c r="D2" i="6"/>
  <c r="O2" i="6"/>
  <c r="J3" i="6"/>
  <c r="K3" i="6" s="1"/>
  <c r="D4" i="6"/>
  <c r="E4" i="6" s="1"/>
  <c r="O4" i="6"/>
  <c r="P4" i="6" s="1"/>
  <c r="O6" i="6"/>
  <c r="P6" i="6" s="1"/>
  <c r="O7" i="6"/>
  <c r="P7" i="6" s="1"/>
  <c r="O8" i="6"/>
  <c r="P8" i="6" s="1"/>
  <c r="O9" i="6"/>
  <c r="P9" i="6" s="1"/>
  <c r="O10" i="6"/>
  <c r="P10" i="6" s="1"/>
  <c r="O11" i="6"/>
  <c r="P11" i="6" s="1"/>
  <c r="O12" i="6"/>
  <c r="P12" i="6" s="1"/>
  <c r="O14" i="6"/>
  <c r="P14" i="6" s="1"/>
  <c r="D4" i="5"/>
  <c r="C4" i="5"/>
  <c r="H3" i="5"/>
  <c r="I3" i="5" s="1"/>
  <c r="H2" i="5"/>
  <c r="I2" i="5" s="1"/>
  <c r="I4" i="5" l="1"/>
  <c r="O18" i="6"/>
  <c r="P2" i="6"/>
  <c r="P18" i="6" s="1"/>
  <c r="B20" i="6" s="1"/>
  <c r="B22" i="6" s="1"/>
  <c r="B24" i="6" s="1"/>
  <c r="D25" i="6" s="1"/>
  <c r="D13" i="6"/>
  <c r="E2" i="6"/>
  <c r="E13" i="6" s="1"/>
  <c r="J15" i="4" l="1"/>
  <c r="K15" i="4" s="1"/>
  <c r="G15" i="4"/>
  <c r="I15" i="4"/>
  <c r="C15" i="4"/>
  <c r="E15" i="4"/>
  <c r="G14" i="4"/>
  <c r="I14" i="4"/>
  <c r="K14" i="4" s="1"/>
  <c r="C14" i="4"/>
  <c r="E14" i="4"/>
  <c r="G13" i="4"/>
  <c r="I13" i="4" s="1"/>
  <c r="K13" i="4" s="1"/>
  <c r="H13" i="4"/>
  <c r="C13" i="4"/>
  <c r="E13" i="4"/>
  <c r="J12" i="4"/>
  <c r="G12" i="4"/>
  <c r="H12" i="4"/>
  <c r="I12" i="4"/>
  <c r="C12" i="4"/>
  <c r="E12" i="4"/>
  <c r="G11" i="4"/>
  <c r="I11" i="4" s="1"/>
  <c r="K11" i="4" s="1"/>
  <c r="H11" i="4"/>
  <c r="C11" i="4"/>
  <c r="E11" i="4"/>
  <c r="J10" i="4"/>
  <c r="G10" i="4"/>
  <c r="I10" i="4" s="1"/>
  <c r="H10" i="4"/>
  <c r="C10" i="4"/>
  <c r="E10" i="4" s="1"/>
  <c r="J9" i="4"/>
  <c r="K9" i="4" s="1"/>
  <c r="O9" i="4" s="1"/>
  <c r="G9" i="4"/>
  <c r="I9" i="4"/>
  <c r="E9" i="4"/>
  <c r="J8" i="4"/>
  <c r="G8" i="4"/>
  <c r="I8" i="4" s="1"/>
  <c r="E8" i="4"/>
  <c r="J7" i="4"/>
  <c r="G7" i="4"/>
  <c r="I7" i="4" s="1"/>
  <c r="E7" i="4"/>
  <c r="J6" i="4"/>
  <c r="G6" i="4"/>
  <c r="I6" i="4" s="1"/>
  <c r="E6" i="4"/>
  <c r="F6" i="4"/>
  <c r="J5" i="4"/>
  <c r="K5" i="4" s="1"/>
  <c r="O5" i="4" s="1"/>
  <c r="G5" i="4"/>
  <c r="I5" i="4"/>
  <c r="E5" i="4"/>
  <c r="F5" i="4"/>
  <c r="J4" i="4"/>
  <c r="K4" i="4" s="1"/>
  <c r="L4" i="4" s="1"/>
  <c r="G4" i="4"/>
  <c r="I4" i="4"/>
  <c r="E4" i="4"/>
  <c r="F4" i="4"/>
  <c r="E15" i="3"/>
  <c r="E16" i="3" s="1"/>
  <c r="E17" i="3" s="1"/>
  <c r="E18" i="3" s="1"/>
  <c r="D20" i="3"/>
  <c r="D21" i="3" s="1"/>
  <c r="B20" i="3"/>
  <c r="B21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3" i="3"/>
  <c r="C15" i="2"/>
  <c r="C14" i="2"/>
  <c r="C13" i="2"/>
  <c r="C12" i="2"/>
  <c r="C17" i="2" s="1"/>
  <c r="C9" i="2"/>
  <c r="H12" i="2"/>
  <c r="H13" i="2"/>
  <c r="H17" i="2" s="1"/>
  <c r="H14" i="2"/>
  <c r="H15" i="2"/>
  <c r="G12" i="2"/>
  <c r="G13" i="2"/>
  <c r="G17" i="2" s="1"/>
  <c r="G14" i="2"/>
  <c r="G15" i="2"/>
  <c r="F13" i="2"/>
  <c r="F14" i="2"/>
  <c r="D14" i="2"/>
  <c r="F15" i="2"/>
  <c r="E15" i="2"/>
  <c r="D15" i="2"/>
  <c r="E14" i="2"/>
  <c r="E13" i="2"/>
  <c r="D13" i="2"/>
  <c r="F12" i="2"/>
  <c r="F17" i="2" s="1"/>
  <c r="E12" i="2"/>
  <c r="E17" i="2" s="1"/>
  <c r="D12" i="2"/>
  <c r="D17" i="2" s="1"/>
  <c r="H9" i="2"/>
  <c r="G9" i="2"/>
  <c r="F9" i="2"/>
  <c r="E9" i="2"/>
  <c r="D9" i="2"/>
  <c r="I16" i="1"/>
  <c r="F16" i="1"/>
  <c r="H16" i="1" s="1"/>
  <c r="D16" i="1"/>
  <c r="I15" i="1"/>
  <c r="F15" i="1"/>
  <c r="H15" i="1" s="1"/>
  <c r="B15" i="1"/>
  <c r="D15" i="1" s="1"/>
  <c r="F14" i="1"/>
  <c r="H14" i="1" s="1"/>
  <c r="J14" i="1" s="1"/>
  <c r="B14" i="1"/>
  <c r="D14" i="1" s="1"/>
  <c r="G13" i="1"/>
  <c r="F13" i="1"/>
  <c r="H13" i="1" s="1"/>
  <c r="J13" i="1" s="1"/>
  <c r="B13" i="1"/>
  <c r="D13" i="1" s="1"/>
  <c r="I12" i="1"/>
  <c r="G12" i="1"/>
  <c r="F12" i="1"/>
  <c r="H12" i="1" s="1"/>
  <c r="B12" i="1"/>
  <c r="D12" i="1" s="1"/>
  <c r="G11" i="1"/>
  <c r="F11" i="1"/>
  <c r="H11" i="1" s="1"/>
  <c r="J11" i="1" s="1"/>
  <c r="B11" i="1"/>
  <c r="D11" i="1"/>
  <c r="I10" i="1"/>
  <c r="G10" i="1"/>
  <c r="F10" i="1"/>
  <c r="H10" i="1" s="1"/>
  <c r="B10" i="1"/>
  <c r="D10" i="1" s="1"/>
  <c r="I9" i="1"/>
  <c r="F9" i="1"/>
  <c r="H9" i="1" s="1"/>
  <c r="J9" i="1" s="1"/>
  <c r="N9" i="1" s="1"/>
  <c r="D9" i="1"/>
  <c r="I8" i="1"/>
  <c r="D8" i="1"/>
  <c r="I7" i="1"/>
  <c r="F7" i="1"/>
  <c r="H7" i="1" s="1"/>
  <c r="J7" i="1" s="1"/>
  <c r="D7" i="1"/>
  <c r="I6" i="1"/>
  <c r="F6" i="1"/>
  <c r="H6" i="1" s="1"/>
  <c r="J6" i="1" s="1"/>
  <c r="E6" i="1"/>
  <c r="D6" i="1"/>
  <c r="I5" i="1"/>
  <c r="F5" i="1"/>
  <c r="H5" i="1"/>
  <c r="J5" i="1" s="1"/>
  <c r="E5" i="1"/>
  <c r="D5" i="1"/>
  <c r="I4" i="1"/>
  <c r="F4" i="1"/>
  <c r="H4" i="1" s="1"/>
  <c r="E4" i="1"/>
  <c r="D4" i="1"/>
  <c r="F8" i="1"/>
  <c r="H8" i="1" s="1"/>
  <c r="K6" i="4" l="1"/>
  <c r="O6" i="4" s="1"/>
  <c r="K10" i="1"/>
  <c r="L10" i="4"/>
  <c r="J10" i="1"/>
  <c r="J4" i="1"/>
  <c r="N4" i="1" s="1"/>
  <c r="K7" i="4"/>
  <c r="L7" i="4" s="1"/>
  <c r="L9" i="4"/>
  <c r="J12" i="1"/>
  <c r="K10" i="4"/>
  <c r="K12" i="4"/>
  <c r="O7" i="4"/>
  <c r="D20" i="2"/>
  <c r="F12" i="4"/>
  <c r="E12" i="1"/>
  <c r="K12" i="1" s="1"/>
  <c r="E11" i="1"/>
  <c r="K11" i="1" s="1"/>
  <c r="C20" i="2"/>
  <c r="F11" i="4"/>
  <c r="L11" i="4" s="1"/>
  <c r="J8" i="1"/>
  <c r="N12" i="1"/>
  <c r="O13" i="4"/>
  <c r="K6" i="1"/>
  <c r="N6" i="1"/>
  <c r="F13" i="4"/>
  <c r="L13" i="4" s="1"/>
  <c r="E13" i="1"/>
  <c r="K13" i="1" s="1"/>
  <c r="E20" i="2"/>
  <c r="K4" i="1"/>
  <c r="N11" i="1"/>
  <c r="J16" i="1"/>
  <c r="E14" i="1"/>
  <c r="K14" i="1" s="1"/>
  <c r="F20" i="2"/>
  <c r="F14" i="4"/>
  <c r="L14" i="4" s="1"/>
  <c r="G20" i="2"/>
  <c r="F15" i="4"/>
  <c r="L15" i="4" s="1"/>
  <c r="E15" i="1"/>
  <c r="K15" i="1" s="1"/>
  <c r="F16" i="4"/>
  <c r="H20" i="2"/>
  <c r="E16" i="1"/>
  <c r="K16" i="1" s="1"/>
  <c r="O10" i="4"/>
  <c r="O11" i="4"/>
  <c r="K5" i="1"/>
  <c r="N5" i="1"/>
  <c r="N7" i="1"/>
  <c r="K7" i="1"/>
  <c r="K9" i="1"/>
  <c r="N10" i="1"/>
  <c r="N13" i="1"/>
  <c r="N14" i="1"/>
  <c r="J15" i="1"/>
  <c r="K8" i="4"/>
  <c r="O8" i="4" s="1"/>
  <c r="O15" i="4"/>
  <c r="L5" i="4"/>
  <c r="O4" i="4"/>
  <c r="L12" i="4" l="1"/>
  <c r="L6" i="4"/>
  <c r="N15" i="1"/>
  <c r="L8" i="4"/>
  <c r="K8" i="1"/>
  <c r="N8" i="1"/>
  <c r="O12" i="4"/>
  <c r="N16" i="1"/>
  <c r="O14" i="4"/>
  <c r="B20" i="7"/>
  <c r="D20" i="7"/>
  <c r="F20" i="7"/>
  <c r="A20" i="7"/>
  <c r="C20" i="7"/>
  <c r="E20" i="7"/>
  <c r="D14" i="7"/>
  <c r="A14" i="7"/>
  <c r="B14" i="7"/>
  <c r="E14" i="7"/>
  <c r="C14" i="7"/>
  <c r="F14" i="7"/>
</calcChain>
</file>

<file path=xl/sharedStrings.xml><?xml version="1.0" encoding="utf-8"?>
<sst xmlns="http://schemas.openxmlformats.org/spreadsheetml/2006/main" count="149" uniqueCount="98">
  <si>
    <t>University of Colorado at Boulder, Summary of Energy Use and Scope 1 &amp; 2 GHG Emissions, Net of Offsets, 2005-2017</t>
  </si>
  <si>
    <t>Scope 1</t>
  </si>
  <si>
    <t>Scope 2</t>
  </si>
  <si>
    <r>
      <t>Gross Scope 1</t>
    </r>
    <r>
      <rPr>
        <b/>
        <i/>
        <sz val="10"/>
        <color indexed="8"/>
        <rFont val="Calibri"/>
        <family val="2"/>
      </rPr>
      <t>&amp;</t>
    </r>
    <r>
      <rPr>
        <b/>
        <i/>
        <sz val="12"/>
        <color indexed="8"/>
        <rFont val="Calibri"/>
        <family val="2"/>
      </rPr>
      <t>2</t>
    </r>
  </si>
  <si>
    <t>RECs and Offsets</t>
  </si>
  <si>
    <r>
      <t>Net Scope 1</t>
    </r>
    <r>
      <rPr>
        <b/>
        <i/>
        <sz val="10"/>
        <color indexed="8"/>
        <rFont val="Calibri"/>
        <family val="2"/>
      </rPr>
      <t>&amp;</t>
    </r>
    <r>
      <rPr>
        <b/>
        <i/>
        <sz val="12"/>
        <color indexed="8"/>
        <rFont val="Calibri"/>
        <family val="2"/>
      </rPr>
      <t>2</t>
    </r>
  </si>
  <si>
    <t>Year</t>
  </si>
  <si>
    <t>Total Natural Gas used (MMBTU)</t>
  </si>
  <si>
    <t>Natural Gas Emissions Factor (Lbs CO2/MMBTU)</t>
  </si>
  <si>
    <t>Natural Gas Emissions (Metric Tons CO2e)</t>
  </si>
  <si>
    <t>Fleet Emissions (Metric Tons CO2e)</t>
  </si>
  <si>
    <t>Total kwh Consumed</t>
  </si>
  <si>
    <t>Total kwh Cogen Produced</t>
  </si>
  <si>
    <t>Total kwh Purchased</t>
  </si>
  <si>
    <t>Purchased kwh Emissions Factor (lbs/MWH)**</t>
  </si>
  <si>
    <t>Purchased Electricity Emissions (Metric Tons CO2e)</t>
  </si>
  <si>
    <t>Gross S1+2 GHG Emissions (Metric Tons CO2e)</t>
  </si>
  <si>
    <t>Total S 1&amp; 2 GHG Emissions (Metric Tons CO2e)</t>
  </si>
  <si>
    <t>* Custom emissions factor for RECs from Community Energy, 8.10.2010</t>
  </si>
  <si>
    <t>** Custom grid (PSCO) emissions factors from Xcel Energy, 5.17.17</t>
  </si>
  <si>
    <t>*** from EPA AP-42 standard emissions factors at:  http://www.epa.gov/ttnchie1/ap42/ch01/final/c01s04.pdf</t>
  </si>
  <si>
    <t xml:space="preserve">Fuel </t>
  </si>
  <si>
    <t>FY 2012</t>
  </si>
  <si>
    <t>FY 2013</t>
  </si>
  <si>
    <t>FY014</t>
  </si>
  <si>
    <t>FY2015</t>
  </si>
  <si>
    <t>FY2016</t>
  </si>
  <si>
    <t>FY2017</t>
  </si>
  <si>
    <t>Biodiesel</t>
  </si>
  <si>
    <t>Diesel</t>
  </si>
  <si>
    <t>Unleaded</t>
  </si>
  <si>
    <t>Unleaded with ethanol</t>
  </si>
  <si>
    <t>Total gallons consumed/FY</t>
  </si>
  <si>
    <t>Total MTCO2e/year</t>
  </si>
  <si>
    <t>Emissions factor (lbs/gallon)</t>
  </si>
  <si>
    <t>Total/year</t>
  </si>
  <si>
    <t>Total gallons/yr</t>
  </si>
  <si>
    <t>CU Fleet fuel consuption by fuel type and resulting GHG emissions</t>
  </si>
  <si>
    <t>Carbon intensity (MTCO2e/gallon)</t>
  </si>
  <si>
    <t>FY2012</t>
  </si>
  <si>
    <t>Offsets (Metric Tons CO2e)</t>
  </si>
  <si>
    <t>RECs (Metric Tons CO2e)*</t>
  </si>
  <si>
    <t>ACTUAL</t>
  </si>
  <si>
    <t>GOAL</t>
  </si>
  <si>
    <t>projected</t>
  </si>
  <si>
    <t>ACTUALS TO DATE</t>
  </si>
  <si>
    <t>PROJECTIONS</t>
  </si>
  <si>
    <t>Custom grid emissions factor projected from historic trend</t>
  </si>
  <si>
    <t>****</t>
  </si>
  <si>
    <t>includes line loss and parasitics</t>
  </si>
  <si>
    <t>University of Colorado Boulder, Summary of Energy Use and Scope 1 &amp; 2 GHG Emissions, Net of Offsets, Calendar 2005-2020, Actuals and Projected</t>
  </si>
  <si>
    <t>Total kwh Consumed****</t>
  </si>
  <si>
    <t>Fiscal Year</t>
  </si>
  <si>
    <t>domintl</t>
  </si>
  <si>
    <t>Ticket Count</t>
  </si>
  <si>
    <t>Air Charge</t>
  </si>
  <si>
    <t>Cents per mile*</t>
  </si>
  <si>
    <t>total miles</t>
  </si>
  <si>
    <t>kg CO2e per passenger mile**</t>
  </si>
  <si>
    <t>total kg CO2e</t>
  </si>
  <si>
    <t xml:space="preserve"> total MTCO2e</t>
  </si>
  <si>
    <t>Domestic</t>
  </si>
  <si>
    <t>International</t>
  </si>
  <si>
    <t>Total</t>
  </si>
  <si>
    <t>* per http://www.oliverwyman.com/content/dam/oliver-wyman/global/en/2016/jan/oliver-wyman-airline-economic-analysis-2015-2016.pdf</t>
  </si>
  <si>
    <t>** per https://carbonfund.org/how-we-calculate/</t>
  </si>
  <si>
    <t>distance</t>
  </si>
  <si>
    <t>students</t>
  </si>
  <si>
    <t>percent</t>
  </si>
  <si>
    <t>weighted avg.</t>
  </si>
  <si>
    <t>faculty/staff</t>
  </si>
  <si>
    <t>Students</t>
  </si>
  <si>
    <t>% car travel</t>
  </si>
  <si>
    <t>students drive</t>
  </si>
  <si>
    <t>VMT per day</t>
  </si>
  <si>
    <t>days/year</t>
  </si>
  <si>
    <t>yearly vmt</t>
  </si>
  <si>
    <t>ghg/mi</t>
  </si>
  <si>
    <t>grams ghg</t>
  </si>
  <si>
    <t>metric tons ghg</t>
  </si>
  <si>
    <t>GHG Emissions Analysis -- Summary Report</t>
  </si>
  <si>
    <t>CU ENVIRON. CTR</t>
  </si>
  <si>
    <t>J. DeBELL</t>
  </si>
  <si>
    <t>JULY,2015</t>
  </si>
  <si>
    <t>JUNE, 2016</t>
  </si>
  <si>
    <t xml:space="preserve">Note:  If you wish to save these results, rename this file (e.g., WARM-MN1) and save it.  Then the "Analysis Inputs" sheet of the "WARM" file </t>
  </si>
  <si>
    <t>will be blank when you are ready to make another model run.</t>
  </si>
  <si>
    <r>
      <t>GHG Emissions from Baseline Waste Management (MTCO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E):  </t>
    </r>
  </si>
  <si>
    <t>Material</t>
  </si>
  <si>
    <t xml:space="preserve">Tons Recycled </t>
  </si>
  <si>
    <t>Tons Landfilled</t>
  </si>
  <si>
    <t>Tons Combusted</t>
  </si>
  <si>
    <t>Tons Composted</t>
  </si>
  <si>
    <r>
      <t>Total MTCO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E</t>
    </r>
  </si>
  <si>
    <t xml:space="preserve">Energy Use from Baseline Waste Management (million BTU): </t>
  </si>
  <si>
    <t>Total Million BTU</t>
  </si>
  <si>
    <t>grams*</t>
  </si>
  <si>
    <t>* https://www.epa.gov/energy/greenhouse-gases-equivalencies-calculator-calculations-and-references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</si>
</sst>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_);_(* \(#,##0\);_(* &quot;-&quot;??_);_(@_)"/>
    <numFmt numFmtId="166" formatCode="0.00000"/>
    <numFmt numFmtId="167" formatCode="&quot;$&quot;#,##0.00"/>
    <numFmt numFmtId="168" formatCode="0.0"/>
    <numFmt numFmtId="169" formatCode="0.000"/>
    <numFmt numFmtId="170" formatCode="mm/dd/yy"/>
    <numFmt numFmtId="171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b/>
      <i/>
      <sz val="12"/>
      <color indexed="8"/>
      <name val="Calibri"/>
      <family val="2"/>
    </font>
    <font>
      <sz val="10"/>
      <name val="Arial"/>
      <family val="2"/>
    </font>
    <font>
      <i/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color indexed="10"/>
      <name val="Arial"/>
      <family val="2"/>
    </font>
    <font>
      <b/>
      <vertAlign val="subscript"/>
      <sz val="10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0" borderId="0"/>
  </cellStyleXfs>
  <cellXfs count="133">
    <xf numFmtId="0" fontId="0" fillId="0" borderId="0" xfId="0"/>
    <xf numFmtId="0" fontId="2" fillId="0" borderId="0" xfId="3"/>
    <xf numFmtId="0" fontId="2" fillId="0" borderId="1" xfId="3" applyBorder="1"/>
    <xf numFmtId="0" fontId="4" fillId="0" borderId="1" xfId="3" applyFont="1" applyBorder="1" applyAlignment="1">
      <alignment horizontal="center"/>
    </xf>
    <xf numFmtId="0" fontId="4" fillId="0" borderId="1" xfId="3" applyFont="1" applyBorder="1"/>
    <xf numFmtId="0" fontId="2" fillId="0" borderId="1" xfId="3" applyFill="1" applyBorder="1" applyAlignment="1">
      <alignment horizontal="center"/>
    </xf>
    <xf numFmtId="0" fontId="2" fillId="2" borderId="1" xfId="3" applyFill="1" applyBorder="1" applyAlignment="1">
      <alignment horizontal="center" wrapText="1"/>
    </xf>
    <xf numFmtId="0" fontId="2" fillId="3" borderId="1" xfId="3" applyFill="1" applyBorder="1" applyAlignment="1">
      <alignment horizontal="center" wrapText="1"/>
    </xf>
    <xf numFmtId="0" fontId="2" fillId="0" borderId="1" xfId="3" applyFill="1" applyBorder="1" applyAlignment="1">
      <alignment horizontal="center" wrapText="1"/>
    </xf>
    <xf numFmtId="3" fontId="2" fillId="2" borderId="1" xfId="3" applyNumberFormat="1" applyFill="1" applyBorder="1"/>
    <xf numFmtId="0" fontId="2" fillId="2" borderId="1" xfId="3" applyFill="1" applyBorder="1" applyAlignment="1">
      <alignment horizontal="center"/>
    </xf>
    <xf numFmtId="3" fontId="2" fillId="2" borderId="1" xfId="3" applyNumberFormat="1" applyFill="1" applyBorder="1" applyAlignment="1">
      <alignment horizontal="center"/>
    </xf>
    <xf numFmtId="3" fontId="2" fillId="3" borderId="1" xfId="3" applyNumberFormat="1" applyFill="1" applyBorder="1"/>
    <xf numFmtId="3" fontId="2" fillId="3" borderId="1" xfId="3" applyNumberFormat="1" applyFont="1" applyFill="1" applyBorder="1" applyAlignment="1">
      <alignment horizontal="center"/>
    </xf>
    <xf numFmtId="3" fontId="2" fillId="0" borderId="1" xfId="3" applyNumberFormat="1" applyFill="1" applyBorder="1" applyAlignment="1">
      <alignment horizontal="center"/>
    </xf>
    <xf numFmtId="3" fontId="2" fillId="0" borderId="1" xfId="3" applyNumberFormat="1" applyFill="1" applyBorder="1"/>
    <xf numFmtId="3" fontId="1" fillId="0" borderId="1" xfId="3" applyNumberFormat="1" applyFont="1" applyFill="1" applyBorder="1" applyAlignment="1">
      <alignment horizontal="center"/>
    </xf>
    <xf numFmtId="0" fontId="2" fillId="0" borderId="0" xfId="3" applyFill="1"/>
    <xf numFmtId="164" fontId="2" fillId="0" borderId="0" xfId="3" applyNumberFormat="1"/>
    <xf numFmtId="164" fontId="2" fillId="0" borderId="0" xfId="1" applyFont="1" applyFill="1"/>
    <xf numFmtId="164" fontId="2" fillId="0" borderId="0" xfId="3" applyNumberFormat="1" applyFill="1"/>
    <xf numFmtId="0" fontId="2" fillId="0" borderId="0" xfId="3" applyFill="1" applyBorder="1" applyAlignment="1">
      <alignment horizontal="center"/>
    </xf>
    <xf numFmtId="3" fontId="2" fillId="0" borderId="0" xfId="3" applyNumberFormat="1" applyFill="1" applyBorder="1"/>
    <xf numFmtId="3" fontId="2" fillId="0" borderId="0" xfId="3" applyNumberForma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3" fontId="1" fillId="0" borderId="0" xfId="3" applyNumberFormat="1" applyFont="1" applyFill="1" applyBorder="1" applyAlignment="1">
      <alignment horizontal="center"/>
    </xf>
    <xf numFmtId="3" fontId="2" fillId="0" borderId="0" xfId="3" applyNumberFormat="1" applyFill="1" applyBorder="1" applyAlignment="1"/>
    <xf numFmtId="165" fontId="2" fillId="0" borderId="0" xfId="1" applyNumberFormat="1" applyFont="1" applyFill="1" applyBorder="1"/>
    <xf numFmtId="9" fontId="2" fillId="0" borderId="0" xfId="2" applyFont="1" applyFill="1"/>
    <xf numFmtId="9" fontId="2" fillId="0" borderId="0" xfId="2" applyFont="1" applyFill="1" applyAlignment="1"/>
    <xf numFmtId="165" fontId="2" fillId="0" borderId="0" xfId="1" applyNumberFormat="1" applyFont="1" applyFill="1"/>
    <xf numFmtId="165" fontId="2" fillId="0" borderId="0" xfId="2" applyNumberFormat="1" applyFont="1" applyFill="1"/>
    <xf numFmtId="165" fontId="2" fillId="0" borderId="0" xfId="3" applyNumberFormat="1"/>
    <xf numFmtId="0" fontId="8" fillId="0" borderId="0" xfId="3" applyFont="1"/>
    <xf numFmtId="0" fontId="8" fillId="0" borderId="0" xfId="3" applyFont="1" applyFill="1"/>
    <xf numFmtId="165" fontId="2" fillId="0" borderId="0" xfId="1" applyNumberFormat="1" applyFont="1"/>
    <xf numFmtId="4" fontId="2" fillId="0" borderId="0" xfId="3" applyNumberFormat="1"/>
    <xf numFmtId="0" fontId="0" fillId="0" borderId="0" xfId="0" applyAlignment="1">
      <alignment horizontal="center"/>
    </xf>
    <xf numFmtId="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4" fontId="0" fillId="0" borderId="0" xfId="1" applyFont="1"/>
    <xf numFmtId="3" fontId="2" fillId="0" borderId="0" xfId="3" applyNumberFormat="1"/>
    <xf numFmtId="165" fontId="0" fillId="0" borderId="0" xfId="1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/>
    <xf numFmtId="0" fontId="4" fillId="0" borderId="1" xfId="3" applyFont="1" applyBorder="1" applyAlignment="1">
      <alignment horizontal="center"/>
    </xf>
    <xf numFmtId="165" fontId="0" fillId="0" borderId="0" xfId="1" applyNumberFormat="1" applyFont="1"/>
    <xf numFmtId="1" fontId="0" fillId="0" borderId="0" xfId="0" applyNumberFormat="1"/>
    <xf numFmtId="165" fontId="0" fillId="0" borderId="0" xfId="1" applyNumberFormat="1" applyFont="1" applyAlignment="1">
      <alignment wrapText="1"/>
    </xf>
    <xf numFmtId="3" fontId="2" fillId="4" borderId="1" xfId="3" applyNumberFormat="1" applyFill="1" applyBorder="1"/>
    <xf numFmtId="0" fontId="2" fillId="4" borderId="1" xfId="3" applyFill="1" applyBorder="1" applyAlignment="1">
      <alignment horizontal="center"/>
    </xf>
    <xf numFmtId="3" fontId="2" fillId="4" borderId="1" xfId="3" applyNumberFormat="1" applyFill="1" applyBorder="1" applyAlignment="1">
      <alignment horizontal="center"/>
    </xf>
    <xf numFmtId="3" fontId="1" fillId="4" borderId="1" xfId="3" applyNumberFormat="1" applyFont="1" applyFill="1" applyBorder="1" applyAlignment="1">
      <alignment horizontal="center"/>
    </xf>
    <xf numFmtId="0" fontId="2" fillId="0" borderId="4" xfId="3" applyFill="1" applyBorder="1" applyAlignment="1">
      <alignment horizontal="center"/>
    </xf>
    <xf numFmtId="3" fontId="2" fillId="4" borderId="4" xfId="3" applyNumberFormat="1" applyFill="1" applyBorder="1"/>
    <xf numFmtId="0" fontId="2" fillId="4" borderId="4" xfId="3" applyFill="1" applyBorder="1" applyAlignment="1">
      <alignment horizontal="center"/>
    </xf>
    <xf numFmtId="3" fontId="2" fillId="4" borderId="4" xfId="3" applyNumberFormat="1" applyFill="1" applyBorder="1" applyAlignment="1">
      <alignment horizontal="center"/>
    </xf>
    <xf numFmtId="3" fontId="1" fillId="4" borderId="4" xfId="3" applyNumberFormat="1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3" fontId="14" fillId="4" borderId="1" xfId="0" applyNumberFormat="1" applyFont="1" applyFill="1" applyBorder="1" applyAlignment="1">
      <alignment horizontal="center"/>
    </xf>
    <xf numFmtId="0" fontId="15" fillId="0" borderId="0" xfId="3" applyFont="1"/>
    <xf numFmtId="0" fontId="2" fillId="4" borderId="1" xfId="3" applyFill="1" applyBorder="1"/>
    <xf numFmtId="0" fontId="2" fillId="5" borderId="1" xfId="3" applyFill="1" applyBorder="1" applyAlignment="1">
      <alignment horizontal="center" wrapText="1"/>
    </xf>
    <xf numFmtId="3" fontId="2" fillId="5" borderId="1" xfId="3" applyNumberFormat="1" applyFill="1" applyBorder="1" applyAlignment="1">
      <alignment horizontal="center"/>
    </xf>
    <xf numFmtId="3" fontId="2" fillId="6" borderId="1" xfId="3" applyNumberFormat="1" applyFill="1" applyBorder="1"/>
    <xf numFmtId="3" fontId="2" fillId="6" borderId="4" xfId="3" applyNumberFormat="1" applyFill="1" applyBorder="1"/>
    <xf numFmtId="0" fontId="18" fillId="7" borderId="5" xfId="8" applyFont="1" applyFill="1" applyBorder="1" applyAlignment="1">
      <alignment horizontal="center"/>
    </xf>
    <xf numFmtId="0" fontId="18" fillId="7" borderId="6" xfId="8" applyFont="1" applyFill="1" applyBorder="1" applyAlignment="1">
      <alignment horizontal="center"/>
    </xf>
    <xf numFmtId="0" fontId="18" fillId="0" borderId="7" xfId="8" applyFont="1" applyFill="1" applyBorder="1" applyAlignment="1"/>
    <xf numFmtId="165" fontId="18" fillId="0" borderId="7" xfId="1" applyNumberFormat="1" applyFont="1" applyFill="1" applyBorder="1" applyAlignment="1">
      <alignment horizontal="right"/>
    </xf>
    <xf numFmtId="167" fontId="18" fillId="0" borderId="7" xfId="8" applyNumberFormat="1" applyFont="1" applyFill="1" applyBorder="1" applyAlignment="1">
      <alignment horizontal="right"/>
    </xf>
    <xf numFmtId="168" fontId="0" fillId="0" borderId="0" xfId="0" applyNumberFormat="1"/>
    <xf numFmtId="0" fontId="1" fillId="0" borderId="0" xfId="0" applyFont="1" applyAlignment="1"/>
    <xf numFmtId="165" fontId="1" fillId="0" borderId="0" xfId="1" applyNumberFormat="1" applyFont="1" applyAlignment="1"/>
    <xf numFmtId="167" fontId="1" fillId="0" borderId="0" xfId="0" applyNumberFormat="1" applyFont="1" applyAlignment="1"/>
    <xf numFmtId="10" fontId="0" fillId="0" borderId="0" xfId="0" applyNumberFormat="1"/>
    <xf numFmtId="169" fontId="0" fillId="0" borderId="0" xfId="0" applyNumberFormat="1"/>
    <xf numFmtId="0" fontId="0" fillId="0" borderId="8" xfId="0" applyBorder="1"/>
    <xf numFmtId="10" fontId="0" fillId="0" borderId="8" xfId="0" applyNumberFormat="1" applyBorder="1"/>
    <xf numFmtId="0" fontId="0" fillId="0" borderId="9" xfId="0" applyFill="1" applyBorder="1"/>
    <xf numFmtId="0" fontId="0" fillId="0" borderId="10" xfId="0" applyBorder="1"/>
    <xf numFmtId="10" fontId="0" fillId="0" borderId="10" xfId="0" applyNumberFormat="1" applyBorder="1"/>
    <xf numFmtId="169" fontId="0" fillId="0" borderId="0" xfId="0" applyNumberFormat="1" applyBorder="1"/>
    <xf numFmtId="0" fontId="0" fillId="0" borderId="0" xfId="0" applyBorder="1"/>
    <xf numFmtId="169" fontId="0" fillId="0" borderId="11" xfId="0" applyNumberFormat="1" applyFill="1" applyBorder="1"/>
    <xf numFmtId="3" fontId="0" fillId="0" borderId="0" xfId="0" applyNumberFormat="1"/>
    <xf numFmtId="169" fontId="0" fillId="2" borderId="9" xfId="0" applyNumberFormat="1" applyFill="1" applyBorder="1"/>
    <xf numFmtId="3" fontId="0" fillId="2" borderId="11" xfId="0" applyNumberFormat="1" applyFill="1" applyBorder="1"/>
    <xf numFmtId="0" fontId="3" fillId="0" borderId="1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3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right" vertical="center"/>
    </xf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9" fillId="8" borderId="0" xfId="0" applyFont="1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8" borderId="15" xfId="0" applyFill="1" applyBorder="1"/>
    <xf numFmtId="0" fontId="0" fillId="8" borderId="0" xfId="0" applyFill="1" applyBorder="1"/>
    <xf numFmtId="0" fontId="20" fillId="0" borderId="0" xfId="0" applyFont="1" applyFill="1" applyBorder="1"/>
    <xf numFmtId="0" fontId="0" fillId="8" borderId="16" xfId="0" applyFill="1" applyBorder="1"/>
    <xf numFmtId="0" fontId="13" fillId="8" borderId="0" xfId="0" applyFont="1" applyFill="1" applyBorder="1"/>
    <xf numFmtId="0" fontId="0" fillId="8" borderId="0" xfId="0" applyNumberFormat="1" applyFill="1" applyBorder="1"/>
    <xf numFmtId="0" fontId="2" fillId="8" borderId="0" xfId="0" applyNumberFormat="1" applyFont="1" applyFill="1" applyBorder="1"/>
    <xf numFmtId="0" fontId="13" fillId="8" borderId="0" xfId="0" applyNumberFormat="1" applyFont="1" applyFill="1" applyBorder="1"/>
    <xf numFmtId="170" fontId="2" fillId="8" borderId="0" xfId="0" applyNumberFormat="1" applyFont="1" applyFill="1" applyBorder="1"/>
    <xf numFmtId="0" fontId="13" fillId="8" borderId="0" xfId="0" applyNumberFormat="1" applyFont="1" applyFill="1" applyBorder="1" applyAlignment="1">
      <alignment horizontal="center"/>
    </xf>
    <xf numFmtId="0" fontId="21" fillId="8" borderId="0" xfId="0" applyFont="1" applyFill="1" applyBorder="1"/>
    <xf numFmtId="0" fontId="2" fillId="8" borderId="0" xfId="0" applyFont="1" applyFill="1" applyBorder="1"/>
    <xf numFmtId="37" fontId="13" fillId="8" borderId="0" xfId="1" applyNumberFormat="1" applyFont="1" applyFill="1" applyBorder="1"/>
    <xf numFmtId="37" fontId="0" fillId="8" borderId="0" xfId="0" applyNumberFormat="1" applyFill="1" applyBorder="1"/>
    <xf numFmtId="0" fontId="23" fillId="8" borderId="17" xfId="0" applyFont="1" applyFill="1" applyBorder="1" applyAlignment="1">
      <alignment horizontal="center"/>
    </xf>
    <xf numFmtId="3" fontId="23" fillId="8" borderId="18" xfId="0" applyNumberFormat="1" applyFont="1" applyFill="1" applyBorder="1" applyAlignment="1">
      <alignment horizontal="center" wrapText="1"/>
    </xf>
    <xf numFmtId="0" fontId="23" fillId="8" borderId="19" xfId="0" applyFont="1" applyFill="1" applyBorder="1" applyAlignment="1">
      <alignment horizontal="center" wrapText="1"/>
    </xf>
    <xf numFmtId="0" fontId="20" fillId="8" borderId="20" xfId="0" applyFont="1" applyFill="1" applyBorder="1" applyAlignment="1"/>
    <xf numFmtId="171" fontId="20" fillId="8" borderId="4" xfId="1" applyNumberFormat="1" applyFont="1" applyFill="1" applyBorder="1" applyAlignment="1">
      <alignment horizontal="right"/>
    </xf>
    <xf numFmtId="37" fontId="20" fillId="8" borderId="21" xfId="1" applyNumberFormat="1" applyFont="1" applyFill="1" applyBorder="1" applyAlignment="1">
      <alignment horizontal="right"/>
    </xf>
    <xf numFmtId="37" fontId="13" fillId="8" borderId="0" xfId="0" applyNumberFormat="1" applyFont="1" applyFill="1" applyBorder="1"/>
    <xf numFmtId="0" fontId="23" fillId="8" borderId="17" xfId="0" applyFont="1" applyFill="1" applyBorder="1" applyAlignment="1">
      <alignment horizontal="left"/>
    </xf>
    <xf numFmtId="37" fontId="20" fillId="8" borderId="20" xfId="0" applyNumberFormat="1" applyFont="1" applyFill="1" applyBorder="1" applyAlignment="1"/>
  </cellXfs>
  <cellStyles count="9">
    <cellStyle name="Comma" xfId="1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Normal 2" xfId="3" xr:uid="{00000000-0005-0000-0000-000006000000}"/>
    <cellStyle name="Normal_Sheet1_1" xfId="8" xr:uid="{5E8D2897-FF58-4241-B604-2CD8CA9653AC}"/>
    <cellStyle name="Percent" xfId="2" builtinId="5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Fleet Fuel Burn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'Fleet emissions'!$C$3:$H$3</c:f>
              <c:strCache>
                <c:ptCount val="6"/>
                <c:pt idx="0">
                  <c:v>FY 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emissions'!$C$4:$H$4</c:f>
              <c:numCache>
                <c:formatCode>_(* #,##0.00_);_(* \(#,##0.00\);_(* "-"??_);_(@_)</c:formatCode>
                <c:ptCount val="6"/>
                <c:pt idx="0">
                  <c:v>53790.559999999998</c:v>
                </c:pt>
                <c:pt idx="1">
                  <c:v>58492.2</c:v>
                </c:pt>
                <c:pt idx="2">
                  <c:v>56514.41</c:v>
                </c:pt>
                <c:pt idx="3">
                  <c:v>2155.9299999999998</c:v>
                </c:pt>
                <c:pt idx="4">
                  <c:v>31133.93</c:v>
                </c:pt>
                <c:pt idx="5">
                  <c:v>73603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B-3D42-96F4-B1B084B2F46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'Fleet emissions'!$C$3:$H$3</c:f>
              <c:strCache>
                <c:ptCount val="6"/>
                <c:pt idx="0">
                  <c:v>FY 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emissions'!$C$5:$H$5</c:f>
              <c:numCache>
                <c:formatCode>_(* #,##0.00_);_(* \(#,##0.00\);_(* "-"??_);_(@_)</c:formatCode>
                <c:ptCount val="6"/>
                <c:pt idx="0">
                  <c:v>23099.47</c:v>
                </c:pt>
                <c:pt idx="1">
                  <c:v>24863.17</c:v>
                </c:pt>
                <c:pt idx="2">
                  <c:v>27167.06</c:v>
                </c:pt>
                <c:pt idx="3">
                  <c:v>83630.960000000006</c:v>
                </c:pt>
                <c:pt idx="4">
                  <c:v>62972.800000000003</c:v>
                </c:pt>
                <c:pt idx="5">
                  <c:v>17423.57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B-3D42-96F4-B1B084B2F46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'Fleet emissions'!$C$3:$H$3</c:f>
              <c:strCache>
                <c:ptCount val="6"/>
                <c:pt idx="0">
                  <c:v>FY 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emissions'!$C$6:$H$6</c:f>
              <c:numCache>
                <c:formatCode>_(* #,##0.00_);_(* \(#,##0.00\);_(* "-"??_);_(@_)</c:formatCode>
                <c:ptCount val="6"/>
                <c:pt idx="0">
                  <c:v>110251.29</c:v>
                </c:pt>
                <c:pt idx="1">
                  <c:v>111363.83</c:v>
                </c:pt>
                <c:pt idx="2">
                  <c:v>114410.24000000001</c:v>
                </c:pt>
                <c:pt idx="3">
                  <c:v>127397.79</c:v>
                </c:pt>
                <c:pt idx="4">
                  <c:v>118787.73</c:v>
                </c:pt>
                <c:pt idx="5">
                  <c:v>125849.48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B-3D42-96F4-B1B084B2F46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'Fleet emissions'!$C$3:$H$3</c:f>
              <c:strCache>
                <c:ptCount val="6"/>
                <c:pt idx="0">
                  <c:v>FY 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emissions'!$C$7:$H$7</c:f>
              <c:numCache>
                <c:formatCode>_(* #,##0.00_);_(* \(#,##0.00\);_(* "-"??_);_(@_)</c:formatCode>
                <c:ptCount val="6"/>
                <c:pt idx="0">
                  <c:v>13131.04</c:v>
                </c:pt>
                <c:pt idx="1">
                  <c:v>14111.76</c:v>
                </c:pt>
                <c:pt idx="2">
                  <c:v>8723.23</c:v>
                </c:pt>
                <c:pt idx="3">
                  <c:v>8251.01</c:v>
                </c:pt>
                <c:pt idx="4">
                  <c:v>6457.26</c:v>
                </c:pt>
                <c:pt idx="5">
                  <c:v>6991.59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7B-3D42-96F4-B1B084B2F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409872"/>
        <c:axId val="61939870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'Fleet emissions'!$C$3:$H$3</c15:sqref>
                        </c15:formulaRef>
                      </c:ext>
                    </c:extLst>
                    <c:strCache>
                      <c:ptCount val="6"/>
                      <c:pt idx="0">
                        <c:v>FY 2012</c:v>
                      </c:pt>
                      <c:pt idx="1">
                        <c:v>FY 2013</c:v>
                      </c:pt>
                      <c:pt idx="2">
                        <c:v>FY014</c:v>
                      </c:pt>
                      <c:pt idx="3">
                        <c:v>FY2015</c:v>
                      </c:pt>
                      <c:pt idx="4">
                        <c:v>FY2016</c:v>
                      </c:pt>
                      <c:pt idx="5">
                        <c:v>FY2017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'Fleet emissions'!$C$8:$H$8</c15:sqref>
                        </c15:formulaRef>
                      </c:ext>
                    </c:extLst>
                    <c:numCache>
                      <c:formatCode>#,##0.00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07B-3D42-96F4-B1B084B2F46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'Fleet emissions'!$C$3:$H$3</c:f>
              <c:strCache>
                <c:ptCount val="6"/>
                <c:pt idx="0">
                  <c:v>FY 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emissions'!$C$9:$H$9</c:f>
              <c:numCache>
                <c:formatCode>#,##0.00</c:formatCode>
                <c:ptCount val="6"/>
                <c:pt idx="0">
                  <c:v>200272.36000000002</c:v>
                </c:pt>
                <c:pt idx="1">
                  <c:v>208830.96000000002</c:v>
                </c:pt>
                <c:pt idx="2">
                  <c:v>206814.94000000003</c:v>
                </c:pt>
                <c:pt idx="3">
                  <c:v>221435.69</c:v>
                </c:pt>
                <c:pt idx="4">
                  <c:v>219351.72000000003</c:v>
                </c:pt>
                <c:pt idx="5">
                  <c:v>223867.63999999998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7B-3D42-96F4-B1B084B2F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409872"/>
        <c:axId val="619398704"/>
      </c:lineChart>
      <c:catAx>
        <c:axId val="6124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398704"/>
        <c:crosses val="autoZero"/>
        <c:auto val="1"/>
        <c:lblAlgn val="ctr"/>
        <c:lblOffset val="100"/>
        <c:noMultiLvlLbl val="0"/>
      </c:catAx>
      <c:valAx>
        <c:axId val="6193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40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Fleet</a:t>
            </a:r>
            <a:r>
              <a:rPr lang="en-US" baseline="0"/>
              <a:t> GHGs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'Fleet emissions'!$C$12:$H$12</c:f>
              <c:numCache>
                <c:formatCode>0.00</c:formatCode>
                <c:ptCount val="6"/>
                <c:pt idx="0">
                  <c:v>498.71530642191601</c:v>
                </c:pt>
                <c:pt idx="1">
                  <c:v>542.3062233650661</c:v>
                </c:pt>
                <c:pt idx="2">
                  <c:v>523.96928569629677</c:v>
                </c:pt>
                <c:pt idx="3">
                  <c:v>19.988549860313803</c:v>
                </c:pt>
                <c:pt idx="4">
                  <c:v>288.6559916845722</c:v>
                </c:pt>
                <c:pt idx="5">
                  <c:v>682.40491823420837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7-4346-87D0-C55A33B9E24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'Fleet emissions'!$C$13:$H$13</c:f>
              <c:numCache>
                <c:formatCode>0.00</c:formatCode>
                <c:ptCount val="6"/>
                <c:pt idx="0">
                  <c:v>234.49189601732249</c:v>
                </c:pt>
                <c:pt idx="1">
                  <c:v>252.3959153305687</c:v>
                </c:pt>
                <c:pt idx="2">
                  <c:v>275.78361791921458</c:v>
                </c:pt>
                <c:pt idx="3">
                  <c:v>848.97109657272904</c:v>
                </c:pt>
                <c:pt idx="4">
                  <c:v>639.26190815285565</c:v>
                </c:pt>
                <c:pt idx="5">
                  <c:v>176.87358041940092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7-4346-87D0-C55A33B9E24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'Fleet emissions'!$C$14:$H$14</c:f>
              <c:numCache>
                <c:formatCode>0.00</c:formatCode>
                <c:ptCount val="6"/>
                <c:pt idx="0">
                  <c:v>969.17720929861832</c:v>
                </c:pt>
                <c:pt idx="1">
                  <c:v>978.95712581871601</c:v>
                </c:pt>
                <c:pt idx="2">
                  <c:v>1005.7369588907774</c:v>
                </c:pt>
                <c:pt idx="3">
                  <c:v>1119.9055773679511</c:v>
                </c:pt>
                <c:pt idx="4">
                  <c:v>1044.2178106062775</c:v>
                </c:pt>
                <c:pt idx="5">
                  <c:v>1106.2949723135418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07-4346-87D0-C55A33B9E24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'Fleet emissions'!$C$15:$H$15</c:f>
              <c:numCache>
                <c:formatCode>0.00</c:formatCode>
                <c:ptCount val="6"/>
                <c:pt idx="0">
                  <c:v>69.865516970353113</c:v>
                </c:pt>
                <c:pt idx="1">
                  <c:v>75.083573560171175</c:v>
                </c:pt>
                <c:pt idx="2">
                  <c:v>46.413153383227318</c:v>
                </c:pt>
                <c:pt idx="3">
                  <c:v>43.900641470710106</c:v>
                </c:pt>
                <c:pt idx="4">
                  <c:v>34.356746161155726</c:v>
                </c:pt>
                <c:pt idx="5">
                  <c:v>37.199722930914163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07-4346-87D0-C55A33B9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585424"/>
        <c:axId val="69358774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'Fleet emissions'!$C$16:$H$16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7-4346-87D0-C55A33B9E24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'Fleet emissions'!$C$17:$H$17</c:f>
              <c:numCache>
                <c:formatCode>0.00</c:formatCode>
                <c:ptCount val="6"/>
                <c:pt idx="0">
                  <c:v>1772.2499287082098</c:v>
                </c:pt>
                <c:pt idx="1">
                  <c:v>1848.7428380745221</c:v>
                </c:pt>
                <c:pt idx="2">
                  <c:v>1851.9030158895162</c:v>
                </c:pt>
                <c:pt idx="3">
                  <c:v>2032.7658652717041</c:v>
                </c:pt>
                <c:pt idx="4">
                  <c:v>2006.492456604861</c:v>
                </c:pt>
                <c:pt idx="5">
                  <c:v>2002.7731938980651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07-4346-87D0-C55A33B9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585424"/>
        <c:axId val="693587744"/>
      </c:lineChart>
      <c:catAx>
        <c:axId val="69358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87744"/>
        <c:crosses val="autoZero"/>
        <c:auto val="1"/>
        <c:lblAlgn val="ctr"/>
        <c:lblOffset val="100"/>
        <c:noMultiLvlLbl val="0"/>
      </c:catAx>
      <c:valAx>
        <c:axId val="6935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8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Fleet Carbon Intensity</a:t>
            </a:r>
            <a:br>
              <a:rPr lang="en-US"/>
            </a:br>
            <a:r>
              <a:rPr lang="en-US"/>
              <a:t>(MTCO2e/gallon)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'Fleet emissions'!$C$19:$H$19</c:f>
              <c:strCache>
                <c:ptCount val="6"/>
                <c:pt idx="0">
                  <c:v>FY2012</c:v>
                </c:pt>
                <c:pt idx="1">
                  <c:v>FY 2013</c:v>
                </c:pt>
                <c:pt idx="2">
                  <c:v>FY014</c:v>
                </c:pt>
                <c:pt idx="3">
                  <c:v>FY2015</c:v>
                </c:pt>
                <c:pt idx="4">
                  <c:v>FY2016</c:v>
                </c:pt>
                <c:pt idx="5">
                  <c:v>FY2017</c:v>
                </c:pt>
              </c:strCache>
            </c:strRef>
          </c:cat>
          <c:val>
            <c:numRef>
              <c:f>'Fleet emissions'!$C$20:$H$20</c:f>
              <c:numCache>
                <c:formatCode>0.00000</c:formatCode>
                <c:ptCount val="6"/>
                <c:pt idx="0">
                  <c:v>8.8491988046089324E-3</c:v>
                </c:pt>
                <c:pt idx="1">
                  <c:v>8.8528197067835237E-3</c:v>
                </c:pt>
                <c:pt idx="2">
                  <c:v>8.9543966982729376E-3</c:v>
                </c:pt>
                <c:pt idx="3">
                  <c:v>9.1799378197421743E-3</c:v>
                </c:pt>
                <c:pt idx="4">
                  <c:v>9.147375076907811E-3</c:v>
                </c:pt>
                <c:pt idx="5">
                  <c:v>8.9462380266217365E-3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F-8F42-9EDD-F1AAA6CB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608320"/>
        <c:axId val="693610640"/>
      </c:barChart>
      <c:catAx>
        <c:axId val="69360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0640"/>
        <c:crosses val="autoZero"/>
        <c:auto val="1"/>
        <c:lblAlgn val="ctr"/>
        <c:lblOffset val="100"/>
        <c:noMultiLvlLbl val="0"/>
      </c:catAx>
      <c:valAx>
        <c:axId val="6936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0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CU Actual GHG Emissions vs Goal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Goal</c:v>
          </c:tx>
          <c:spPr>
            <a:ln w="571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Graphing!$C$3:$C$18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Graphing!$B$3:$B$18</c:f>
              <c:numCache>
                <c:formatCode>0</c:formatCode>
                <c:ptCount val="16"/>
                <c:pt idx="0">
                  <c:v>135609.41585822651</c:v>
                </c:pt>
                <c:pt idx="1">
                  <c:v>133801.32146767806</c:v>
                </c:pt>
                <c:pt idx="2">
                  <c:v>131993.22707712962</c:v>
                </c:pt>
                <c:pt idx="3">
                  <c:v>130185.13268658119</c:v>
                </c:pt>
                <c:pt idx="4">
                  <c:v>128377.03829603276</c:v>
                </c:pt>
                <c:pt idx="5">
                  <c:v>126568.94390548432</c:v>
                </c:pt>
                <c:pt idx="6">
                  <c:v>124760.84951493589</c:v>
                </c:pt>
                <c:pt idx="7">
                  <c:v>122952.75512438746</c:v>
                </c:pt>
                <c:pt idx="8">
                  <c:v>121144.66073383903</c:v>
                </c:pt>
                <c:pt idx="9">
                  <c:v>119336.5663432906</c:v>
                </c:pt>
                <c:pt idx="10">
                  <c:v>117528.47195274217</c:v>
                </c:pt>
                <c:pt idx="11">
                  <c:v>115720.37756219374</c:v>
                </c:pt>
                <c:pt idx="12">
                  <c:v>113912.28317164531</c:v>
                </c:pt>
                <c:pt idx="13">
                  <c:v>112104.18878109688</c:v>
                </c:pt>
                <c:pt idx="14">
                  <c:v>110296.09439054845</c:v>
                </c:pt>
                <c:pt idx="15">
                  <c:v>108488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5-1E4B-AF21-111EE608E09B}"/>
            </c:ext>
          </c:extLst>
        </c:ser>
        <c:ser>
          <c:idx val="1"/>
          <c:order val="1"/>
          <c:tx>
            <c:v>Actuals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Graphing!$A$3:$A$14</c:f>
              <c:numCache>
                <c:formatCode>_(* #,##0_);_(* \(#,##0\);_(* "-"??_);_(@_)</c:formatCode>
                <c:ptCount val="12"/>
                <c:pt idx="0">
                  <c:v>135609.41585822651</c:v>
                </c:pt>
                <c:pt idx="1">
                  <c:v>138518.2984016017</c:v>
                </c:pt>
                <c:pt idx="2">
                  <c:v>140033.76155257432</c:v>
                </c:pt>
                <c:pt idx="3">
                  <c:v>136727.4370715789</c:v>
                </c:pt>
                <c:pt idx="4">
                  <c:v>138998.17938113582</c:v>
                </c:pt>
                <c:pt idx="5">
                  <c:v>135577.3088307112</c:v>
                </c:pt>
                <c:pt idx="6">
                  <c:v>139276.72436745613</c:v>
                </c:pt>
                <c:pt idx="7">
                  <c:v>146377.70912975929</c:v>
                </c:pt>
                <c:pt idx="8">
                  <c:v>149995.74757573134</c:v>
                </c:pt>
                <c:pt idx="9">
                  <c:v>132097.02385828117</c:v>
                </c:pt>
                <c:pt idx="10">
                  <c:v>131753.73537732565</c:v>
                </c:pt>
                <c:pt idx="11">
                  <c:v>124037.92888499954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5-1E4B-AF21-111EE608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641664"/>
        <c:axId val="692644496"/>
      </c:lineChart>
      <c:lineChart>
        <c:grouping val="standard"/>
        <c:varyColors val="0"/>
        <c:ser>
          <c:idx val="2"/>
          <c:order val="2"/>
          <c:tx>
            <c:v>Factors</c:v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Graphing!$D$3:$D$14</c:f>
              <c:numCache>
                <c:formatCode>_(* #,##0_);_(* \(#,##0\);_(* "-"??_);_(@_)</c:formatCode>
                <c:ptCount val="12"/>
                <c:pt idx="0">
                  <c:v>1849</c:v>
                </c:pt>
                <c:pt idx="1">
                  <c:v>1836</c:v>
                </c:pt>
                <c:pt idx="2">
                  <c:v>1750</c:v>
                </c:pt>
                <c:pt idx="3">
                  <c:v>1646</c:v>
                </c:pt>
                <c:pt idx="4">
                  <c:v>1616</c:v>
                </c:pt>
                <c:pt idx="5">
                  <c:v>1667</c:v>
                </c:pt>
                <c:pt idx="6">
                  <c:v>1613</c:v>
                </c:pt>
                <c:pt idx="7">
                  <c:v>1544</c:v>
                </c:pt>
                <c:pt idx="8">
                  <c:v>1521</c:v>
                </c:pt>
                <c:pt idx="9">
                  <c:v>1452</c:v>
                </c:pt>
                <c:pt idx="10">
                  <c:v>1483</c:v>
                </c:pt>
                <c:pt idx="11">
                  <c:v>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5-1E4B-AF21-111EE608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651280"/>
        <c:axId val="692647888"/>
      </c:lineChart>
      <c:catAx>
        <c:axId val="6926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644496"/>
        <c:crosses val="autoZero"/>
        <c:auto val="1"/>
        <c:lblAlgn val="ctr"/>
        <c:lblOffset val="100"/>
        <c:noMultiLvlLbl val="0"/>
      </c:catAx>
      <c:valAx>
        <c:axId val="6926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641664"/>
        <c:crosses val="autoZero"/>
        <c:crossBetween val="between"/>
      </c:valAx>
      <c:valAx>
        <c:axId val="692647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Lbs CO2/MWH</a:t>
                </a:r>
              </a:p>
              <a:p>
                <a:pPr>
                  <a:defRPr sz="1100" b="1"/>
                </a:pP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651280"/>
        <c:crosses val="max"/>
        <c:crossBetween val="between"/>
      </c:valAx>
      <c:catAx>
        <c:axId val="692651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9264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Forecast total kwh/yr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kwh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forward val="4"/>
            <c:dispRSqr val="0"/>
            <c:dispEq val="0"/>
          </c:trendline>
          <c:val>
            <c:numRef>
              <c:f>'Carbon projections'!$G$4:$G$15</c:f>
              <c:numCache>
                <c:formatCode>#,##0</c:formatCode>
                <c:ptCount val="12"/>
                <c:pt idx="0">
                  <c:v>130115696.32800001</c:v>
                </c:pt>
                <c:pt idx="1">
                  <c:v>131807367.67199987</c:v>
                </c:pt>
                <c:pt idx="2">
                  <c:v>132881393.00000006</c:v>
                </c:pt>
                <c:pt idx="3">
                  <c:v>132189811.64399996</c:v>
                </c:pt>
                <c:pt idx="4">
                  <c:v>130536303.57249996</c:v>
                </c:pt>
                <c:pt idx="5">
                  <c:v>127720811</c:v>
                </c:pt>
                <c:pt idx="6">
                  <c:v>141660521</c:v>
                </c:pt>
                <c:pt idx="7">
                  <c:v>147963868.67000002</c:v>
                </c:pt>
                <c:pt idx="8">
                  <c:v>150821140.19999999</c:v>
                </c:pt>
                <c:pt idx="9">
                  <c:v>150740130.64999998</c:v>
                </c:pt>
                <c:pt idx="10">
                  <c:v>152036493.71999997</c:v>
                </c:pt>
                <c:pt idx="11">
                  <c:v>152578577.34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E-9C4D-91F6-53BD3A9D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876512"/>
        <c:axId val="646545232"/>
      </c:lineChart>
      <c:catAx>
        <c:axId val="6128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545232"/>
        <c:crosses val="autoZero"/>
        <c:auto val="1"/>
        <c:lblAlgn val="ctr"/>
        <c:lblOffset val="100"/>
        <c:noMultiLvlLbl val="0"/>
      </c:catAx>
      <c:valAx>
        <c:axId val="646545232"/>
        <c:scaling>
          <c:orientation val="minMax"/>
          <c:min val="1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7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273050</xdr:colOff>
      <xdr:row>2</xdr:row>
      <xdr:rowOff>6350</xdr:rowOff>
    </xdr:from>
    <xdr:to>
      <xdr:col>13</xdr:col>
      <xdr:colOff>717550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298450</xdr:colOff>
      <xdr:row>21</xdr:row>
      <xdr:rowOff>6350</xdr:rowOff>
    </xdr:from>
    <xdr:to>
      <xdr:col>13</xdr:col>
      <xdr:colOff>742950</xdr:colOff>
      <xdr:row>35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21</xdr:row>
      <xdr:rowOff>19050</xdr:rowOff>
    </xdr:from>
    <xdr:to>
      <xdr:col>7</xdr:col>
      <xdr:colOff>457200</xdr:colOff>
      <xdr:row>35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2063750</xdr:colOff>
      <xdr:row>22</xdr:row>
      <xdr:rowOff>0</xdr:rowOff>
    </xdr:from>
    <xdr:to>
      <xdr:col>3</xdr:col>
      <xdr:colOff>609600</xdr:colOff>
      <xdr:row>39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0.64975</cdr:x>
      <cdr:y>0.67424</cdr:y>
    </cdr:from>
    <cdr:to>
      <cdr:x>0.86468</cdr:x>
      <cdr:y>0.76515</cdr:y>
    </cdr:to>
    <cdr:sp macro="" textlink="">
      <cdr:nvSpPr>
        <cdr:cNvPr id="2" name="Rectangular Callout 1"/>
        <cdr:cNvSpPr/>
      </cdr:nvSpPr>
      <cdr:spPr>
        <a:xfrm xmlns:a="http://schemas.openxmlformats.org/drawingml/2006/main">
          <a:off x="4146529" y="2260604"/>
          <a:ext cx="1371629" cy="304803"/>
        </a:xfrm>
        <a:prstGeom xmlns:a="http://schemas.openxmlformats.org/drawingml/2006/main" prst="wedgeRectCallout">
          <a:avLst>
            <a:gd name="adj1" fmla="val 35650"/>
            <a:gd name="adj2" fmla="val -327022"/>
          </a:avLst>
        </a:prstGeom>
        <a:ln xmlns:a="http://schemas.openxmlformats.org/drawingml/2006/main" w="19050">
          <a:solidFill>
            <a:srgbClr val="00B0F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200" b="1"/>
            <a:t>Goal: 20% &lt; 2005</a:t>
          </a:r>
        </a:p>
      </cdr:txBody>
    </cdr:sp>
  </cdr:relSizeAnchor>
  <cdr:relSizeAnchor xmlns:cdr="http://schemas.openxmlformats.org/drawingml/2006/chartDrawing">
    <cdr:from>
      <cdr:x>0.64378</cdr:x>
      <cdr:y>0.17803</cdr:y>
    </cdr:from>
    <cdr:to>
      <cdr:x>0.86667</cdr:x>
      <cdr:y>0.27272</cdr:y>
    </cdr:to>
    <cdr:sp macro="" textlink="">
      <cdr:nvSpPr>
        <cdr:cNvPr id="3" name="Rectangular Callout 2"/>
        <cdr:cNvSpPr/>
      </cdr:nvSpPr>
      <cdr:spPr>
        <a:xfrm xmlns:a="http://schemas.openxmlformats.org/drawingml/2006/main">
          <a:off x="4108431" y="596908"/>
          <a:ext cx="1422420" cy="317477"/>
        </a:xfrm>
        <a:prstGeom xmlns:a="http://schemas.openxmlformats.org/drawingml/2006/main" prst="wedgeRectCallout">
          <a:avLst>
            <a:gd name="adj1" fmla="val -40476"/>
            <a:gd name="adj2" fmla="val 82503"/>
          </a:avLst>
        </a:prstGeom>
        <a:ln xmlns:a="http://schemas.openxmlformats.org/drawingml/2006/main" w="19050">
          <a:solidFill>
            <a:schemeClr val="accent2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b="1"/>
            <a:t>Actual MTCO2e/year</a:t>
          </a:r>
        </a:p>
      </cdr:txBody>
    </cdr:sp>
  </cdr:relSizeAnchor>
  <cdr:relSizeAnchor xmlns:cdr="http://schemas.openxmlformats.org/drawingml/2006/chartDrawing">
    <cdr:from>
      <cdr:x>0.27264</cdr:x>
      <cdr:y>0.5303</cdr:y>
    </cdr:from>
    <cdr:to>
      <cdr:x>0.5204</cdr:x>
      <cdr:y>0.67045</cdr:y>
    </cdr:to>
    <cdr:sp macro="" textlink="">
      <cdr:nvSpPr>
        <cdr:cNvPr id="4" name="Rectangular Callout 3"/>
        <cdr:cNvSpPr/>
      </cdr:nvSpPr>
      <cdr:spPr>
        <a:xfrm xmlns:a="http://schemas.openxmlformats.org/drawingml/2006/main">
          <a:off x="1739900" y="1778000"/>
          <a:ext cx="1581150" cy="469900"/>
        </a:xfrm>
        <a:prstGeom xmlns:a="http://schemas.openxmlformats.org/drawingml/2006/main" prst="wedgeRectCallout">
          <a:avLst>
            <a:gd name="adj1" fmla="val 97485"/>
            <a:gd name="adj2" fmla="val -138172"/>
          </a:avLst>
        </a:prstGeom>
        <a:ln xmlns:a="http://schemas.openxmlformats.org/drawingml/2006/main" w="28575">
          <a:solidFill>
            <a:srgbClr val="00B05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Xcel Emissions Factor, Lbs CO2/MWH</a:t>
          </a:r>
        </a:p>
        <a:p xmlns:a="http://schemas.openxmlformats.org/drawingml/2006/main">
          <a:endParaRPr lang="en-US" sz="12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605117</xdr:colOff>
      <xdr:row>21</xdr:row>
      <xdr:rowOff>159871</xdr:rowOff>
    </xdr:from>
    <xdr:to>
      <xdr:col>11</xdr:col>
      <xdr:colOff>1001058</xdr:colOff>
      <xdr:row>47</xdr:row>
      <xdr:rowOff>89647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terpin/Users/harrahy/Desktop/Dave_Newport_Reports/CU-GHG%2005-09%20all%20scopes%20worksheet%20and%20graphics-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tterpin/PowerData/employees%20folders/Harrahy%20Lynne/DataRequests/Carbon/Carbon_2005-2016_Master_10.12.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k/Downloads/WA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GHGs"/>
      <sheetName val="Fiscal GHGs"/>
      <sheetName val="Tables"/>
      <sheetName val="Fleet"/>
      <sheetName val="One pager"/>
      <sheetName val="Big table"/>
    </sheetNames>
    <sheetDataSet>
      <sheetData sheetId="0"/>
      <sheetData sheetId="1"/>
      <sheetData sheetId="2"/>
      <sheetData sheetId="3" refreshError="1">
        <row r="9">
          <cell r="F9">
            <v>1380.6645815999998</v>
          </cell>
        </row>
        <row r="16">
          <cell r="F16">
            <v>1496.3318332999997</v>
          </cell>
        </row>
        <row r="23">
          <cell r="F23">
            <v>1519.824435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n_2005-2016"/>
      <sheetName val="Summary Calendar"/>
      <sheetName val="Summary FY"/>
      <sheetName val="GasECap"/>
      <sheetName val="ElecECap"/>
      <sheetName val="MAIN - ELECT"/>
      <sheetName val="GAS"/>
      <sheetName val="SqFt"/>
      <sheetName val="Alex10.24.12"/>
      <sheetName val="NewPortRpt2012"/>
      <sheetName val="Compatibility Report"/>
    </sheetNames>
    <sheetDataSet>
      <sheetData sheetId="0" refreshError="1"/>
      <sheetData sheetId="1" refreshError="1">
        <row r="18">
          <cell r="J18">
            <v>923350.8330000001</v>
          </cell>
          <cell r="K18">
            <v>900172.94299999997</v>
          </cell>
          <cell r="L18">
            <v>1039130.7429999999</v>
          </cell>
          <cell r="M18">
            <v>883058.89999999991</v>
          </cell>
          <cell r="N18">
            <v>787925.70099999988</v>
          </cell>
          <cell r="O18">
            <v>821774.60199999996</v>
          </cell>
        </row>
        <row r="19">
          <cell r="D19">
            <v>130115696.32800001</v>
          </cell>
          <cell r="E19">
            <v>131807367.67199987</v>
          </cell>
          <cell r="F19">
            <v>132881393.00000006</v>
          </cell>
          <cell r="G19">
            <v>132189811.64399996</v>
          </cell>
          <cell r="H19">
            <v>130536303.57249996</v>
          </cell>
          <cell r="I19">
            <v>127720811</v>
          </cell>
          <cell r="J19">
            <v>141660521</v>
          </cell>
          <cell r="K19">
            <v>147963868.67000002</v>
          </cell>
          <cell r="L19">
            <v>150821140.19999999</v>
          </cell>
          <cell r="M19">
            <v>150740130.64999998</v>
          </cell>
          <cell r="N19">
            <v>152036493.71999997</v>
          </cell>
          <cell r="O19">
            <v>152578577.34</v>
          </cell>
        </row>
        <row r="37">
          <cell r="D37">
            <v>1849</v>
          </cell>
          <cell r="E37">
            <v>1836</v>
          </cell>
          <cell r="F37">
            <v>1750</v>
          </cell>
          <cell r="G37">
            <v>1646</v>
          </cell>
          <cell r="H37">
            <v>1616</v>
          </cell>
          <cell r="I37">
            <v>1667</v>
          </cell>
          <cell r="J37">
            <v>1613</v>
          </cell>
          <cell r="L37">
            <v>1521</v>
          </cell>
          <cell r="O37">
            <v>1308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ser's Guide"/>
      <sheetName val="Analysis Inputs"/>
      <sheetName val="Summary Data"/>
      <sheetName val="Summary Data NRG"/>
      <sheetName val="Summary Report (MTCO2E)"/>
      <sheetName val="Analysis Results (MTCO2E)"/>
      <sheetName val="Summary Report (energy)"/>
      <sheetName val="Analysis Results (energy)"/>
      <sheetName val="Summary Report (MTCE)"/>
      <sheetName val="Analysis Results (MTCE)"/>
      <sheetName val="Avoided Utility"/>
      <sheetName val="Landfill Gas Collection"/>
      <sheetName val="Landfilling EFs"/>
      <sheetName val="Equivalencies"/>
      <sheetName val="Revisions"/>
      <sheetName val="EFs for web"/>
      <sheetName val="EFs for web (energy)"/>
    </sheetNames>
    <sheetDataSet>
      <sheetData sheetId="0">
        <row r="1">
          <cell r="A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zoomScale="85" zoomScaleNormal="85" workbookViewId="0">
      <selection activeCell="H19" sqref="H19"/>
    </sheetView>
  </sheetViews>
  <sheetFormatPr baseColWidth="10" defaultColWidth="8.83203125" defaultRowHeight="13" x14ac:dyDescent="0.15"/>
  <cols>
    <col min="1" max="1" width="9" style="1" bestFit="1" customWidth="1"/>
    <col min="2" max="2" width="24.33203125" style="1" customWidth="1"/>
    <col min="3" max="3" width="13.1640625" style="1" customWidth="1"/>
    <col min="4" max="4" width="15.6640625" style="1" customWidth="1"/>
    <col min="5" max="5" width="12" style="1" customWidth="1"/>
    <col min="6" max="6" width="14" style="1" customWidth="1"/>
    <col min="7" max="7" width="13.83203125" style="1" customWidth="1"/>
    <col min="8" max="8" width="13.6640625" style="1" customWidth="1"/>
    <col min="9" max="9" width="16.1640625" style="1" bestFit="1" customWidth="1"/>
    <col min="10" max="10" width="16.33203125" style="1" bestFit="1" customWidth="1"/>
    <col min="11" max="11" width="21.33203125" style="1" bestFit="1" customWidth="1"/>
    <col min="12" max="12" width="13.6640625" style="1" bestFit="1" customWidth="1"/>
    <col min="13" max="13" width="12.33203125" style="1" bestFit="1" customWidth="1"/>
    <col min="14" max="14" width="16.33203125" style="1" customWidth="1"/>
    <col min="15" max="15" width="12.5" style="1" customWidth="1"/>
    <col min="16" max="16" width="11.1640625" style="1" bestFit="1" customWidth="1"/>
    <col min="17" max="17" width="10.5" style="1" bestFit="1" customWidth="1"/>
    <col min="18" max="18" width="11" style="1" bestFit="1" customWidth="1"/>
    <col min="19" max="19" width="10" style="1" bestFit="1" customWidth="1"/>
    <col min="20" max="23" width="8" style="1" bestFit="1" customWidth="1"/>
    <col min="24" max="24" width="8.1640625" style="1" bestFit="1" customWidth="1"/>
    <col min="25" max="16384" width="8.83203125" style="1"/>
  </cols>
  <sheetData>
    <row r="1" spans="1:16" ht="24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6" ht="16" x14ac:dyDescent="0.2">
      <c r="A2" s="2"/>
      <c r="B2" s="99" t="s">
        <v>1</v>
      </c>
      <c r="C2" s="99"/>
      <c r="D2" s="99"/>
      <c r="E2" s="99"/>
      <c r="F2" s="99"/>
      <c r="G2" s="99"/>
      <c r="H2" s="99" t="s">
        <v>2</v>
      </c>
      <c r="I2" s="99"/>
      <c r="J2" s="99"/>
      <c r="K2" s="3" t="s">
        <v>3</v>
      </c>
      <c r="L2" s="99" t="s">
        <v>4</v>
      </c>
      <c r="M2" s="99"/>
      <c r="N2" s="4" t="s">
        <v>5</v>
      </c>
    </row>
    <row r="3" spans="1:16" ht="52" x14ac:dyDescent="0.1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 t="s">
        <v>16</v>
      </c>
      <c r="L3" s="8" t="s">
        <v>41</v>
      </c>
      <c r="M3" s="8" t="s">
        <v>40</v>
      </c>
      <c r="N3" s="8" t="s">
        <v>17</v>
      </c>
      <c r="O3" s="5" t="s">
        <v>6</v>
      </c>
    </row>
    <row r="4" spans="1:16" ht="15" x14ac:dyDescent="0.2">
      <c r="A4" s="5">
        <v>2005</v>
      </c>
      <c r="B4" s="9">
        <v>1324306</v>
      </c>
      <c r="C4" s="10">
        <v>117.65</v>
      </c>
      <c r="D4" s="11">
        <f t="shared" ref="D4:D11" si="0">(C4*B4)/2000*0.9072</f>
        <v>70672.966968240013</v>
      </c>
      <c r="E4" s="11">
        <f>[1]Fleet!F9</f>
        <v>1380.6645815999998</v>
      </c>
      <c r="F4" s="12">
        <f>'[2]Summary Calendar'!D19</f>
        <v>130115696.32800001</v>
      </c>
      <c r="G4" s="12">
        <v>54337349.688000023</v>
      </c>
      <c r="H4" s="12">
        <f t="shared" ref="H4:H13" si="1">F4-G4</f>
        <v>75778346.639999986</v>
      </c>
      <c r="I4" s="13">
        <f>'[2]Summary Calendar'!D37</f>
        <v>1849</v>
      </c>
      <c r="J4" s="12">
        <f t="shared" ref="J4:J13" si="2">(I4*H4)/1000/2000*0.9072</f>
        <v>63555.784308386494</v>
      </c>
      <c r="K4" s="14">
        <f t="shared" ref="K4:K13" si="3">E4+D4+J4</f>
        <v>135609.41585822651</v>
      </c>
      <c r="L4" s="15">
        <v>0</v>
      </c>
      <c r="M4" s="15">
        <v>0</v>
      </c>
      <c r="N4" s="16">
        <f>J4+D4+E4-L4-M4</f>
        <v>135609.41585822651</v>
      </c>
      <c r="O4" s="5">
        <v>2005</v>
      </c>
      <c r="P4" s="51"/>
    </row>
    <row r="5" spans="1:16" ht="15" x14ac:dyDescent="0.2">
      <c r="A5" s="5">
        <v>2006</v>
      </c>
      <c r="B5" s="9">
        <v>1115359</v>
      </c>
      <c r="C5" s="10">
        <v>117.65</v>
      </c>
      <c r="D5" s="11">
        <f t="shared" si="0"/>
        <v>59522.293008360008</v>
      </c>
      <c r="E5" s="11">
        <f>[1]Fleet!F16</f>
        <v>1496.3318332999997</v>
      </c>
      <c r="F5" s="12">
        <f>'[2]Summary Calendar'!E19</f>
        <v>131807367.67199987</v>
      </c>
      <c r="G5" s="12">
        <v>28697757.07199996</v>
      </c>
      <c r="H5" s="12">
        <f t="shared" si="1"/>
        <v>103109610.5999999</v>
      </c>
      <c r="I5" s="13">
        <f>'[2]Summary Calendar'!E37</f>
        <v>1836</v>
      </c>
      <c r="J5" s="12">
        <f t="shared" si="2"/>
        <v>85870.673559941686</v>
      </c>
      <c r="K5" s="14">
        <f t="shared" si="3"/>
        <v>146889.2984016017</v>
      </c>
      <c r="L5" s="15">
        <v>8371</v>
      </c>
      <c r="M5" s="15">
        <v>0</v>
      </c>
      <c r="N5" s="16">
        <f t="shared" ref="N5:N13" si="4">J5+D5+E5-L5-M5</f>
        <v>138518.2984016017</v>
      </c>
      <c r="O5" s="5">
        <v>2006</v>
      </c>
      <c r="P5" s="51"/>
    </row>
    <row r="6" spans="1:16" ht="15" x14ac:dyDescent="0.2">
      <c r="A6" s="5">
        <v>2007</v>
      </c>
      <c r="B6" s="9">
        <v>1150288.6579999998</v>
      </c>
      <c r="C6" s="10">
        <v>117.65</v>
      </c>
      <c r="D6" s="11">
        <f t="shared" si="0"/>
        <v>61386.350534374309</v>
      </c>
      <c r="E6" s="11">
        <f>[1]Fleet!F23</f>
        <v>1519.824435</v>
      </c>
      <c r="F6" s="12">
        <f>'[2]Summary Calendar'!F19</f>
        <v>132881393.00000006</v>
      </c>
      <c r="G6" s="12">
        <v>29503229.000000034</v>
      </c>
      <c r="H6" s="12">
        <f t="shared" si="1"/>
        <v>103378164.00000003</v>
      </c>
      <c r="I6" s="13">
        <f>'[2]Summary Calendar'!F37</f>
        <v>1750</v>
      </c>
      <c r="J6" s="12">
        <f t="shared" si="2"/>
        <v>82061.586583200027</v>
      </c>
      <c r="K6" s="14">
        <f t="shared" si="3"/>
        <v>144967.76155257435</v>
      </c>
      <c r="L6" s="15">
        <v>2053</v>
      </c>
      <c r="M6" s="15">
        <v>2881</v>
      </c>
      <c r="N6" s="16">
        <f t="shared" si="4"/>
        <v>140033.76155257432</v>
      </c>
      <c r="O6" s="5">
        <v>2007</v>
      </c>
      <c r="P6" s="51"/>
    </row>
    <row r="7" spans="1:16" ht="15" x14ac:dyDescent="0.2">
      <c r="A7" s="5">
        <v>2008</v>
      </c>
      <c r="B7" s="9">
        <v>1112305.713</v>
      </c>
      <c r="C7" s="10">
        <v>117.65</v>
      </c>
      <c r="D7" s="11">
        <f t="shared" si="0"/>
        <v>59359.351172186522</v>
      </c>
      <c r="E7" s="11">
        <v>1476</v>
      </c>
      <c r="F7" s="12">
        <f>'[2]Summary Calendar'!G19</f>
        <v>132189811.64399996</v>
      </c>
      <c r="G7" s="12">
        <v>25010141.003999971</v>
      </c>
      <c r="H7" s="12">
        <f t="shared" si="1"/>
        <v>107179670.63999999</v>
      </c>
      <c r="I7" s="13">
        <f>'[2]Summary Calendar'!G37</f>
        <v>1646</v>
      </c>
      <c r="J7" s="12">
        <f t="shared" si="2"/>
        <v>80023.085899392376</v>
      </c>
      <c r="K7" s="14">
        <f t="shared" si="3"/>
        <v>140858.4370715789</v>
      </c>
      <c r="L7" s="15">
        <v>1564</v>
      </c>
      <c r="M7" s="15">
        <v>2567</v>
      </c>
      <c r="N7" s="16">
        <f t="shared" si="4"/>
        <v>136727.4370715789</v>
      </c>
      <c r="O7" s="5">
        <v>2008</v>
      </c>
      <c r="P7" s="51"/>
    </row>
    <row r="8" spans="1:16" s="17" customFormat="1" ht="15" x14ac:dyDescent="0.2">
      <c r="A8" s="5">
        <v>2009</v>
      </c>
      <c r="B8" s="9">
        <v>913786.00783999998</v>
      </c>
      <c r="C8" s="10">
        <v>117.65</v>
      </c>
      <c r="D8" s="11">
        <f t="shared" si="0"/>
        <v>48765.140645829757</v>
      </c>
      <c r="E8" s="11">
        <v>1518</v>
      </c>
      <c r="F8" s="12">
        <f>'[2]Summary Calendar'!H19</f>
        <v>130536303.57249996</v>
      </c>
      <c r="G8" s="12">
        <v>4089082.2024999959</v>
      </c>
      <c r="H8" s="12">
        <f t="shared" si="1"/>
        <v>126447221.36999996</v>
      </c>
      <c r="I8" s="13">
        <f>'[2]Summary Calendar'!H37</f>
        <v>1616</v>
      </c>
      <c r="J8" s="12">
        <f t="shared" si="2"/>
        <v>92688.038735306065</v>
      </c>
      <c r="K8" s="14">
        <f t="shared" si="3"/>
        <v>142971.17938113582</v>
      </c>
      <c r="L8" s="15">
        <v>1565</v>
      </c>
      <c r="M8" s="15">
        <v>2408</v>
      </c>
      <c r="N8" s="16">
        <f t="shared" si="4"/>
        <v>138998.17938113582</v>
      </c>
      <c r="O8" s="5">
        <v>2009</v>
      </c>
      <c r="P8" s="51"/>
    </row>
    <row r="9" spans="1:16" ht="15" x14ac:dyDescent="0.2">
      <c r="A9" s="5">
        <v>2010</v>
      </c>
      <c r="B9" s="9">
        <v>895652</v>
      </c>
      <c r="C9" s="10">
        <v>117.65</v>
      </c>
      <c r="D9" s="11">
        <f t="shared" si="0"/>
        <v>47797.40045808001</v>
      </c>
      <c r="E9" s="11">
        <v>1550</v>
      </c>
      <c r="F9" s="12">
        <f>'[2]Summary Calendar'!I19</f>
        <v>127720811</v>
      </c>
      <c r="G9" s="12">
        <v>3215410</v>
      </c>
      <c r="H9" s="12">
        <f t="shared" si="1"/>
        <v>124505401</v>
      </c>
      <c r="I9" s="13">
        <f>'[2]Summary Calendar'!I37</f>
        <v>1667</v>
      </c>
      <c r="J9" s="12">
        <f t="shared" si="2"/>
        <v>94144.908372631195</v>
      </c>
      <c r="K9" s="14">
        <f t="shared" si="3"/>
        <v>143492.3088307112</v>
      </c>
      <c r="L9" s="15">
        <v>4000</v>
      </c>
      <c r="M9" s="15">
        <v>3915</v>
      </c>
      <c r="N9" s="16">
        <f t="shared" si="4"/>
        <v>135577.3088307112</v>
      </c>
      <c r="O9" s="5">
        <v>2010</v>
      </c>
      <c r="P9" s="51"/>
    </row>
    <row r="10" spans="1:16" ht="15" x14ac:dyDescent="0.2">
      <c r="A10" s="5">
        <v>2011</v>
      </c>
      <c r="B10" s="9">
        <f>'[2]Summary Calendar'!J18</f>
        <v>923350.8330000001</v>
      </c>
      <c r="C10" s="10">
        <v>117.65</v>
      </c>
      <c r="D10" s="11">
        <f t="shared" si="0"/>
        <v>49275.577487911331</v>
      </c>
      <c r="E10" s="11">
        <v>1392</v>
      </c>
      <c r="F10" s="12">
        <f>'[2]Summary Calendar'!J19</f>
        <v>141660521</v>
      </c>
      <c r="G10" s="12">
        <f>4151.86*1000</f>
        <v>4151859.9999999995</v>
      </c>
      <c r="H10" s="12">
        <f t="shared" si="1"/>
        <v>137508661</v>
      </c>
      <c r="I10" s="13">
        <f>'[2]Summary Calendar'!J37</f>
        <v>1613</v>
      </c>
      <c r="J10" s="12">
        <f t="shared" si="2"/>
        <v>100609.1468795448</v>
      </c>
      <c r="K10" s="14">
        <f t="shared" si="3"/>
        <v>151276.72436745613</v>
      </c>
      <c r="L10" s="15">
        <v>4000</v>
      </c>
      <c r="M10" s="15">
        <v>8000</v>
      </c>
      <c r="N10" s="16">
        <f t="shared" si="4"/>
        <v>139276.72436745613</v>
      </c>
      <c r="O10" s="5">
        <v>2011</v>
      </c>
      <c r="P10" s="51"/>
    </row>
    <row r="11" spans="1:16" ht="15" x14ac:dyDescent="0.2">
      <c r="A11" s="5">
        <v>2012</v>
      </c>
      <c r="B11" s="9">
        <f>'[2]Summary Calendar'!K18</f>
        <v>900172.94299999997</v>
      </c>
      <c r="C11" s="10">
        <v>117.65</v>
      </c>
      <c r="D11" s="11">
        <f t="shared" si="0"/>
        <v>48038.665283055721</v>
      </c>
      <c r="E11" s="11">
        <f>'Fleet emissions'!C17</f>
        <v>1772.2499287082098</v>
      </c>
      <c r="F11" s="12">
        <f>'[2]Summary Calendar'!K19</f>
        <v>147963868.67000002</v>
      </c>
      <c r="G11" s="12">
        <f>4370.54*1000</f>
        <v>4370540</v>
      </c>
      <c r="H11" s="12">
        <f t="shared" si="1"/>
        <v>143593328.67000002</v>
      </c>
      <c r="I11" s="13">
        <v>1544</v>
      </c>
      <c r="J11" s="12">
        <f t="shared" si="2"/>
        <v>100566.79391799534</v>
      </c>
      <c r="K11" s="14">
        <f t="shared" si="3"/>
        <v>150377.70912975929</v>
      </c>
      <c r="L11" s="15"/>
      <c r="M11" s="15">
        <v>4000</v>
      </c>
      <c r="N11" s="16">
        <f t="shared" si="4"/>
        <v>146377.70912975929</v>
      </c>
      <c r="O11" s="5">
        <v>2012</v>
      </c>
      <c r="P11" s="51"/>
    </row>
    <row r="12" spans="1:16" ht="15" x14ac:dyDescent="0.2">
      <c r="A12" s="5">
        <v>2013</v>
      </c>
      <c r="B12" s="9">
        <f>'[2]Summary Calendar'!L18</f>
        <v>1039130.7429999999</v>
      </c>
      <c r="C12" s="10">
        <v>117.65</v>
      </c>
      <c r="D12" s="11">
        <f>(C12*B12)/2000*0.9072</f>
        <v>55454.29279616772</v>
      </c>
      <c r="E12" s="11">
        <f>'Fleet emissions'!D17</f>
        <v>1848.7428380745221</v>
      </c>
      <c r="F12" s="12">
        <f>'[2]Summary Calendar'!L19</f>
        <v>150821140.19999999</v>
      </c>
      <c r="G12" s="12">
        <f>7772.8*1000</f>
        <v>7772800</v>
      </c>
      <c r="H12" s="12">
        <f t="shared" si="1"/>
        <v>143048340.19999999</v>
      </c>
      <c r="I12" s="13">
        <f>'[2]Summary Calendar'!L37</f>
        <v>1521</v>
      </c>
      <c r="J12" s="12">
        <f t="shared" si="2"/>
        <v>98692.711941489106</v>
      </c>
      <c r="K12" s="14">
        <f t="shared" si="3"/>
        <v>155995.74757573134</v>
      </c>
      <c r="L12" s="15"/>
      <c r="M12" s="15">
        <v>6000</v>
      </c>
      <c r="N12" s="16">
        <f t="shared" si="4"/>
        <v>149995.74757573134</v>
      </c>
      <c r="O12" s="5">
        <v>2013</v>
      </c>
      <c r="P12" s="51"/>
    </row>
    <row r="13" spans="1:16" ht="15" x14ac:dyDescent="0.2">
      <c r="A13" s="5">
        <v>2014</v>
      </c>
      <c r="B13" s="9">
        <f>'[2]Summary Calendar'!M18</f>
        <v>883058.89999999991</v>
      </c>
      <c r="C13" s="10">
        <v>117.65</v>
      </c>
      <c r="D13" s="11">
        <f>(C13*B13)/2000*0.9072</f>
        <v>47125.356579755993</v>
      </c>
      <c r="E13" s="11">
        <f>'Fleet emissions'!E17</f>
        <v>1851.9030158895162</v>
      </c>
      <c r="F13" s="12">
        <f>'[2]Summary Calendar'!M19</f>
        <v>150740130.64999998</v>
      </c>
      <c r="G13" s="12">
        <f>6713640</f>
        <v>6713640</v>
      </c>
      <c r="H13" s="12">
        <f t="shared" si="1"/>
        <v>144026490.64999998</v>
      </c>
      <c r="I13" s="13">
        <v>1452</v>
      </c>
      <c r="J13" s="12">
        <f t="shared" si="2"/>
        <v>94859.764262635668</v>
      </c>
      <c r="K13" s="14">
        <f t="shared" si="3"/>
        <v>143837.02385828117</v>
      </c>
      <c r="L13" s="15"/>
      <c r="M13" s="15">
        <v>11740</v>
      </c>
      <c r="N13" s="16">
        <f t="shared" si="4"/>
        <v>132097.02385828117</v>
      </c>
      <c r="O13" s="5">
        <v>2014</v>
      </c>
      <c r="P13" s="51"/>
    </row>
    <row r="14" spans="1:16" s="17" customFormat="1" ht="15" x14ac:dyDescent="0.2">
      <c r="A14" s="5">
        <v>2015</v>
      </c>
      <c r="B14" s="9">
        <f>'[2]Summary Calendar'!N18</f>
        <v>787925.70099999988</v>
      </c>
      <c r="C14" s="10">
        <v>117.65</v>
      </c>
      <c r="D14" s="11">
        <f>(C14*B14)/2000*0.9072</f>
        <v>42048.474476594034</v>
      </c>
      <c r="E14" s="11">
        <f>'Fleet emissions'!F17</f>
        <v>2032.7658652717041</v>
      </c>
      <c r="F14" s="12">
        <f>'[2]Summary Calendar'!N19</f>
        <v>152036493.71999997</v>
      </c>
      <c r="G14" s="12">
        <v>247888</v>
      </c>
      <c r="H14" s="12">
        <f>F14-G14</f>
        <v>151788605.71999997</v>
      </c>
      <c r="I14" s="13">
        <v>1483</v>
      </c>
      <c r="J14" s="12">
        <f>(I14*H14)/1000/2000*0.9072</f>
        <v>102106.4950354599</v>
      </c>
      <c r="K14" s="14">
        <f>E14+D14+J14</f>
        <v>146187.73537732565</v>
      </c>
      <c r="L14" s="15"/>
      <c r="M14" s="15">
        <v>14434</v>
      </c>
      <c r="N14" s="16">
        <f>J14+D14+E14-L14-M14</f>
        <v>131753.73537732565</v>
      </c>
      <c r="O14" s="5">
        <v>2015</v>
      </c>
      <c r="P14" s="51"/>
    </row>
    <row r="15" spans="1:16" s="17" customFormat="1" ht="15" x14ac:dyDescent="0.2">
      <c r="A15" s="5">
        <v>2016</v>
      </c>
      <c r="B15" s="9">
        <f>'[2]Summary Calendar'!O18</f>
        <v>821774.60199999996</v>
      </c>
      <c r="C15" s="10">
        <v>117.65</v>
      </c>
      <c r="D15" s="11">
        <f>(C15*B15)/2000*0.9072</f>
        <v>43854.856281316082</v>
      </c>
      <c r="E15" s="11">
        <f>'Fleet emissions'!G17</f>
        <v>2006.492456604861</v>
      </c>
      <c r="F15" s="12">
        <f>'[2]Summary Calendar'!O19</f>
        <v>152578577.34</v>
      </c>
      <c r="G15" s="12">
        <v>434230</v>
      </c>
      <c r="H15" s="12">
        <f>F15-G15</f>
        <v>152144347.34</v>
      </c>
      <c r="I15" s="13">
        <f>'[2]Summary Calendar'!O37</f>
        <v>1308</v>
      </c>
      <c r="J15" s="12">
        <f>(I15*H15)/1000/2000*0.9072</f>
        <v>90268.580147078581</v>
      </c>
      <c r="K15" s="14">
        <f>E15+D15+J15</f>
        <v>136129.92888499954</v>
      </c>
      <c r="L15" s="15"/>
      <c r="M15" s="15">
        <v>12092</v>
      </c>
      <c r="N15" s="16">
        <f>J15+D15+E15-L15-M15</f>
        <v>124037.92888499954</v>
      </c>
      <c r="O15" s="5">
        <v>2016</v>
      </c>
      <c r="P15" s="51"/>
    </row>
    <row r="16" spans="1:16" s="17" customFormat="1" ht="15" x14ac:dyDescent="0.2">
      <c r="A16" s="5">
        <v>2017</v>
      </c>
      <c r="B16" s="9">
        <v>0</v>
      </c>
      <c r="C16" s="10">
        <v>117.65</v>
      </c>
      <c r="D16" s="11">
        <f>(C16*B16)/2000*0.9072</f>
        <v>0</v>
      </c>
      <c r="E16" s="11">
        <f>'Fleet emissions'!H17</f>
        <v>2002.7731938980651</v>
      </c>
      <c r="F16" s="12" t="e">
        <f>'[2]Summary Calendar'!O20</f>
        <v>#REF!</v>
      </c>
      <c r="G16" s="12"/>
      <c r="H16" s="12" t="e">
        <f>F16-G16</f>
        <v>#REF!</v>
      </c>
      <c r="I16" s="13" t="e">
        <f>'[2]Summary Calendar'!O38</f>
        <v>#REF!</v>
      </c>
      <c r="J16" s="12" t="e">
        <f>(I16*H16)/1000/2000*0.9072</f>
        <v>#REF!</v>
      </c>
      <c r="K16" s="14" t="e">
        <f>E16+D16+J16</f>
        <v>#REF!</v>
      </c>
      <c r="L16" s="15"/>
      <c r="M16" s="15"/>
      <c r="N16" s="16" t="e">
        <f>J16+D16+E16-L16-M16</f>
        <v>#REF!</v>
      </c>
      <c r="O16" s="5">
        <v>2017</v>
      </c>
      <c r="P16" s="51"/>
    </row>
    <row r="17" spans="1:16" s="17" customFormat="1" ht="15" x14ac:dyDescent="0.2">
      <c r="A17" s="21"/>
      <c r="B17" s="22"/>
      <c r="C17" s="21"/>
      <c r="D17" s="23"/>
      <c r="E17" s="24"/>
      <c r="F17" s="22"/>
      <c r="G17" s="22"/>
      <c r="H17" s="22"/>
      <c r="I17" s="25"/>
      <c r="J17" s="22"/>
      <c r="K17" s="23"/>
      <c r="L17" s="22"/>
      <c r="M17" s="22"/>
      <c r="N17" s="26"/>
      <c r="O17" s="19"/>
      <c r="P17" s="20"/>
    </row>
    <row r="18" spans="1:16" s="17" customFormat="1" ht="15" x14ac:dyDescent="0.2">
      <c r="A18" s="21"/>
      <c r="B18" s="22"/>
      <c r="C18" s="21"/>
      <c r="D18" s="23"/>
      <c r="E18" s="27"/>
      <c r="F18" s="28"/>
      <c r="G18" s="28"/>
      <c r="H18" s="22"/>
      <c r="I18" s="25"/>
      <c r="J18" s="22"/>
      <c r="K18" s="23"/>
      <c r="L18" s="22"/>
      <c r="M18" s="22"/>
      <c r="N18" s="26"/>
      <c r="O18" s="19"/>
      <c r="P18" s="20"/>
    </row>
    <row r="19" spans="1:16" s="17" customFormat="1" ht="15" x14ac:dyDescent="0.2">
      <c r="A19" s="21"/>
      <c r="B19" s="22"/>
      <c r="C19" s="21"/>
      <c r="D19" s="23"/>
      <c r="E19" s="27"/>
      <c r="F19" s="28"/>
      <c r="G19" s="28"/>
      <c r="H19" s="22"/>
      <c r="I19" s="25"/>
      <c r="J19" s="22"/>
      <c r="K19" s="23"/>
      <c r="L19" s="22"/>
      <c r="M19" s="22"/>
      <c r="N19" s="26"/>
      <c r="O19" s="19"/>
      <c r="P19" s="20"/>
    </row>
    <row r="20" spans="1:16" s="17" customFormat="1" x14ac:dyDescent="0.15">
      <c r="B20" s="29"/>
      <c r="C20" s="29"/>
      <c r="D20" s="29"/>
      <c r="E20" s="30"/>
      <c r="F20" s="31"/>
      <c r="G20" s="31"/>
      <c r="H20" s="32"/>
      <c r="I20" s="29"/>
      <c r="J20" s="29"/>
      <c r="K20" s="29"/>
      <c r="L20" s="29"/>
      <c r="M20" s="29"/>
      <c r="N20" s="29"/>
    </row>
    <row r="21" spans="1:16" x14ac:dyDescent="0.15">
      <c r="H21" s="33"/>
    </row>
    <row r="22" spans="1:16" ht="14" x14ac:dyDescent="0.2">
      <c r="A22" s="34" t="s">
        <v>18</v>
      </c>
      <c r="H22" s="33"/>
    </row>
    <row r="23" spans="1:16" ht="14" x14ac:dyDescent="0.2">
      <c r="A23" s="35" t="s">
        <v>19</v>
      </c>
    </row>
    <row r="24" spans="1:16" ht="14" x14ac:dyDescent="0.2">
      <c r="A24" s="35" t="s">
        <v>20</v>
      </c>
      <c r="F24" s="18"/>
    </row>
    <row r="27" spans="1:16" x14ac:dyDescent="0.15">
      <c r="G27" s="36"/>
      <c r="H27" s="36"/>
      <c r="I27" s="36"/>
      <c r="J27" s="36"/>
    </row>
    <row r="28" spans="1:16" x14ac:dyDescent="0.15">
      <c r="G28" s="36"/>
      <c r="H28" s="36"/>
      <c r="I28" s="36"/>
      <c r="J28" s="36"/>
    </row>
    <row r="29" spans="1:16" x14ac:dyDescent="0.15">
      <c r="H29" s="37"/>
    </row>
  </sheetData>
  <mergeCells count="4">
    <mergeCell ref="A1:N1"/>
    <mergeCell ref="B2:G2"/>
    <mergeCell ref="H2:J2"/>
    <mergeCell ref="L2:M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abSelected="1" zoomScale="80" zoomScaleNormal="80" workbookViewId="0">
      <selection activeCell="B42" sqref="B42"/>
    </sheetView>
  </sheetViews>
  <sheetFormatPr baseColWidth="10" defaultRowHeight="15" x14ac:dyDescent="0.2"/>
  <cols>
    <col min="1" max="1" width="22" customWidth="1"/>
    <col min="2" max="2" width="22" style="38" customWidth="1"/>
    <col min="3" max="4" width="13.33203125" customWidth="1"/>
    <col min="5" max="5" width="13.5" customWidth="1"/>
    <col min="6" max="6" width="15.1640625" customWidth="1"/>
    <col min="7" max="7" width="13.5" customWidth="1"/>
    <col min="8" max="8" width="14.6640625" customWidth="1"/>
  </cols>
  <sheetData>
    <row r="1" spans="1:8" ht="26" x14ac:dyDescent="0.3">
      <c r="A1" s="46" t="s">
        <v>37</v>
      </c>
    </row>
    <row r="2" spans="1:8" x14ac:dyDescent="0.2">
      <c r="C2" s="100" t="s">
        <v>32</v>
      </c>
      <c r="D2" s="100"/>
      <c r="E2" s="100"/>
      <c r="F2" s="100"/>
      <c r="G2" s="100"/>
      <c r="H2" s="100"/>
    </row>
    <row r="3" spans="1:8" s="47" customFormat="1" x14ac:dyDescent="0.2">
      <c r="A3" s="47" t="s">
        <v>21</v>
      </c>
      <c r="B3" s="48"/>
      <c r="C3" s="49" t="s">
        <v>22</v>
      </c>
      <c r="D3" s="49" t="s">
        <v>23</v>
      </c>
      <c r="E3" s="49" t="s">
        <v>24</v>
      </c>
      <c r="F3" s="49" t="s">
        <v>25</v>
      </c>
      <c r="G3" s="49" t="s">
        <v>26</v>
      </c>
      <c r="H3" s="49" t="s">
        <v>27</v>
      </c>
    </row>
    <row r="4" spans="1:8" x14ac:dyDescent="0.2">
      <c r="A4" t="s">
        <v>28</v>
      </c>
      <c r="C4" s="50">
        <v>53790.559999999998</v>
      </c>
      <c r="D4" s="50">
        <v>58492.2</v>
      </c>
      <c r="E4" s="50">
        <v>56514.41</v>
      </c>
      <c r="F4" s="50">
        <v>2155.9299999999998</v>
      </c>
      <c r="G4" s="50">
        <v>31133.93</v>
      </c>
      <c r="H4" s="50">
        <v>73603</v>
      </c>
    </row>
    <row r="5" spans="1:8" x14ac:dyDescent="0.2">
      <c r="A5" t="s">
        <v>29</v>
      </c>
      <c r="C5" s="50">
        <v>23099.47</v>
      </c>
      <c r="D5" s="50">
        <v>24863.17</v>
      </c>
      <c r="E5" s="50">
        <v>27167.06</v>
      </c>
      <c r="F5" s="50">
        <v>83630.960000000006</v>
      </c>
      <c r="G5" s="50">
        <v>62972.800000000003</v>
      </c>
      <c r="H5" s="50">
        <v>17423.57</v>
      </c>
    </row>
    <row r="6" spans="1:8" x14ac:dyDescent="0.2">
      <c r="A6" t="s">
        <v>30</v>
      </c>
      <c r="C6" s="50">
        <v>110251.29</v>
      </c>
      <c r="D6" s="50">
        <v>111363.83</v>
      </c>
      <c r="E6" s="50">
        <v>114410.24000000001</v>
      </c>
      <c r="F6" s="50">
        <v>127397.79</v>
      </c>
      <c r="G6" s="50">
        <v>118787.73</v>
      </c>
      <c r="H6" s="50">
        <v>125849.48</v>
      </c>
    </row>
    <row r="7" spans="1:8" x14ac:dyDescent="0.2">
      <c r="A7" t="s">
        <v>31</v>
      </c>
      <c r="C7" s="50">
        <v>13131.04</v>
      </c>
      <c r="D7" s="50">
        <v>14111.76</v>
      </c>
      <c r="E7" s="50">
        <v>8723.23</v>
      </c>
      <c r="F7" s="50">
        <v>8251.01</v>
      </c>
      <c r="G7" s="50">
        <v>6457.26</v>
      </c>
      <c r="H7" s="50">
        <v>6991.59</v>
      </c>
    </row>
    <row r="8" spans="1:8" x14ac:dyDescent="0.2">
      <c r="D8" s="39"/>
      <c r="E8" s="39"/>
      <c r="F8" s="39"/>
      <c r="G8" s="39"/>
      <c r="H8" s="39"/>
    </row>
    <row r="9" spans="1:8" s="42" customFormat="1" x14ac:dyDescent="0.2">
      <c r="A9" s="42" t="s">
        <v>36</v>
      </c>
      <c r="B9" s="43"/>
      <c r="C9" s="45">
        <f>SUM(C4:C7)</f>
        <v>200272.36000000002</v>
      </c>
      <c r="D9" s="45">
        <f>SUM(D4:D7)</f>
        <v>208830.96000000002</v>
      </c>
      <c r="E9" s="45">
        <f t="shared" ref="E9:H9" si="0">SUM(E4:E7)</f>
        <v>206814.94000000003</v>
      </c>
      <c r="F9" s="45">
        <f t="shared" si="0"/>
        <v>221435.69</v>
      </c>
      <c r="G9" s="45">
        <f t="shared" si="0"/>
        <v>219351.72000000003</v>
      </c>
      <c r="H9" s="45">
        <f t="shared" si="0"/>
        <v>223867.63999999998</v>
      </c>
    </row>
    <row r="11" spans="1:8" s="47" customFormat="1" x14ac:dyDescent="0.2">
      <c r="B11" s="48" t="s">
        <v>34</v>
      </c>
      <c r="C11" s="100" t="s">
        <v>33</v>
      </c>
      <c r="D11" s="100"/>
      <c r="E11" s="100"/>
      <c r="F11" s="100"/>
      <c r="G11" s="100"/>
      <c r="H11" s="100"/>
    </row>
    <row r="12" spans="1:8" x14ac:dyDescent="0.2">
      <c r="A12" t="s">
        <v>28</v>
      </c>
      <c r="B12" s="38">
        <v>20.440000000000001</v>
      </c>
      <c r="C12" s="41">
        <f>C4*$B12*0.00045359237</f>
        <v>498.71530642191601</v>
      </c>
      <c r="D12" s="41">
        <f>D4*$B12*0.00045359237</f>
        <v>542.3062233650661</v>
      </c>
      <c r="E12" s="41">
        <f>E4*$B12*0.00045359237</f>
        <v>523.96928569629677</v>
      </c>
      <c r="F12" s="41">
        <f t="shared" ref="F12:H12" si="1">F4*$B12*0.00045359237</f>
        <v>19.988549860313803</v>
      </c>
      <c r="G12" s="41">
        <f t="shared" si="1"/>
        <v>288.6559916845722</v>
      </c>
      <c r="H12" s="41">
        <f t="shared" si="1"/>
        <v>682.40491823420837</v>
      </c>
    </row>
    <row r="13" spans="1:8" x14ac:dyDescent="0.2">
      <c r="A13" t="s">
        <v>29</v>
      </c>
      <c r="B13" s="38">
        <v>22.38</v>
      </c>
      <c r="C13" s="41">
        <f t="shared" ref="C13:D15" si="2">C5*$B13*0.00045359237</f>
        <v>234.49189601732249</v>
      </c>
      <c r="D13" s="41">
        <f t="shared" si="2"/>
        <v>252.3959153305687</v>
      </c>
      <c r="E13" s="41">
        <f t="shared" ref="E13:H13" si="3">E5*$B13*0.00045359237</f>
        <v>275.78361791921458</v>
      </c>
      <c r="F13" s="41">
        <f t="shared" si="3"/>
        <v>848.97109657272904</v>
      </c>
      <c r="G13" s="41">
        <f t="shared" si="3"/>
        <v>639.26190815285565</v>
      </c>
      <c r="H13" s="41">
        <f t="shared" si="3"/>
        <v>176.87358041940092</v>
      </c>
    </row>
    <row r="14" spans="1:8" x14ac:dyDescent="0.2">
      <c r="A14" t="s">
        <v>30</v>
      </c>
      <c r="B14" s="38">
        <v>19.38</v>
      </c>
      <c r="C14" s="41">
        <f t="shared" si="2"/>
        <v>969.17720929861832</v>
      </c>
      <c r="D14" s="41">
        <f t="shared" si="2"/>
        <v>978.95712581871601</v>
      </c>
      <c r="E14" s="41">
        <f t="shared" ref="E14:H14" si="4">E6*$B14*0.00045359237</f>
        <v>1005.7369588907774</v>
      </c>
      <c r="F14" s="41">
        <f t="shared" si="4"/>
        <v>1119.9055773679511</v>
      </c>
      <c r="G14" s="41">
        <f t="shared" si="4"/>
        <v>1044.2178106062775</v>
      </c>
      <c r="H14" s="41">
        <f t="shared" si="4"/>
        <v>1106.2949723135418</v>
      </c>
    </row>
    <row r="15" spans="1:8" x14ac:dyDescent="0.2">
      <c r="A15" t="s">
        <v>31</v>
      </c>
      <c r="B15" s="38">
        <v>11.73</v>
      </c>
      <c r="C15" s="41">
        <f t="shared" si="2"/>
        <v>69.865516970353113</v>
      </c>
      <c r="D15" s="41">
        <f t="shared" si="2"/>
        <v>75.083573560171175</v>
      </c>
      <c r="E15" s="41">
        <f t="shared" ref="E15:H15" si="5">E7*$B15*0.00045359237</f>
        <v>46.413153383227318</v>
      </c>
      <c r="F15" s="41">
        <f t="shared" si="5"/>
        <v>43.900641470710106</v>
      </c>
      <c r="G15" s="41">
        <f t="shared" si="5"/>
        <v>34.356746161155726</v>
      </c>
      <c r="H15" s="41">
        <f t="shared" si="5"/>
        <v>37.199722930914163</v>
      </c>
    </row>
    <row r="17" spans="1:8" s="42" customFormat="1" x14ac:dyDescent="0.2">
      <c r="A17" s="42" t="s">
        <v>35</v>
      </c>
      <c r="B17" s="43"/>
      <c r="C17" s="44">
        <f>SUM(C12:C15)</f>
        <v>1772.2499287082098</v>
      </c>
      <c r="D17" s="44">
        <f>SUM(D12:D15)</f>
        <v>1848.7428380745221</v>
      </c>
      <c r="E17" s="44">
        <f t="shared" ref="E17:H17" si="6">SUM(E12:E15)</f>
        <v>1851.9030158895162</v>
      </c>
      <c r="F17" s="44">
        <f t="shared" si="6"/>
        <v>2032.7658652717041</v>
      </c>
      <c r="G17" s="44">
        <f t="shared" si="6"/>
        <v>2006.492456604861</v>
      </c>
      <c r="H17" s="44">
        <f t="shared" si="6"/>
        <v>2002.7731938980651</v>
      </c>
    </row>
    <row r="19" spans="1:8" x14ac:dyDescent="0.2">
      <c r="C19" s="49" t="s">
        <v>39</v>
      </c>
      <c r="D19" s="49" t="s">
        <v>23</v>
      </c>
      <c r="E19" s="49" t="s">
        <v>24</v>
      </c>
      <c r="F19" s="49" t="s">
        <v>25</v>
      </c>
      <c r="G19" s="49" t="s">
        <v>26</v>
      </c>
      <c r="H19" s="49" t="s">
        <v>27</v>
      </c>
    </row>
    <row r="20" spans="1:8" x14ac:dyDescent="0.2">
      <c r="A20" s="42" t="s">
        <v>38</v>
      </c>
      <c r="C20" s="40">
        <f>C17/C9</f>
        <v>8.8491988046089324E-3</v>
      </c>
      <c r="D20" s="40">
        <f>D17/D9</f>
        <v>8.8528197067835237E-3</v>
      </c>
      <c r="E20" s="40">
        <f t="shared" ref="E20:H20" si="7">E17/E9</f>
        <v>8.9543966982729376E-3</v>
      </c>
      <c r="F20" s="40">
        <f t="shared" si="7"/>
        <v>9.1799378197421743E-3</v>
      </c>
      <c r="G20" s="40">
        <f t="shared" si="7"/>
        <v>9.147375076907811E-3</v>
      </c>
      <c r="H20" s="40">
        <f t="shared" si="7"/>
        <v>8.9462380266217365E-3</v>
      </c>
    </row>
  </sheetData>
  <mergeCells count="2">
    <mergeCell ref="C2:H2"/>
    <mergeCell ref="C11:H11"/>
  </mergeCells>
  <phoneticPr fontId="16" type="noConversion"/>
  <pageMargins left="0.7" right="0.7" top="0.75" bottom="0.75" header="0.3" footer="0.3"/>
  <pageSetup scale="66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"/>
  <sheetViews>
    <sheetView topLeftCell="A13" workbookViewId="0">
      <selection activeCell="K28" sqref="K28"/>
    </sheetView>
  </sheetViews>
  <sheetFormatPr baseColWidth="10" defaultRowHeight="15" x14ac:dyDescent="0.2"/>
  <cols>
    <col min="1" max="1" width="46" customWidth="1"/>
    <col min="2" max="2" width="46" style="54" customWidth="1"/>
  </cols>
  <sheetData>
    <row r="1" spans="1:5" x14ac:dyDescent="0.2">
      <c r="A1" t="s">
        <v>42</v>
      </c>
      <c r="B1" s="54" t="s">
        <v>43</v>
      </c>
    </row>
    <row r="2" spans="1:5" ht="90" x14ac:dyDescent="0.2">
      <c r="A2" s="38" t="s">
        <v>17</v>
      </c>
      <c r="C2" s="38" t="s">
        <v>6</v>
      </c>
      <c r="D2" s="58" t="s">
        <v>14</v>
      </c>
      <c r="E2" t="s">
        <v>44</v>
      </c>
    </row>
    <row r="3" spans="1:5" x14ac:dyDescent="0.2">
      <c r="A3" s="52">
        <v>135609.41585822651</v>
      </c>
      <c r="B3" s="68">
        <f>A3</f>
        <v>135609.41585822651</v>
      </c>
      <c r="C3" s="38">
        <v>2005</v>
      </c>
      <c r="D3" s="56">
        <v>1849</v>
      </c>
    </row>
    <row r="4" spans="1:5" x14ac:dyDescent="0.2">
      <c r="A4" s="52">
        <v>138518.2984016017</v>
      </c>
      <c r="B4" s="68">
        <f>A3-B21</f>
        <v>133801.32146767806</v>
      </c>
      <c r="C4" s="38">
        <v>2006</v>
      </c>
      <c r="D4" s="56">
        <v>1836</v>
      </c>
    </row>
    <row r="5" spans="1:5" x14ac:dyDescent="0.2">
      <c r="A5" s="52">
        <v>140033.76155257432</v>
      </c>
      <c r="B5" s="68">
        <f>B4-B21</f>
        <v>131993.22707712962</v>
      </c>
      <c r="C5" s="38">
        <v>2007</v>
      </c>
      <c r="D5" s="56">
        <v>1750</v>
      </c>
    </row>
    <row r="6" spans="1:5" x14ac:dyDescent="0.2">
      <c r="A6" s="52">
        <v>136727.4370715789</v>
      </c>
      <c r="B6" s="68">
        <f>B5-B21</f>
        <v>130185.13268658119</v>
      </c>
      <c r="C6" s="38">
        <v>2008</v>
      </c>
      <c r="D6" s="56">
        <v>1646</v>
      </c>
    </row>
    <row r="7" spans="1:5" x14ac:dyDescent="0.2">
      <c r="A7" s="52">
        <v>138998.17938113582</v>
      </c>
      <c r="B7" s="68">
        <f>B6-B21</f>
        <v>128377.03829603276</v>
      </c>
      <c r="C7" s="38">
        <v>2009</v>
      </c>
      <c r="D7" s="56">
        <v>1616</v>
      </c>
    </row>
    <row r="8" spans="1:5" x14ac:dyDescent="0.2">
      <c r="A8" s="52">
        <v>135577.3088307112</v>
      </c>
      <c r="B8" s="68">
        <f>B7-B21</f>
        <v>126568.94390548432</v>
      </c>
      <c r="C8" s="38">
        <v>2010</v>
      </c>
      <c r="D8" s="56">
        <v>1667</v>
      </c>
    </row>
    <row r="9" spans="1:5" x14ac:dyDescent="0.2">
      <c r="A9" s="52">
        <v>139276.72436745613</v>
      </c>
      <c r="B9" s="68">
        <f>B8-B21</f>
        <v>124760.84951493589</v>
      </c>
      <c r="C9" s="38">
        <v>2011</v>
      </c>
      <c r="D9" s="56">
        <v>1613</v>
      </c>
    </row>
    <row r="10" spans="1:5" x14ac:dyDescent="0.2">
      <c r="A10" s="52">
        <v>146377.70912975929</v>
      </c>
      <c r="B10" s="68">
        <f>B9-B21</f>
        <v>122952.75512438746</v>
      </c>
      <c r="C10" s="38">
        <v>2012</v>
      </c>
      <c r="D10" s="56">
        <v>1544</v>
      </c>
    </row>
    <row r="11" spans="1:5" x14ac:dyDescent="0.2">
      <c r="A11" s="52">
        <v>149995.74757573134</v>
      </c>
      <c r="B11" s="68">
        <f>B10-B21</f>
        <v>121144.66073383903</v>
      </c>
      <c r="C11" s="38">
        <v>2013</v>
      </c>
      <c r="D11" s="56">
        <v>1521</v>
      </c>
    </row>
    <row r="12" spans="1:5" x14ac:dyDescent="0.2">
      <c r="A12" s="52">
        <v>132097.02385828117</v>
      </c>
      <c r="B12" s="68">
        <f>B11-B21</f>
        <v>119336.5663432906</v>
      </c>
      <c r="C12" s="38">
        <v>2014</v>
      </c>
      <c r="D12" s="56">
        <v>1452</v>
      </c>
    </row>
    <row r="13" spans="1:5" x14ac:dyDescent="0.2">
      <c r="A13" s="52">
        <v>131753.73537732565</v>
      </c>
      <c r="B13" s="68">
        <f>B12-B21</f>
        <v>117528.47195274217</v>
      </c>
      <c r="C13" s="38">
        <v>2015</v>
      </c>
      <c r="D13" s="56">
        <v>1483</v>
      </c>
    </row>
    <row r="14" spans="1:5" x14ac:dyDescent="0.2">
      <c r="A14" s="52">
        <v>124037.92888499954</v>
      </c>
      <c r="B14" s="68">
        <f>B13-B21</f>
        <v>115720.37756219374</v>
      </c>
      <c r="C14" s="38">
        <v>2016</v>
      </c>
      <c r="D14" s="56">
        <v>1308</v>
      </c>
    </row>
    <row r="15" spans="1:5" x14ac:dyDescent="0.2">
      <c r="B15" s="68">
        <f>B14-B21</f>
        <v>113912.28317164531</v>
      </c>
      <c r="C15" s="38">
        <v>2017</v>
      </c>
      <c r="E15" s="53">
        <f>D14-45</f>
        <v>1263</v>
      </c>
    </row>
    <row r="16" spans="1:5" x14ac:dyDescent="0.2">
      <c r="B16" s="68">
        <f>B15-B21</f>
        <v>112104.18878109688</v>
      </c>
      <c r="C16" s="38">
        <v>2018</v>
      </c>
      <c r="E16" s="53">
        <f>E15-45</f>
        <v>1218</v>
      </c>
    </row>
    <row r="17" spans="2:5" x14ac:dyDescent="0.2">
      <c r="B17" s="68">
        <f>B16-B21</f>
        <v>110296.09439054845</v>
      </c>
      <c r="C17" s="38">
        <v>2019</v>
      </c>
      <c r="E17" s="53">
        <f>E16-45</f>
        <v>1173</v>
      </c>
    </row>
    <row r="18" spans="2:5" x14ac:dyDescent="0.2">
      <c r="B18" s="68">
        <v>108488</v>
      </c>
      <c r="C18" s="38">
        <v>2020</v>
      </c>
      <c r="E18" s="53">
        <f>E17-45</f>
        <v>1128</v>
      </c>
    </row>
    <row r="19" spans="2:5" x14ac:dyDescent="0.2">
      <c r="B19" s="68"/>
    </row>
    <row r="20" spans="2:5" x14ac:dyDescent="0.2">
      <c r="B20" s="68">
        <f>A3-B18</f>
        <v>27121.415858226508</v>
      </c>
      <c r="D20" s="53">
        <f>D3-D14</f>
        <v>541</v>
      </c>
    </row>
    <row r="21" spans="2:5" x14ac:dyDescent="0.2">
      <c r="B21" s="68">
        <f>B20/15</f>
        <v>1808.0943905484339</v>
      </c>
      <c r="D21" s="57">
        <f>D20/12</f>
        <v>45.083333333333336</v>
      </c>
    </row>
  </sheetData>
  <phoneticPr fontId="16" type="noConversion"/>
  <pageMargins left="0.7" right="0.7" top="0.75" bottom="0.75" header="0.3" footer="0.3"/>
  <pageSetup scale="68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9"/>
  <sheetViews>
    <sheetView zoomScale="85" zoomScaleNormal="85" workbookViewId="0">
      <selection activeCell="E36" sqref="E36"/>
    </sheetView>
  </sheetViews>
  <sheetFormatPr baseColWidth="10" defaultColWidth="8.83203125" defaultRowHeight="13" x14ac:dyDescent="0.15"/>
  <cols>
    <col min="1" max="1" width="27.33203125" style="1" customWidth="1"/>
    <col min="2" max="2" width="9" style="1" bestFit="1" customWidth="1"/>
    <col min="3" max="3" width="24.33203125" style="1" customWidth="1"/>
    <col min="4" max="4" width="13.1640625" style="1" customWidth="1"/>
    <col min="5" max="5" width="15.6640625" style="1" customWidth="1"/>
    <col min="6" max="6" width="12" style="1" customWidth="1"/>
    <col min="7" max="7" width="14" style="1" customWidth="1"/>
    <col min="8" max="8" width="13.83203125" style="1" customWidth="1"/>
    <col min="9" max="9" width="13.6640625" style="1" customWidth="1"/>
    <col min="10" max="10" width="16.1640625" style="1" bestFit="1" customWidth="1"/>
    <col min="11" max="11" width="16.33203125" style="1" bestFit="1" customWidth="1"/>
    <col min="12" max="12" width="21.33203125" style="1" bestFit="1" customWidth="1"/>
    <col min="13" max="13" width="13.6640625" style="1" bestFit="1" customWidth="1"/>
    <col min="14" max="14" width="12.33203125" style="1" bestFit="1" customWidth="1"/>
    <col min="15" max="15" width="16.33203125" style="1" customWidth="1"/>
    <col min="16" max="16" width="12.5" style="1" customWidth="1"/>
    <col min="17" max="17" width="11.1640625" style="1" bestFit="1" customWidth="1"/>
    <col min="18" max="18" width="10.5" style="1" bestFit="1" customWidth="1"/>
    <col min="19" max="19" width="11" style="1" bestFit="1" customWidth="1"/>
    <col min="20" max="20" width="10" style="1" bestFit="1" customWidth="1"/>
    <col min="21" max="24" width="8" style="1" bestFit="1" customWidth="1"/>
    <col min="25" max="25" width="8.1640625" style="1" bestFit="1" customWidth="1"/>
    <col min="26" max="16384" width="8.83203125" style="1"/>
  </cols>
  <sheetData>
    <row r="1" spans="1:17" ht="24" x14ac:dyDescent="0.3">
      <c r="B1" s="98" t="s">
        <v>50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7" ht="16" x14ac:dyDescent="0.2">
      <c r="B2" s="2"/>
      <c r="C2" s="99" t="s">
        <v>1</v>
      </c>
      <c r="D2" s="99"/>
      <c r="E2" s="99"/>
      <c r="F2" s="99"/>
      <c r="G2" s="99"/>
      <c r="H2" s="99"/>
      <c r="I2" s="99" t="s">
        <v>2</v>
      </c>
      <c r="J2" s="99"/>
      <c r="K2" s="99"/>
      <c r="L2" s="55" t="s">
        <v>3</v>
      </c>
      <c r="M2" s="99" t="s">
        <v>4</v>
      </c>
      <c r="N2" s="99"/>
      <c r="O2" s="4" t="s">
        <v>5</v>
      </c>
    </row>
    <row r="3" spans="1:17" ht="52" x14ac:dyDescent="0.15">
      <c r="B3" s="5" t="s">
        <v>6</v>
      </c>
      <c r="C3" s="6" t="s">
        <v>7</v>
      </c>
      <c r="D3" s="6" t="s">
        <v>8</v>
      </c>
      <c r="E3" s="6" t="s">
        <v>9</v>
      </c>
      <c r="F3" s="72" t="s">
        <v>10</v>
      </c>
      <c r="G3" s="7" t="s">
        <v>51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  <c r="M3" s="8" t="s">
        <v>41</v>
      </c>
      <c r="N3" s="8" t="s">
        <v>40</v>
      </c>
      <c r="O3" s="8" t="s">
        <v>17</v>
      </c>
      <c r="P3" s="5" t="s">
        <v>6</v>
      </c>
    </row>
    <row r="4" spans="1:17" ht="15" x14ac:dyDescent="0.2">
      <c r="A4" s="101" t="s">
        <v>45</v>
      </c>
      <c r="B4" s="5">
        <v>2005</v>
      </c>
      <c r="C4" s="9">
        <v>1324306</v>
      </c>
      <c r="D4" s="10">
        <v>117.65</v>
      </c>
      <c r="E4" s="11">
        <f t="shared" ref="E4:E11" si="0">(D4*C4)/2000*0.9072</f>
        <v>70672.966968240013</v>
      </c>
      <c r="F4" s="73">
        <f>[1]Fleet!F9</f>
        <v>1380.6645815999998</v>
      </c>
      <c r="G4" s="12">
        <f>'[2]Summary Calendar'!D19</f>
        <v>130115696.32800001</v>
      </c>
      <c r="H4" s="12">
        <v>54337349.688000023</v>
      </c>
      <c r="I4" s="12">
        <f t="shared" ref="I4:I13" si="1">G4-H4</f>
        <v>75778346.639999986</v>
      </c>
      <c r="J4" s="13">
        <f>'[2]Summary Calendar'!D37</f>
        <v>1849</v>
      </c>
      <c r="K4" s="12">
        <f t="shared" ref="K4:K13" si="2">(J4*I4)/1000/2000*0.9072</f>
        <v>63555.784308386494</v>
      </c>
      <c r="L4" s="14">
        <f t="shared" ref="L4:L13" si="3">F4+E4+K4</f>
        <v>135609.41585822651</v>
      </c>
      <c r="M4" s="15">
        <v>0</v>
      </c>
      <c r="N4" s="15">
        <v>0</v>
      </c>
      <c r="O4" s="16">
        <f>K4+E4+F4-M4-N4</f>
        <v>135609.41585822651</v>
      </c>
      <c r="P4" s="5">
        <v>2005</v>
      </c>
      <c r="Q4" s="51"/>
    </row>
    <row r="5" spans="1:17" ht="15" x14ac:dyDescent="0.2">
      <c r="A5" s="101"/>
      <c r="B5" s="5">
        <v>2006</v>
      </c>
      <c r="C5" s="9">
        <v>1115359</v>
      </c>
      <c r="D5" s="10">
        <v>117.65</v>
      </c>
      <c r="E5" s="11">
        <f t="shared" si="0"/>
        <v>59522.293008360008</v>
      </c>
      <c r="F5" s="73">
        <f>[1]Fleet!F16</f>
        <v>1496.3318332999997</v>
      </c>
      <c r="G5" s="12">
        <f>'[2]Summary Calendar'!E19</f>
        <v>131807367.67199987</v>
      </c>
      <c r="H5" s="12">
        <v>28697757.07199996</v>
      </c>
      <c r="I5" s="12">
        <f t="shared" si="1"/>
        <v>103109610.5999999</v>
      </c>
      <c r="J5" s="13">
        <f>'[2]Summary Calendar'!E37</f>
        <v>1836</v>
      </c>
      <c r="K5" s="12">
        <f t="shared" si="2"/>
        <v>85870.673559941686</v>
      </c>
      <c r="L5" s="14">
        <f t="shared" si="3"/>
        <v>146889.2984016017</v>
      </c>
      <c r="M5" s="15">
        <v>8371</v>
      </c>
      <c r="N5" s="15">
        <v>0</v>
      </c>
      <c r="O5" s="16">
        <f t="shared" ref="O5:O13" si="4">K5+E5+F5-M5-N5</f>
        <v>138518.2984016017</v>
      </c>
      <c r="P5" s="5">
        <v>2006</v>
      </c>
      <c r="Q5" s="51"/>
    </row>
    <row r="6" spans="1:17" ht="15" x14ac:dyDescent="0.2">
      <c r="A6" s="101"/>
      <c r="B6" s="5">
        <v>2007</v>
      </c>
      <c r="C6" s="9">
        <v>1150288.6579999998</v>
      </c>
      <c r="D6" s="10">
        <v>117.65</v>
      </c>
      <c r="E6" s="11">
        <f t="shared" si="0"/>
        <v>61386.350534374309</v>
      </c>
      <c r="F6" s="73">
        <f>[1]Fleet!F23</f>
        <v>1519.824435</v>
      </c>
      <c r="G6" s="12">
        <f>'[2]Summary Calendar'!F19</f>
        <v>132881393.00000006</v>
      </c>
      <c r="H6" s="12">
        <v>29503229.000000034</v>
      </c>
      <c r="I6" s="12">
        <f t="shared" si="1"/>
        <v>103378164.00000003</v>
      </c>
      <c r="J6" s="13">
        <f>'[2]Summary Calendar'!F37</f>
        <v>1750</v>
      </c>
      <c r="K6" s="12">
        <f t="shared" si="2"/>
        <v>82061.586583200027</v>
      </c>
      <c r="L6" s="14">
        <f t="shared" si="3"/>
        <v>144967.76155257435</v>
      </c>
      <c r="M6" s="15">
        <v>2053</v>
      </c>
      <c r="N6" s="15">
        <v>2881</v>
      </c>
      <c r="O6" s="16">
        <f t="shared" si="4"/>
        <v>140033.76155257432</v>
      </c>
      <c r="P6" s="5">
        <v>2007</v>
      </c>
      <c r="Q6" s="51"/>
    </row>
    <row r="7" spans="1:17" ht="15" x14ac:dyDescent="0.2">
      <c r="A7" s="101"/>
      <c r="B7" s="5">
        <v>2008</v>
      </c>
      <c r="C7" s="9">
        <v>1112305.713</v>
      </c>
      <c r="D7" s="10">
        <v>117.65</v>
      </c>
      <c r="E7" s="11">
        <f t="shared" si="0"/>
        <v>59359.351172186522</v>
      </c>
      <c r="F7" s="73">
        <v>1476</v>
      </c>
      <c r="G7" s="12">
        <f>'[2]Summary Calendar'!G19</f>
        <v>132189811.64399996</v>
      </c>
      <c r="H7" s="12">
        <v>25010141.003999971</v>
      </c>
      <c r="I7" s="12">
        <f t="shared" si="1"/>
        <v>107179670.63999999</v>
      </c>
      <c r="J7" s="13">
        <f>'[2]Summary Calendar'!G37</f>
        <v>1646</v>
      </c>
      <c r="K7" s="12">
        <f t="shared" si="2"/>
        <v>80023.085899392376</v>
      </c>
      <c r="L7" s="14">
        <f t="shared" si="3"/>
        <v>140858.4370715789</v>
      </c>
      <c r="M7" s="15">
        <v>1564</v>
      </c>
      <c r="N7" s="15">
        <v>2567</v>
      </c>
      <c r="O7" s="16">
        <f t="shared" si="4"/>
        <v>136727.4370715789</v>
      </c>
      <c r="P7" s="5">
        <v>2008</v>
      </c>
      <c r="Q7" s="51"/>
    </row>
    <row r="8" spans="1:17" s="17" customFormat="1" ht="15" x14ac:dyDescent="0.2">
      <c r="A8" s="101"/>
      <c r="B8" s="5">
        <v>2009</v>
      </c>
      <c r="C8" s="9">
        <v>913786.00783999998</v>
      </c>
      <c r="D8" s="10">
        <v>117.65</v>
      </c>
      <c r="E8" s="11">
        <f t="shared" si="0"/>
        <v>48765.140645829757</v>
      </c>
      <c r="F8" s="73">
        <v>1518</v>
      </c>
      <c r="G8" s="12">
        <f>'[2]Summary Calendar'!H19</f>
        <v>130536303.57249996</v>
      </c>
      <c r="H8" s="12">
        <v>4089082.2024999959</v>
      </c>
      <c r="I8" s="12">
        <f t="shared" si="1"/>
        <v>126447221.36999996</v>
      </c>
      <c r="J8" s="13">
        <f>'[2]Summary Calendar'!H37</f>
        <v>1616</v>
      </c>
      <c r="K8" s="12">
        <f t="shared" si="2"/>
        <v>92688.038735306065</v>
      </c>
      <c r="L8" s="14">
        <f t="shared" si="3"/>
        <v>142971.17938113582</v>
      </c>
      <c r="M8" s="15">
        <v>1565</v>
      </c>
      <c r="N8" s="15">
        <v>2408</v>
      </c>
      <c r="O8" s="16">
        <f t="shared" si="4"/>
        <v>138998.17938113582</v>
      </c>
      <c r="P8" s="5">
        <v>2009</v>
      </c>
      <c r="Q8" s="51"/>
    </row>
    <row r="9" spans="1:17" ht="15" x14ac:dyDescent="0.2">
      <c r="A9" s="101"/>
      <c r="B9" s="5">
        <v>2010</v>
      </c>
      <c r="C9" s="9">
        <v>895652</v>
      </c>
      <c r="D9" s="10">
        <v>117.65</v>
      </c>
      <c r="E9" s="11">
        <f t="shared" si="0"/>
        <v>47797.40045808001</v>
      </c>
      <c r="F9" s="73">
        <v>1550</v>
      </c>
      <c r="G9" s="12">
        <f>'[2]Summary Calendar'!I19</f>
        <v>127720811</v>
      </c>
      <c r="H9" s="12">
        <v>3215410</v>
      </c>
      <c r="I9" s="12">
        <f t="shared" si="1"/>
        <v>124505401</v>
      </c>
      <c r="J9" s="13">
        <f>'[2]Summary Calendar'!I37</f>
        <v>1667</v>
      </c>
      <c r="K9" s="12">
        <f t="shared" si="2"/>
        <v>94144.908372631195</v>
      </c>
      <c r="L9" s="14">
        <f t="shared" si="3"/>
        <v>143492.3088307112</v>
      </c>
      <c r="M9" s="15">
        <v>4000</v>
      </c>
      <c r="N9" s="15">
        <v>3915</v>
      </c>
      <c r="O9" s="16">
        <f t="shared" si="4"/>
        <v>135577.3088307112</v>
      </c>
      <c r="P9" s="5">
        <v>2010</v>
      </c>
      <c r="Q9" s="51"/>
    </row>
    <row r="10" spans="1:17" ht="15" x14ac:dyDescent="0.2">
      <c r="A10" s="101"/>
      <c r="B10" s="5">
        <v>2011</v>
      </c>
      <c r="C10" s="9">
        <f>'[2]Summary Calendar'!J18</f>
        <v>923350.8330000001</v>
      </c>
      <c r="D10" s="10">
        <v>117.65</v>
      </c>
      <c r="E10" s="11">
        <f t="shared" si="0"/>
        <v>49275.577487911331</v>
      </c>
      <c r="F10" s="73">
        <v>1392</v>
      </c>
      <c r="G10" s="12">
        <f>'[2]Summary Calendar'!J19</f>
        <v>141660521</v>
      </c>
      <c r="H10" s="12">
        <f>4151.86*1000</f>
        <v>4151859.9999999995</v>
      </c>
      <c r="I10" s="12">
        <f t="shared" si="1"/>
        <v>137508661</v>
      </c>
      <c r="J10" s="13">
        <f>'[2]Summary Calendar'!J37</f>
        <v>1613</v>
      </c>
      <c r="K10" s="12">
        <f t="shared" si="2"/>
        <v>100609.1468795448</v>
      </c>
      <c r="L10" s="14">
        <f t="shared" si="3"/>
        <v>151276.72436745613</v>
      </c>
      <c r="M10" s="15">
        <v>4000</v>
      </c>
      <c r="N10" s="15">
        <v>8000</v>
      </c>
      <c r="O10" s="16">
        <f t="shared" si="4"/>
        <v>139276.72436745613</v>
      </c>
      <c r="P10" s="5">
        <v>2011</v>
      </c>
      <c r="Q10" s="51"/>
    </row>
    <row r="11" spans="1:17" ht="15" x14ac:dyDescent="0.2">
      <c r="A11" s="101"/>
      <c r="B11" s="5">
        <v>2012</v>
      </c>
      <c r="C11" s="9">
        <f>'[2]Summary Calendar'!K18</f>
        <v>900172.94299999997</v>
      </c>
      <c r="D11" s="10">
        <v>117.65</v>
      </c>
      <c r="E11" s="11">
        <f t="shared" si="0"/>
        <v>48038.665283055721</v>
      </c>
      <c r="F11" s="73">
        <f>'Fleet emissions'!C17</f>
        <v>1772.2499287082098</v>
      </c>
      <c r="G11" s="12">
        <f>'[2]Summary Calendar'!K19</f>
        <v>147963868.67000002</v>
      </c>
      <c r="H11" s="12">
        <f>4370.54*1000</f>
        <v>4370540</v>
      </c>
      <c r="I11" s="12">
        <f t="shared" si="1"/>
        <v>143593328.67000002</v>
      </c>
      <c r="J11" s="13">
        <v>1544</v>
      </c>
      <c r="K11" s="12">
        <f t="shared" si="2"/>
        <v>100566.79391799534</v>
      </c>
      <c r="L11" s="14">
        <f t="shared" si="3"/>
        <v>150377.70912975929</v>
      </c>
      <c r="M11" s="15">
        <v>0</v>
      </c>
      <c r="N11" s="15">
        <v>4000</v>
      </c>
      <c r="O11" s="16">
        <f t="shared" si="4"/>
        <v>146377.70912975929</v>
      </c>
      <c r="P11" s="5">
        <v>2012</v>
      </c>
      <c r="Q11" s="51"/>
    </row>
    <row r="12" spans="1:17" ht="15" x14ac:dyDescent="0.2">
      <c r="A12" s="101"/>
      <c r="B12" s="5">
        <v>2013</v>
      </c>
      <c r="C12" s="9">
        <f>'[2]Summary Calendar'!L18</f>
        <v>1039130.7429999999</v>
      </c>
      <c r="D12" s="10">
        <v>117.65</v>
      </c>
      <c r="E12" s="11">
        <f>(D12*C12)/2000*0.9072</f>
        <v>55454.29279616772</v>
      </c>
      <c r="F12" s="73">
        <f>'Fleet emissions'!D17</f>
        <v>1848.7428380745221</v>
      </c>
      <c r="G12" s="12">
        <f>'[2]Summary Calendar'!L19</f>
        <v>150821140.19999999</v>
      </c>
      <c r="H12" s="12">
        <f>7772.8*1000</f>
        <v>7772800</v>
      </c>
      <c r="I12" s="12">
        <f t="shared" si="1"/>
        <v>143048340.19999999</v>
      </c>
      <c r="J12" s="13">
        <f>'[2]Summary Calendar'!L37</f>
        <v>1521</v>
      </c>
      <c r="K12" s="12">
        <f t="shared" si="2"/>
        <v>98692.711941489106</v>
      </c>
      <c r="L12" s="14">
        <f t="shared" si="3"/>
        <v>155995.74757573134</v>
      </c>
      <c r="M12" s="15">
        <v>0</v>
      </c>
      <c r="N12" s="15">
        <v>6000</v>
      </c>
      <c r="O12" s="16">
        <f t="shared" si="4"/>
        <v>149995.74757573134</v>
      </c>
      <c r="P12" s="5">
        <v>2013</v>
      </c>
      <c r="Q12" s="51"/>
    </row>
    <row r="13" spans="1:17" ht="15" x14ac:dyDescent="0.2">
      <c r="A13" s="101"/>
      <c r="B13" s="5">
        <v>2014</v>
      </c>
      <c r="C13" s="9">
        <f>'[2]Summary Calendar'!M18</f>
        <v>883058.89999999991</v>
      </c>
      <c r="D13" s="10">
        <v>117.65</v>
      </c>
      <c r="E13" s="11">
        <f>(D13*C13)/2000*0.9072</f>
        <v>47125.356579755993</v>
      </c>
      <c r="F13" s="73">
        <f>'Fleet emissions'!E17</f>
        <v>1851.9030158895162</v>
      </c>
      <c r="G13" s="12">
        <f>'[2]Summary Calendar'!M19</f>
        <v>150740130.64999998</v>
      </c>
      <c r="H13" s="12">
        <f>6713640</f>
        <v>6713640</v>
      </c>
      <c r="I13" s="12">
        <f t="shared" si="1"/>
        <v>144026490.64999998</v>
      </c>
      <c r="J13" s="13">
        <v>1452</v>
      </c>
      <c r="K13" s="12">
        <f t="shared" si="2"/>
        <v>94859.764262635668</v>
      </c>
      <c r="L13" s="14">
        <f t="shared" si="3"/>
        <v>143837.02385828117</v>
      </c>
      <c r="M13" s="15">
        <v>0</v>
      </c>
      <c r="N13" s="15">
        <v>11740</v>
      </c>
      <c r="O13" s="16">
        <f t="shared" si="4"/>
        <v>132097.02385828117</v>
      </c>
      <c r="P13" s="5">
        <v>2014</v>
      </c>
      <c r="Q13" s="51"/>
    </row>
    <row r="14" spans="1:17" s="17" customFormat="1" ht="15" x14ac:dyDescent="0.2">
      <c r="A14" s="101"/>
      <c r="B14" s="5">
        <v>2015</v>
      </c>
      <c r="C14" s="9">
        <f>'[2]Summary Calendar'!N18</f>
        <v>787925.70099999988</v>
      </c>
      <c r="D14" s="10">
        <v>117.65</v>
      </c>
      <c r="E14" s="11">
        <f>(D14*C14)/2000*0.9072</f>
        <v>42048.474476594034</v>
      </c>
      <c r="F14" s="73">
        <f>'Fleet emissions'!F17</f>
        <v>2032.7658652717041</v>
      </c>
      <c r="G14" s="12">
        <f>'[2]Summary Calendar'!N19</f>
        <v>152036493.71999997</v>
      </c>
      <c r="H14" s="12">
        <v>247888</v>
      </c>
      <c r="I14" s="12">
        <f>G14-H14</f>
        <v>151788605.71999997</v>
      </c>
      <c r="J14" s="13">
        <v>1483</v>
      </c>
      <c r="K14" s="12">
        <f>(J14*I14)/1000/2000*0.9072</f>
        <v>102106.4950354599</v>
      </c>
      <c r="L14" s="14">
        <f>F14+E14+K14</f>
        <v>146187.73537732565</v>
      </c>
      <c r="M14" s="15">
        <v>0</v>
      </c>
      <c r="N14" s="15">
        <v>14434</v>
      </c>
      <c r="O14" s="16">
        <f>K14+E14+F14-M14-N14</f>
        <v>131753.73537732565</v>
      </c>
      <c r="P14" s="5">
        <v>2015</v>
      </c>
      <c r="Q14" s="51"/>
    </row>
    <row r="15" spans="1:17" s="17" customFormat="1" ht="15" x14ac:dyDescent="0.2">
      <c r="A15" s="102"/>
      <c r="B15" s="5">
        <v>2016</v>
      </c>
      <c r="C15" s="9">
        <f>'[2]Summary Calendar'!O18</f>
        <v>821774.60199999996</v>
      </c>
      <c r="D15" s="10">
        <v>117.65</v>
      </c>
      <c r="E15" s="11">
        <f>(D15*C15)/2000*0.9072</f>
        <v>43854.856281316082</v>
      </c>
      <c r="F15" s="73">
        <f>'Fleet emissions'!G17</f>
        <v>2006.492456604861</v>
      </c>
      <c r="G15" s="12">
        <f>'[2]Summary Calendar'!O19</f>
        <v>152578577.34</v>
      </c>
      <c r="H15" s="12">
        <v>434230</v>
      </c>
      <c r="I15" s="12">
        <f>G15-H15</f>
        <v>152144347.34</v>
      </c>
      <c r="J15" s="13">
        <f>'[2]Summary Calendar'!O37</f>
        <v>1308</v>
      </c>
      <c r="K15" s="12">
        <f>(J15*I15)/1000/2000*0.9072</f>
        <v>90268.580147078581</v>
      </c>
      <c r="L15" s="14">
        <f>F15+E15+K15</f>
        <v>136129.92888499954</v>
      </c>
      <c r="M15" s="15">
        <v>0</v>
      </c>
      <c r="N15" s="15">
        <v>12092</v>
      </c>
      <c r="O15" s="16">
        <f>K15+E15+F15-M15-N15</f>
        <v>124037.92888499954</v>
      </c>
      <c r="P15" s="5">
        <v>2016</v>
      </c>
      <c r="Q15" s="51"/>
    </row>
    <row r="16" spans="1:17" s="17" customFormat="1" ht="15" x14ac:dyDescent="0.2">
      <c r="A16" s="101" t="s">
        <v>46</v>
      </c>
      <c r="B16" s="63">
        <v>2017</v>
      </c>
      <c r="C16" s="64"/>
      <c r="D16" s="65">
        <v>117.65</v>
      </c>
      <c r="E16" s="66"/>
      <c r="F16" s="66">
        <f>'Fleet emissions'!H17</f>
        <v>2002.7731938980651</v>
      </c>
      <c r="G16" s="75">
        <v>150914312</v>
      </c>
      <c r="H16" s="75"/>
      <c r="I16" s="64"/>
      <c r="J16" s="69">
        <v>1263</v>
      </c>
      <c r="K16" s="64"/>
      <c r="L16" s="66"/>
      <c r="M16" s="64"/>
      <c r="N16" s="64"/>
      <c r="O16" s="67"/>
      <c r="P16" s="65">
        <v>2017</v>
      </c>
      <c r="Q16" s="51"/>
    </row>
    <row r="17" spans="1:17" s="17" customFormat="1" ht="15" x14ac:dyDescent="0.2">
      <c r="A17" s="101"/>
      <c r="B17" s="5">
        <v>2018</v>
      </c>
      <c r="C17" s="59"/>
      <c r="D17" s="60">
        <v>117.65</v>
      </c>
      <c r="E17" s="61"/>
      <c r="F17" s="61"/>
      <c r="G17" s="74"/>
      <c r="H17" s="74"/>
      <c r="I17" s="59"/>
      <c r="J17" s="69">
        <v>1218</v>
      </c>
      <c r="K17" s="59"/>
      <c r="L17" s="61"/>
      <c r="M17" s="59"/>
      <c r="N17" s="59"/>
      <c r="O17" s="62"/>
      <c r="P17" s="60">
        <v>2018</v>
      </c>
      <c r="Q17" s="20"/>
    </row>
    <row r="18" spans="1:17" s="17" customFormat="1" ht="15" x14ac:dyDescent="0.2">
      <c r="A18" s="101"/>
      <c r="B18" s="5">
        <v>2019</v>
      </c>
      <c r="C18" s="59"/>
      <c r="D18" s="60">
        <v>117.65</v>
      </c>
      <c r="E18" s="61"/>
      <c r="F18" s="61"/>
      <c r="G18" s="74"/>
      <c r="H18" s="74"/>
      <c r="I18" s="59"/>
      <c r="J18" s="69">
        <v>1173</v>
      </c>
      <c r="K18" s="59"/>
      <c r="L18" s="61"/>
      <c r="M18" s="59"/>
      <c r="N18" s="59"/>
      <c r="O18" s="62"/>
      <c r="P18" s="60">
        <v>2019</v>
      </c>
      <c r="Q18" s="20"/>
    </row>
    <row r="19" spans="1:17" s="17" customFormat="1" ht="15" x14ac:dyDescent="0.2">
      <c r="A19" s="101"/>
      <c r="B19" s="5">
        <v>2020</v>
      </c>
      <c r="C19" s="59"/>
      <c r="D19" s="60">
        <v>117.65</v>
      </c>
      <c r="E19" s="61"/>
      <c r="F19" s="61"/>
      <c r="G19" s="74"/>
      <c r="H19" s="74"/>
      <c r="I19" s="59"/>
      <c r="J19" s="69">
        <v>1128</v>
      </c>
      <c r="K19" s="59"/>
      <c r="L19" s="61"/>
      <c r="M19" s="59"/>
      <c r="N19" s="59"/>
      <c r="O19" s="62"/>
      <c r="P19" s="60">
        <v>2020</v>
      </c>
      <c r="Q19" s="20"/>
    </row>
    <row r="20" spans="1:17" s="17" customFormat="1" x14ac:dyDescent="0.15">
      <c r="C20" s="29"/>
      <c r="D20" s="29"/>
      <c r="E20" s="29"/>
      <c r="F20" s="30"/>
      <c r="G20" s="31"/>
      <c r="H20" s="31"/>
      <c r="I20" s="32"/>
      <c r="J20" s="29"/>
      <c r="K20" s="29"/>
      <c r="L20" s="29"/>
      <c r="M20" s="29"/>
      <c r="N20" s="29"/>
      <c r="O20" s="29"/>
    </row>
    <row r="21" spans="1:17" x14ac:dyDescent="0.15">
      <c r="I21" s="33"/>
    </row>
    <row r="22" spans="1:17" ht="14" x14ac:dyDescent="0.2">
      <c r="B22" s="34" t="s">
        <v>18</v>
      </c>
      <c r="I22" s="33"/>
    </row>
    <row r="23" spans="1:17" ht="14" x14ac:dyDescent="0.2">
      <c r="B23" s="35" t="s">
        <v>19</v>
      </c>
    </row>
    <row r="24" spans="1:17" ht="14" x14ac:dyDescent="0.2">
      <c r="B24" s="35" t="s">
        <v>20</v>
      </c>
      <c r="G24" s="18"/>
    </row>
    <row r="25" spans="1:17" x14ac:dyDescent="0.15">
      <c r="B25" s="71"/>
      <c r="C25" s="70" t="s">
        <v>47</v>
      </c>
    </row>
    <row r="27" spans="1:17" x14ac:dyDescent="0.15">
      <c r="B27" s="1" t="s">
        <v>48</v>
      </c>
      <c r="C27" s="70" t="s">
        <v>49</v>
      </c>
      <c r="H27" s="36"/>
      <c r="I27" s="36"/>
      <c r="J27" s="36"/>
      <c r="K27" s="36"/>
    </row>
    <row r="28" spans="1:17" x14ac:dyDescent="0.15">
      <c r="H28" s="36"/>
      <c r="I28" s="36"/>
      <c r="J28" s="36"/>
      <c r="K28" s="36"/>
    </row>
    <row r="29" spans="1:17" x14ac:dyDescent="0.15">
      <c r="I29" s="37"/>
    </row>
  </sheetData>
  <mergeCells count="6">
    <mergeCell ref="A16:A19"/>
    <mergeCell ref="B1:O1"/>
    <mergeCell ref="C2:H2"/>
    <mergeCell ref="I2:K2"/>
    <mergeCell ref="M2:N2"/>
    <mergeCell ref="A4:A15"/>
  </mergeCells>
  <phoneticPr fontId="16" type="noConversion"/>
  <pageMargins left="0.7" right="0.7" top="0.75" bottom="0.75" header="0.3" footer="0.3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BEFD-6B9C-ED48-BD71-DFF9D56BF941}">
  <dimension ref="A1:J20"/>
  <sheetViews>
    <sheetView workbookViewId="0">
      <selection activeCell="J21" sqref="J21"/>
    </sheetView>
  </sheetViews>
  <sheetFormatPr baseColWidth="10" defaultRowHeight="15" x14ac:dyDescent="0.2"/>
  <sheetData>
    <row r="1" spans="1:10" x14ac:dyDescent="0.2">
      <c r="A1" s="103"/>
      <c r="B1" s="104"/>
      <c r="C1" s="104"/>
      <c r="D1" s="104"/>
      <c r="E1" s="104"/>
      <c r="F1" s="104"/>
      <c r="G1" s="104"/>
      <c r="H1" s="104"/>
      <c r="I1" s="104"/>
      <c r="J1" s="105"/>
    </row>
    <row r="2" spans="1:10" ht="18" x14ac:dyDescent="0.2">
      <c r="A2" s="106"/>
      <c r="B2" s="107"/>
      <c r="C2" s="108" t="s">
        <v>80</v>
      </c>
      <c r="D2" s="107"/>
      <c r="E2" s="107"/>
      <c r="F2" s="107"/>
      <c r="G2" s="107"/>
      <c r="H2" s="107"/>
      <c r="I2" s="107"/>
      <c r="J2" s="109"/>
    </row>
    <row r="3" spans="1:10" x14ac:dyDescent="0.2">
      <c r="A3" s="110"/>
      <c r="B3" s="111"/>
      <c r="C3" s="112">
        <f>[3]Sheet1!A1</f>
        <v>0</v>
      </c>
      <c r="D3" s="111"/>
      <c r="E3" s="111"/>
      <c r="F3" s="111"/>
      <c r="G3" s="111"/>
      <c r="H3" s="111"/>
      <c r="I3" s="111"/>
      <c r="J3" s="113"/>
    </row>
    <row r="4" spans="1:10" x14ac:dyDescent="0.2">
      <c r="A4" s="110"/>
      <c r="B4" s="111"/>
      <c r="C4" s="114" t="str">
        <f>"GHG Emissions Waste Management Analysis for "&amp;[3]Sheet1!F163</f>
        <v xml:space="preserve">GHG Emissions Waste Management Analysis for </v>
      </c>
      <c r="D4" s="115"/>
      <c r="E4" s="115"/>
      <c r="F4" s="111"/>
      <c r="G4" s="111" t="s">
        <v>81</v>
      </c>
      <c r="H4" s="111"/>
      <c r="I4" s="111"/>
      <c r="J4" s="113"/>
    </row>
    <row r="5" spans="1:10" x14ac:dyDescent="0.2">
      <c r="A5" s="110"/>
      <c r="B5" s="111"/>
      <c r="C5" s="114" t="str">
        <f>"Prepared by:  "&amp;[3]Sheet1!F162</f>
        <v xml:space="preserve">Prepared by:  </v>
      </c>
      <c r="D5" s="116" t="s">
        <v>82</v>
      </c>
      <c r="E5" s="115"/>
      <c r="F5" s="115"/>
      <c r="G5" s="111"/>
      <c r="H5" s="111"/>
      <c r="I5" s="111"/>
      <c r="J5" s="113"/>
    </row>
    <row r="6" spans="1:10" x14ac:dyDescent="0.2">
      <c r="A6" s="110"/>
      <c r="B6" s="111"/>
      <c r="C6" s="117" t="str">
        <f>"Project Period for this Analysis:  "&amp;TEXT([3]Sheet1!F165,"mm/dd/yy")&amp;" to "&amp;TEXT([3]Sheet1!H165,"mm/dd/yy")</f>
        <v>Project Period for this Analysis:  01/00/00 to 01/00/00</v>
      </c>
      <c r="D6" s="115"/>
      <c r="E6" s="111" t="s">
        <v>83</v>
      </c>
      <c r="F6" s="118" t="s">
        <v>84</v>
      </c>
      <c r="G6" s="119"/>
      <c r="H6" s="118"/>
      <c r="I6" s="111"/>
      <c r="J6" s="113"/>
    </row>
    <row r="7" spans="1:10" x14ac:dyDescent="0.2">
      <c r="A7" s="110"/>
      <c r="B7" s="111"/>
      <c r="C7" s="120" t="s">
        <v>85</v>
      </c>
      <c r="D7" s="111"/>
      <c r="E7" s="111"/>
      <c r="F7" s="111"/>
      <c r="G7" s="111"/>
      <c r="H7" s="111"/>
      <c r="I7" s="111"/>
      <c r="J7" s="113"/>
    </row>
    <row r="8" spans="1:10" x14ac:dyDescent="0.2">
      <c r="A8" s="110"/>
      <c r="B8" s="111"/>
      <c r="C8" s="120" t="s">
        <v>86</v>
      </c>
      <c r="D8" s="111"/>
      <c r="E8" s="111"/>
      <c r="F8" s="111"/>
      <c r="G8" s="111"/>
      <c r="H8" s="111"/>
      <c r="I8" s="111"/>
      <c r="J8" s="113"/>
    </row>
    <row r="11" spans="1:10" x14ac:dyDescent="0.2">
      <c r="A11" s="114" t="s">
        <v>87</v>
      </c>
      <c r="B11" s="121"/>
      <c r="C11" s="121"/>
      <c r="D11" s="121"/>
      <c r="E11" s="121"/>
      <c r="F11" s="122">
        <v>1609</v>
      </c>
    </row>
    <row r="12" spans="1:10" ht="16" thickBot="1" x14ac:dyDescent="0.25">
      <c r="A12" s="114"/>
      <c r="B12" s="121"/>
      <c r="C12" s="121"/>
      <c r="D12" s="121"/>
      <c r="E12" s="121"/>
      <c r="F12" s="123"/>
    </row>
    <row r="13" spans="1:10" ht="24" thickBot="1" x14ac:dyDescent="0.25">
      <c r="A13" s="124" t="s">
        <v>88</v>
      </c>
      <c r="B13" s="125" t="s">
        <v>89</v>
      </c>
      <c r="C13" s="125" t="s">
        <v>90</v>
      </c>
      <c r="D13" s="125" t="s">
        <v>91</v>
      </c>
      <c r="E13" s="125" t="s">
        <v>92</v>
      </c>
      <c r="F13" s="126" t="s">
        <v>93</v>
      </c>
    </row>
    <row r="14" spans="1:10" x14ac:dyDescent="0.2">
      <c r="A14" s="127" t="str">
        <f ca="1">IF(ISERROR(VLOOKUP($C14,GHGBaseline_MTCO2E,2,FALSE)),"",VLOOKUP($C14,GHGBaseline_MTCO2E,2,FALSE))</f>
        <v>Mixed MSW</v>
      </c>
      <c r="B14" s="128" t="str">
        <f ca="1">IF(ISERROR(VLOOKUP($C14,GHGBaseline_MTCO2E,4,FALSE)),"",VLOOKUP($C14,GHGBaseline_MTCO2E,4,FALSE))</f>
        <v>NA</v>
      </c>
      <c r="C14" s="128">
        <f t="shared" ref="C14" ca="1" si="0">IF(ISERROR(VLOOKUP($C14,GHGBaseline_MTCO2E,6,FALSE)),"",VLOOKUP($C14,GHGBaseline_MTCO2E,6,FALSE))</f>
        <v>3332</v>
      </c>
      <c r="D14" s="128">
        <f t="shared" ref="D14" ca="1" si="1">IF(ISERROR(VLOOKUP($C14,GHGBaseline_MTCO2E,8,FALSE)),"",VLOOKUP($C14,GHGBaseline_MTCO2E,8,FALSE))</f>
        <v>0</v>
      </c>
      <c r="E14" s="128" t="str">
        <f t="shared" ref="E14" ca="1" si="2">IF(ISERROR(VLOOKUP($C14,GHGBaseline_MTCO2E,10,FALSE)),"",VLOOKUP($C14,GHGBaseline_MTCO2E,10,FALSE))</f>
        <v>NA</v>
      </c>
      <c r="F14" s="129">
        <f t="shared" ref="F14" ca="1" si="3">IF(ISERROR(VLOOKUP($C14,GHGBaseline_MTCO2E,12,FALSE)),"0",VLOOKUP($C14,GHGBaseline_MTCO2E,12,FALSE))</f>
        <v>1609.0653957157213</v>
      </c>
    </row>
    <row r="17" spans="1:6" x14ac:dyDescent="0.2">
      <c r="A17" s="114" t="s">
        <v>94</v>
      </c>
      <c r="B17" s="121"/>
      <c r="C17" s="121"/>
      <c r="D17" s="121"/>
      <c r="E17" s="121"/>
      <c r="F17" s="130">
        <v>1071</v>
      </c>
    </row>
    <row r="18" spans="1:6" ht="16" thickBot="1" x14ac:dyDescent="0.25">
      <c r="A18" s="114"/>
      <c r="B18" s="121"/>
      <c r="C18" s="121"/>
      <c r="D18" s="121"/>
      <c r="E18" s="121"/>
      <c r="F18" s="123"/>
    </row>
    <row r="19" spans="1:6" ht="24" thickBot="1" x14ac:dyDescent="0.25">
      <c r="A19" s="131" t="s">
        <v>88</v>
      </c>
      <c r="B19" s="125" t="s">
        <v>89</v>
      </c>
      <c r="C19" s="125" t="s">
        <v>90</v>
      </c>
      <c r="D19" s="125" t="s">
        <v>91</v>
      </c>
      <c r="E19" s="125" t="s">
        <v>92</v>
      </c>
      <c r="F19" s="126" t="s">
        <v>95</v>
      </c>
    </row>
    <row r="20" spans="1:6" x14ac:dyDescent="0.2">
      <c r="A20" s="132" t="str">
        <f t="shared" ref="A20" ca="1" si="4">IF(ISERROR(VLOOKUP($C20,EnergyUse_Baseline,2,FALSE)),"",VLOOKUP($C20,EnergyUse_Baseline,2,FALSE))</f>
        <v>Mixed MSW</v>
      </c>
      <c r="B20" s="128" t="str">
        <f t="shared" ref="B20" ca="1" si="5">IF(ISERROR(VLOOKUP($C20,EnergyUse_Baseline,4,FALSE)),"",VLOOKUP($C20,EnergyUse_Baseline,4,FALSE))</f>
        <v>NA</v>
      </c>
      <c r="C20" s="128">
        <f t="shared" ref="C20" ca="1" si="6">IF(ISERROR(VLOOKUP($C20,EnergyUse_Baseline,6,FALSE)),"",VLOOKUP($C20,EnergyUse_Baseline,6,FALSE))</f>
        <v>3332</v>
      </c>
      <c r="D20" s="128">
        <f t="shared" ref="D20" ca="1" si="7">IF(ISERROR(VLOOKUP($C20,EnergyUse_Baseline,8,FALSE)),"",VLOOKUP($C20,EnergyUse_Baseline,8,FALSE))</f>
        <v>0</v>
      </c>
      <c r="E20" s="128" t="str">
        <f t="shared" ref="E20" ca="1" si="8">IF(ISERROR(VLOOKUP($C20,EnergyUse_Baseline,10,FALSE)),"",VLOOKUP($C20,EnergyUse_Baseline,10,FALSE))</f>
        <v>NA</v>
      </c>
      <c r="F20" s="129">
        <f t="shared" ref="F20" ca="1" si="9">IF(ISERROR(VLOOKUP($C20,EnergyUse_Baseline,12,FALSE)),"0",VLOOKUP($C20,EnergyUse_Baseline,12,FALSE))</f>
        <v>1071.3349447760415</v>
      </c>
    </row>
  </sheetData>
  <conditionalFormatting sqref="F14">
    <cfRule type="containsText" dxfId="1" priority="2" stopIfTrue="1" operator="containsText" text="INPUT ERROR">
      <formula>NOT(ISERROR(SEARCH("INPUT ERROR",F14)))</formula>
    </cfRule>
  </conditionalFormatting>
  <conditionalFormatting sqref="F20">
    <cfRule type="containsText" dxfId="0" priority="1" stopIfTrue="1" operator="containsText" text="INPUT ERROR">
      <formula>NOT(ISERROR(SEARCH("INPUT ERROR",F20)))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510C-723F-4940-A64A-B32CE6502BB5}">
  <dimension ref="A1:I12"/>
  <sheetViews>
    <sheetView workbookViewId="0">
      <selection activeCell="I4" sqref="I4"/>
    </sheetView>
  </sheetViews>
  <sheetFormatPr baseColWidth="10" defaultColWidth="8.83203125" defaultRowHeight="15" x14ac:dyDescent="0.2"/>
  <cols>
    <col min="1" max="1" width="10.1640625" bestFit="1" customWidth="1"/>
    <col min="2" max="2" width="12.5" bestFit="1" customWidth="1"/>
    <col min="3" max="3" width="14.33203125" bestFit="1" customWidth="1"/>
    <col min="4" max="4" width="12.6640625" bestFit="1" customWidth="1"/>
    <col min="5" max="5" width="15.5" bestFit="1" customWidth="1"/>
    <col min="6" max="6" width="14.6640625" bestFit="1" customWidth="1"/>
    <col min="7" max="7" width="30.83203125" customWidth="1"/>
    <col min="8" max="8" width="14.1640625" customWidth="1"/>
    <col min="9" max="9" width="19.5" customWidth="1"/>
  </cols>
  <sheetData>
    <row r="1" spans="1:9" x14ac:dyDescent="0.2">
      <c r="A1" s="76" t="s">
        <v>52</v>
      </c>
      <c r="B1" s="76" t="s">
        <v>53</v>
      </c>
      <c r="C1" s="76" t="s">
        <v>54</v>
      </c>
      <c r="D1" s="76" t="s">
        <v>55</v>
      </c>
      <c r="E1" s="76" t="s">
        <v>56</v>
      </c>
      <c r="F1" s="77" t="s">
        <v>57</v>
      </c>
      <c r="G1" s="77" t="s">
        <v>58</v>
      </c>
      <c r="H1" s="77" t="s">
        <v>59</v>
      </c>
      <c r="I1" s="77" t="s">
        <v>60</v>
      </c>
    </row>
    <row r="2" spans="1:9" x14ac:dyDescent="0.2">
      <c r="A2" s="78" t="s">
        <v>26</v>
      </c>
      <c r="B2" s="78" t="s">
        <v>61</v>
      </c>
      <c r="C2" s="79">
        <v>15817</v>
      </c>
      <c r="D2" s="80">
        <v>5303678.5200001597</v>
      </c>
      <c r="E2" s="78">
        <v>11.5</v>
      </c>
      <c r="F2" s="50">
        <f>D2/0.0115</f>
        <v>461189436.52175301</v>
      </c>
      <c r="G2">
        <v>0.32600000000000001</v>
      </c>
      <c r="H2" s="41">
        <f>F2*G2</f>
        <v>150347756.30609149</v>
      </c>
      <c r="I2" s="81">
        <f>H2*0.001</f>
        <v>150347.7563060915</v>
      </c>
    </row>
    <row r="3" spans="1:9" x14ac:dyDescent="0.2">
      <c r="A3" s="78" t="s">
        <v>26</v>
      </c>
      <c r="B3" s="78" t="s">
        <v>62</v>
      </c>
      <c r="C3" s="79">
        <v>2672</v>
      </c>
      <c r="D3" s="80">
        <v>3225825.4799999991</v>
      </c>
      <c r="E3" s="78">
        <v>11.5</v>
      </c>
      <c r="F3" s="50">
        <f>D3/0.0115</f>
        <v>280506563.47826082</v>
      </c>
      <c r="G3">
        <v>0.32600000000000001</v>
      </c>
      <c r="H3" s="41">
        <f>F3*G3</f>
        <v>91445139.693913028</v>
      </c>
      <c r="I3" s="81">
        <f>H3*0.001</f>
        <v>91445.139693913035</v>
      </c>
    </row>
    <row r="4" spans="1:9" x14ac:dyDescent="0.2">
      <c r="A4" s="82" t="s">
        <v>63</v>
      </c>
      <c r="B4" s="82"/>
      <c r="C4" s="83">
        <f>SUM(C2:C3)</f>
        <v>18489</v>
      </c>
      <c r="D4" s="84">
        <f>SUM(D2:D3)</f>
        <v>8529504.0000001583</v>
      </c>
      <c r="E4" s="82"/>
      <c r="I4" s="81">
        <f>SUM(I2:I3)</f>
        <v>241792.89600000455</v>
      </c>
    </row>
    <row r="11" spans="1:9" x14ac:dyDescent="0.2">
      <c r="A11" t="s">
        <v>64</v>
      </c>
    </row>
    <row r="12" spans="1:9" x14ac:dyDescent="0.2">
      <c r="A12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7046-273F-C849-A013-94457A4751D9}">
  <dimension ref="A1:P30"/>
  <sheetViews>
    <sheetView workbookViewId="0">
      <selection activeCell="B20" sqref="B20"/>
    </sheetView>
  </sheetViews>
  <sheetFormatPr baseColWidth="10" defaultRowHeight="15" x14ac:dyDescent="0.2"/>
  <cols>
    <col min="1" max="1" width="17.6640625" bestFit="1" customWidth="1"/>
    <col min="2" max="2" width="12.6640625" bestFit="1" customWidth="1"/>
    <col min="4" max="5" width="12.6640625" bestFit="1" customWidth="1"/>
  </cols>
  <sheetData>
    <row r="1" spans="2:16" x14ac:dyDescent="0.2">
      <c r="B1" t="s">
        <v>66</v>
      </c>
      <c r="C1" t="s">
        <v>67</v>
      </c>
      <c r="D1" t="s">
        <v>68</v>
      </c>
      <c r="E1" t="s">
        <v>69</v>
      </c>
      <c r="F1" t="s">
        <v>70</v>
      </c>
      <c r="H1" t="s">
        <v>66</v>
      </c>
      <c r="I1" t="s">
        <v>67</v>
      </c>
      <c r="J1" t="s">
        <v>68</v>
      </c>
      <c r="K1" t="s">
        <v>69</v>
      </c>
      <c r="M1" t="s">
        <v>66</v>
      </c>
      <c r="N1" t="s">
        <v>67</v>
      </c>
      <c r="O1" t="s">
        <v>68</v>
      </c>
      <c r="P1" t="s">
        <v>69</v>
      </c>
    </row>
    <row r="2" spans="2:16" x14ac:dyDescent="0.2">
      <c r="B2">
        <v>0.1</v>
      </c>
      <c r="C2">
        <v>76</v>
      </c>
      <c r="D2" s="85">
        <f>C2/C$13</f>
        <v>6.2346185397867106E-2</v>
      </c>
      <c r="E2" s="86">
        <f>B2*D2</f>
        <v>6.2346185397867109E-3</v>
      </c>
      <c r="H2">
        <v>4</v>
      </c>
      <c r="I2">
        <v>8</v>
      </c>
      <c r="J2" s="85">
        <f t="shared" ref="J2:J7" si="0">I2/I$7</f>
        <v>4.878048780487805E-2</v>
      </c>
      <c r="K2">
        <f t="shared" ref="K2:K7" si="1">H2*J2</f>
        <v>0.1951219512195122</v>
      </c>
      <c r="M2">
        <v>0.1</v>
      </c>
      <c r="N2">
        <v>76</v>
      </c>
      <c r="O2" s="85">
        <f t="shared" ref="O2:O17" si="2">N2/N$18</f>
        <v>5.4953000723065797E-2</v>
      </c>
      <c r="P2" s="86">
        <f>M2*O2</f>
        <v>5.4953000723065798E-3</v>
      </c>
    </row>
    <row r="3" spans="2:16" x14ac:dyDescent="0.2">
      <c r="B3">
        <v>0.5</v>
      </c>
      <c r="C3">
        <v>87</v>
      </c>
      <c r="D3" s="85">
        <f t="shared" ref="D3:D12" si="3">C3/C$13</f>
        <v>7.1369975389663665E-2</v>
      </c>
      <c r="E3" s="86">
        <f t="shared" ref="E3:E12" si="4">B3*D3</f>
        <v>3.5684987694831832E-2</v>
      </c>
      <c r="H3">
        <v>7.5</v>
      </c>
      <c r="I3">
        <v>28</v>
      </c>
      <c r="J3" s="85">
        <f t="shared" si="0"/>
        <v>0.17073170731707318</v>
      </c>
      <c r="K3">
        <f t="shared" si="1"/>
        <v>1.2804878048780488</v>
      </c>
      <c r="M3">
        <v>0.5</v>
      </c>
      <c r="N3">
        <v>87</v>
      </c>
      <c r="O3" s="85">
        <f t="shared" si="2"/>
        <v>6.2906724511930592E-2</v>
      </c>
      <c r="P3" s="86">
        <f t="shared" ref="P3:P12" si="5">M3*O3</f>
        <v>3.1453362255965296E-2</v>
      </c>
    </row>
    <row r="4" spans="2:16" x14ac:dyDescent="0.2">
      <c r="B4">
        <v>0.75</v>
      </c>
      <c r="C4">
        <v>389</v>
      </c>
      <c r="D4" s="85">
        <f t="shared" si="3"/>
        <v>0.3191140278917145</v>
      </c>
      <c r="E4" s="86">
        <f t="shared" si="4"/>
        <v>0.23933552091878588</v>
      </c>
      <c r="H4">
        <v>12.5</v>
      </c>
      <c r="I4">
        <v>39</v>
      </c>
      <c r="J4" s="85">
        <f t="shared" si="0"/>
        <v>0.23780487804878048</v>
      </c>
      <c r="K4">
        <f t="shared" si="1"/>
        <v>2.9725609756097562</v>
      </c>
      <c r="M4">
        <v>0.75</v>
      </c>
      <c r="N4">
        <v>389</v>
      </c>
      <c r="O4" s="85">
        <f t="shared" si="2"/>
        <v>0.28127259580621838</v>
      </c>
      <c r="P4" s="86">
        <f t="shared" si="5"/>
        <v>0.2109544468546638</v>
      </c>
    </row>
    <row r="5" spans="2:16" x14ac:dyDescent="0.2">
      <c r="B5">
        <v>1.5</v>
      </c>
      <c r="C5">
        <v>310</v>
      </c>
      <c r="D5" s="85">
        <f t="shared" si="3"/>
        <v>0.25430680885972107</v>
      </c>
      <c r="E5" s="86">
        <f t="shared" si="4"/>
        <v>0.38146021328958157</v>
      </c>
      <c r="H5">
        <v>17.5</v>
      </c>
      <c r="I5">
        <v>33</v>
      </c>
      <c r="J5" s="85">
        <f t="shared" si="0"/>
        <v>0.20121951219512196</v>
      </c>
      <c r="K5">
        <f t="shared" si="1"/>
        <v>3.5213414634146343</v>
      </c>
      <c r="M5">
        <v>1.5</v>
      </c>
      <c r="N5">
        <v>310</v>
      </c>
      <c r="O5" s="85">
        <f t="shared" si="2"/>
        <v>0.22415039768618944</v>
      </c>
      <c r="P5" s="86">
        <f t="shared" si="5"/>
        <v>0.33622559652928419</v>
      </c>
    </row>
    <row r="6" spans="2:16" ht="16" thickBot="1" x14ac:dyDescent="0.25">
      <c r="B6">
        <v>3.5</v>
      </c>
      <c r="C6">
        <v>164</v>
      </c>
      <c r="D6" s="85">
        <f t="shared" si="3"/>
        <v>0.13453650533223954</v>
      </c>
      <c r="E6" s="86">
        <f t="shared" si="4"/>
        <v>0.47087776866283837</v>
      </c>
      <c r="H6">
        <v>30</v>
      </c>
      <c r="I6">
        <v>56</v>
      </c>
      <c r="J6" s="85">
        <f t="shared" si="0"/>
        <v>0.34146341463414637</v>
      </c>
      <c r="K6">
        <f t="shared" si="1"/>
        <v>10.24390243902439</v>
      </c>
      <c r="M6">
        <v>3.5</v>
      </c>
      <c r="N6">
        <v>164</v>
      </c>
      <c r="O6" s="85">
        <f t="shared" si="2"/>
        <v>0.11858279103398409</v>
      </c>
      <c r="P6" s="86">
        <f t="shared" si="5"/>
        <v>0.41503976861894432</v>
      </c>
    </row>
    <row r="7" spans="2:16" ht="17" thickTop="1" thickBot="1" x14ac:dyDescent="0.25">
      <c r="B7">
        <v>6</v>
      </c>
      <c r="C7">
        <v>29</v>
      </c>
      <c r="D7" s="85">
        <f t="shared" si="3"/>
        <v>2.3789991796554551E-2</v>
      </c>
      <c r="E7" s="86">
        <f t="shared" si="4"/>
        <v>0.1427399507793273</v>
      </c>
      <c r="H7" s="87">
        <f>AVERAGE(H2:H6)</f>
        <v>14.3</v>
      </c>
      <c r="I7" s="87">
        <f>SUM(I2:I6)</f>
        <v>164</v>
      </c>
      <c r="J7" s="88">
        <f t="shared" si="0"/>
        <v>1</v>
      </c>
      <c r="K7" s="89">
        <f t="shared" si="1"/>
        <v>14.3</v>
      </c>
      <c r="M7">
        <v>6</v>
      </c>
      <c r="N7">
        <v>29</v>
      </c>
      <c r="O7" s="85">
        <f t="shared" si="2"/>
        <v>2.0968908170643528E-2</v>
      </c>
      <c r="P7" s="86">
        <f t="shared" si="5"/>
        <v>0.12581344902386116</v>
      </c>
    </row>
    <row r="8" spans="2:16" x14ac:dyDescent="0.2">
      <c r="B8">
        <v>4</v>
      </c>
      <c r="C8">
        <v>8</v>
      </c>
      <c r="D8" s="85">
        <f t="shared" si="3"/>
        <v>6.5627563576702219E-3</v>
      </c>
      <c r="E8" s="86">
        <f t="shared" si="4"/>
        <v>2.6251025430680888E-2</v>
      </c>
      <c r="M8">
        <v>4</v>
      </c>
      <c r="N8">
        <v>8</v>
      </c>
      <c r="O8" s="85">
        <f t="shared" si="2"/>
        <v>5.7845263919016629E-3</v>
      </c>
      <c r="P8" s="86">
        <f t="shared" si="5"/>
        <v>2.3138105567606652E-2</v>
      </c>
    </row>
    <row r="9" spans="2:16" x14ac:dyDescent="0.2">
      <c r="B9">
        <v>7.5</v>
      </c>
      <c r="C9">
        <v>28</v>
      </c>
      <c r="D9" s="85">
        <f t="shared" si="3"/>
        <v>2.2969647251845776E-2</v>
      </c>
      <c r="E9" s="86">
        <f t="shared" si="4"/>
        <v>0.17227235438884331</v>
      </c>
      <c r="M9">
        <v>7.5</v>
      </c>
      <c r="N9">
        <v>28</v>
      </c>
      <c r="O9" s="85">
        <f t="shared" si="2"/>
        <v>2.0245842371655821E-2</v>
      </c>
      <c r="P9" s="86">
        <f t="shared" si="5"/>
        <v>0.15184381778741865</v>
      </c>
    </row>
    <row r="10" spans="2:16" x14ac:dyDescent="0.2">
      <c r="B10">
        <v>12.5</v>
      </c>
      <c r="C10">
        <v>39</v>
      </c>
      <c r="D10" s="85">
        <f t="shared" si="3"/>
        <v>3.1993437243642328E-2</v>
      </c>
      <c r="E10" s="86">
        <f t="shared" si="4"/>
        <v>0.39991796554552911</v>
      </c>
      <c r="M10">
        <v>12.5</v>
      </c>
      <c r="N10">
        <v>39</v>
      </c>
      <c r="O10" s="85">
        <f t="shared" si="2"/>
        <v>2.8199566160520606E-2</v>
      </c>
      <c r="P10" s="86">
        <f t="shared" si="5"/>
        <v>0.35249457700650755</v>
      </c>
    </row>
    <row r="11" spans="2:16" x14ac:dyDescent="0.2">
      <c r="B11">
        <v>17.5</v>
      </c>
      <c r="C11">
        <v>33</v>
      </c>
      <c r="D11" s="85">
        <f t="shared" si="3"/>
        <v>2.7071369975389663E-2</v>
      </c>
      <c r="E11" s="86">
        <f t="shared" si="4"/>
        <v>0.47374897456931908</v>
      </c>
      <c r="M11">
        <v>17.5</v>
      </c>
      <c r="N11">
        <v>33</v>
      </c>
      <c r="O11" s="85">
        <f t="shared" si="2"/>
        <v>2.3861171366594359E-2</v>
      </c>
      <c r="P11" s="86">
        <f t="shared" si="5"/>
        <v>0.41757049891540127</v>
      </c>
    </row>
    <row r="12" spans="2:16" ht="16" thickBot="1" x14ac:dyDescent="0.25">
      <c r="B12" s="90">
        <v>25</v>
      </c>
      <c r="C12" s="90">
        <v>56</v>
      </c>
      <c r="D12" s="91">
        <f t="shared" si="3"/>
        <v>4.5939294503691552E-2</v>
      </c>
      <c r="E12" s="92">
        <f t="shared" si="4"/>
        <v>1.1484823625922889</v>
      </c>
      <c r="M12" s="93">
        <v>25</v>
      </c>
      <c r="N12" s="93">
        <v>56</v>
      </c>
      <c r="O12" s="85">
        <f t="shared" si="2"/>
        <v>4.0491684743311641E-2</v>
      </c>
      <c r="P12" s="92">
        <f t="shared" si="5"/>
        <v>1.0122921185827911</v>
      </c>
    </row>
    <row r="13" spans="2:16" ht="17" thickTop="1" thickBot="1" x14ac:dyDescent="0.25">
      <c r="B13">
        <f>AVERAGE(B2:B12)</f>
        <v>7.168181818181818</v>
      </c>
      <c r="C13">
        <f>SUM(C2:C12)</f>
        <v>1219</v>
      </c>
      <c r="D13" s="85">
        <f>SUM(D2:D12)</f>
        <v>1</v>
      </c>
      <c r="E13" s="94">
        <f>SUM(E2:E12)</f>
        <v>3.4970057424118126</v>
      </c>
      <c r="M13" s="93">
        <v>4</v>
      </c>
      <c r="N13" s="93">
        <v>8</v>
      </c>
      <c r="O13" s="85">
        <f t="shared" si="2"/>
        <v>5.7845263919016629E-3</v>
      </c>
      <c r="P13" s="41">
        <f>M13*O13</f>
        <v>2.3138105567606652E-2</v>
      </c>
    </row>
    <row r="14" spans="2:16" ht="16" thickTop="1" x14ac:dyDescent="0.2">
      <c r="M14">
        <v>7.5</v>
      </c>
      <c r="N14">
        <v>28</v>
      </c>
      <c r="O14" s="85">
        <f t="shared" si="2"/>
        <v>2.0245842371655821E-2</v>
      </c>
      <c r="P14" s="41">
        <f>M14*O14</f>
        <v>0.15184381778741865</v>
      </c>
    </row>
    <row r="15" spans="2:16" x14ac:dyDescent="0.2">
      <c r="M15">
        <v>12.5</v>
      </c>
      <c r="N15">
        <v>39</v>
      </c>
      <c r="O15" s="85">
        <f t="shared" si="2"/>
        <v>2.8199566160520606E-2</v>
      </c>
      <c r="P15" s="41">
        <f>M15*O15</f>
        <v>0.35249457700650755</v>
      </c>
    </row>
    <row r="16" spans="2:16" x14ac:dyDescent="0.2">
      <c r="B16" t="s">
        <v>71</v>
      </c>
      <c r="M16">
        <v>17.5</v>
      </c>
      <c r="N16">
        <v>33</v>
      </c>
      <c r="O16" s="85">
        <f t="shared" si="2"/>
        <v>2.3861171366594359E-2</v>
      </c>
      <c r="P16" s="41">
        <f>M16*O16</f>
        <v>0.41757049891540127</v>
      </c>
    </row>
    <row r="17" spans="1:16" ht="16" thickBot="1" x14ac:dyDescent="0.25">
      <c r="A17" t="s">
        <v>67</v>
      </c>
      <c r="B17" s="95">
        <f>63559</f>
        <v>63559</v>
      </c>
      <c r="M17">
        <v>30</v>
      </c>
      <c r="N17">
        <v>56</v>
      </c>
      <c r="O17" s="85">
        <f t="shared" si="2"/>
        <v>4.0491684743311641E-2</v>
      </c>
      <c r="P17" s="41">
        <f>M17*O17</f>
        <v>1.2147505422993492</v>
      </c>
    </row>
    <row r="18" spans="1:16" ht="17" thickTop="1" thickBot="1" x14ac:dyDescent="0.25">
      <c r="A18" t="s">
        <v>72</v>
      </c>
      <c r="B18" s="85">
        <f>0.0993+0.0099</f>
        <v>0.10920000000000001</v>
      </c>
      <c r="M18" s="87">
        <f>AVERAGE(M2:M17)</f>
        <v>9.3968749999999996</v>
      </c>
      <c r="N18" s="87">
        <f>SUM(N2:N17)</f>
        <v>1383</v>
      </c>
      <c r="O18" s="88">
        <f>SUM(O2:O17)</f>
        <v>1</v>
      </c>
      <c r="P18" s="96">
        <f>SUM(P2:P17)</f>
        <v>5.2421185827910337</v>
      </c>
    </row>
    <row r="19" spans="1:16" x14ac:dyDescent="0.2">
      <c r="A19" t="s">
        <v>73</v>
      </c>
      <c r="B19" s="95">
        <f>B17*B18</f>
        <v>6940.6428000000005</v>
      </c>
    </row>
    <row r="20" spans="1:16" x14ac:dyDescent="0.2">
      <c r="A20" t="s">
        <v>74</v>
      </c>
      <c r="B20" s="39">
        <f>B19*P18</f>
        <v>36383.672598394798</v>
      </c>
    </row>
    <row r="21" spans="1:16" x14ac:dyDescent="0.2">
      <c r="A21" t="s">
        <v>75</v>
      </c>
      <c r="B21">
        <v>160</v>
      </c>
    </row>
    <row r="22" spans="1:16" x14ac:dyDescent="0.2">
      <c r="A22" t="s">
        <v>76</v>
      </c>
      <c r="B22" s="95">
        <f>B20*B21</f>
        <v>5821387.6157431677</v>
      </c>
    </row>
    <row r="23" spans="1:16" x14ac:dyDescent="0.2">
      <c r="A23" t="s">
        <v>77</v>
      </c>
      <c r="B23">
        <v>408</v>
      </c>
      <c r="C23" t="s">
        <v>96</v>
      </c>
    </row>
    <row r="24" spans="1:16" ht="16" thickBot="1" x14ac:dyDescent="0.25">
      <c r="A24" t="s">
        <v>78</v>
      </c>
      <c r="B24" s="95">
        <f>B22*B23</f>
        <v>2375126147.2232122</v>
      </c>
    </row>
    <row r="25" spans="1:16" ht="17" thickTop="1" thickBot="1" x14ac:dyDescent="0.25">
      <c r="A25" t="s">
        <v>79</v>
      </c>
      <c r="B25" s="97">
        <f>B24*(0.0000011023113)</f>
        <v>2618.1283910096104</v>
      </c>
      <c r="C25">
        <v>2871</v>
      </c>
      <c r="D25" s="95">
        <f>C25-B25</f>
        <v>252.87160899038963</v>
      </c>
    </row>
    <row r="26" spans="1:16" ht="16" thickTop="1" x14ac:dyDescent="0.2">
      <c r="C26">
        <v>3110</v>
      </c>
    </row>
    <row r="27" spans="1:16" x14ac:dyDescent="0.2">
      <c r="C27">
        <f>C26-C25</f>
        <v>239</v>
      </c>
    </row>
    <row r="30" spans="1:16" x14ac:dyDescent="0.2">
      <c r="A3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Carbon_2005-2016</vt:lpstr>
      <vt:lpstr>Fleet emissions</vt:lpstr>
      <vt:lpstr>Graphing</vt:lpstr>
      <vt:lpstr>Carbon projections</vt:lpstr>
      <vt:lpstr>waste</vt:lpstr>
      <vt:lpstr>biz travel</vt:lpstr>
      <vt:lpstr>commuting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Harrahy</dc:creator>
  <cp:lastModifiedBy>David B Newport</cp:lastModifiedBy>
  <cp:lastPrinted>2018-01-19T20:31:26Z</cp:lastPrinted>
  <dcterms:created xsi:type="dcterms:W3CDTF">2017-10-18T17:32:09Z</dcterms:created>
  <dcterms:modified xsi:type="dcterms:W3CDTF">2018-05-21T18:30:34Z</dcterms:modified>
</cp:coreProperties>
</file>