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u-securefile.eu.emory.edu\finadmin\SUSTAINABILITY\Home\tspicer\Desktop\"/>
    </mc:Choice>
  </mc:AlternateContent>
  <bookViews>
    <workbookView xWindow="0" yWindow="0" windowWidth="20520" windowHeight="10988"/>
  </bookViews>
  <sheets>
    <sheet name="Local, Sustainable" sheetId="2" r:id="rId1"/>
  </sheets>
  <definedNames>
    <definedName name="_xlnm._FilterDatabase" localSheetId="0" hidden="1">'Local, Sustainable'!$A$1:$AA$511</definedName>
    <definedName name="_xlnm.Print_Area" localSheetId="0">'Local, Sustainable'!$A$1:$L$475</definedName>
  </definedNames>
  <calcPr calcId="162913"/>
</workbook>
</file>

<file path=xl/calcChain.xml><?xml version="1.0" encoding="utf-8"?>
<calcChain xmlns="http://schemas.openxmlformats.org/spreadsheetml/2006/main">
  <c r="L310" i="2" l="1"/>
  <c r="L299" i="2"/>
  <c r="L285" i="2"/>
  <c r="L283" i="2"/>
  <c r="L267" i="2"/>
  <c r="L265" i="2"/>
  <c r="L257" i="2"/>
  <c r="L239" i="2"/>
  <c r="L237" i="2"/>
  <c r="L232" i="2"/>
  <c r="L220" i="2"/>
  <c r="L213" i="2"/>
  <c r="L212" i="2"/>
  <c r="L199" i="2"/>
  <c r="L196" i="2"/>
  <c r="L192" i="2"/>
  <c r="L188" i="2"/>
  <c r="L177" i="2"/>
  <c r="L175" i="2"/>
  <c r="L174" i="2"/>
  <c r="L162" i="2"/>
  <c r="L163" i="2"/>
  <c r="L157" i="2"/>
  <c r="L153" i="2"/>
  <c r="L151" i="2"/>
  <c r="L111" i="2"/>
  <c r="L109" i="2"/>
  <c r="L108" i="2"/>
  <c r="L104" i="2"/>
  <c r="L100" i="2"/>
  <c r="Q121" i="2" l="1"/>
  <c r="Q123" i="2"/>
  <c r="O123" i="2"/>
  <c r="Q120" i="2"/>
  <c r="Q119" i="2"/>
  <c r="N119" i="2"/>
  <c r="Q118" i="2"/>
  <c r="J118" i="2"/>
  <c r="I118" i="2"/>
  <c r="Q117" i="2"/>
  <c r="J117" i="2"/>
  <c r="I117" i="2"/>
  <c r="Q116" i="2"/>
  <c r="J116" i="2"/>
  <c r="I116" i="2"/>
  <c r="Q115" i="2"/>
  <c r="N115" i="2"/>
  <c r="Q114" i="2"/>
  <c r="N114" i="2"/>
  <c r="Q113" i="2"/>
  <c r="K113" i="2"/>
  <c r="J113" i="2"/>
  <c r="I113" i="2"/>
  <c r="Q112" i="2"/>
  <c r="N112" i="2"/>
  <c r="K112" i="2"/>
  <c r="L112" i="2" s="1"/>
  <c r="J112" i="2"/>
  <c r="I112" i="2"/>
  <c r="O111" i="2"/>
  <c r="Q111" i="2" s="1"/>
  <c r="Q110" i="2"/>
  <c r="N110" i="2"/>
  <c r="L110" i="2"/>
  <c r="Q109" i="2"/>
  <c r="Q108" i="2"/>
  <c r="O107" i="2"/>
  <c r="Q107" i="2" s="1"/>
  <c r="N107" i="2"/>
  <c r="K107" i="2"/>
  <c r="L107" i="2" s="1"/>
  <c r="J107" i="2"/>
  <c r="I107" i="2"/>
  <c r="O106" i="2"/>
  <c r="Q106" i="2" s="1"/>
  <c r="N106" i="2"/>
  <c r="K106" i="2"/>
  <c r="L106" i="2" s="1"/>
  <c r="J106" i="2"/>
  <c r="I106" i="2"/>
  <c r="O105" i="2"/>
  <c r="Q105" i="2" s="1"/>
  <c r="N105" i="2"/>
  <c r="K105" i="2"/>
  <c r="L105" i="2" s="1"/>
  <c r="J105" i="2"/>
  <c r="I105" i="2"/>
  <c r="O104" i="2"/>
  <c r="Q104" i="2" s="1"/>
  <c r="O103" i="2"/>
  <c r="Q103" i="2" s="1"/>
  <c r="N103" i="2"/>
  <c r="K103" i="2"/>
  <c r="L103" i="2" s="1"/>
  <c r="J103" i="2"/>
  <c r="I103" i="2"/>
  <c r="O102" i="2"/>
  <c r="Q102" i="2" s="1"/>
  <c r="N102" i="2"/>
  <c r="K102" i="2"/>
  <c r="L102" i="2" s="1"/>
  <c r="J102" i="2"/>
  <c r="I102" i="2"/>
  <c r="O101" i="2"/>
  <c r="Q101" i="2" s="1"/>
  <c r="N101" i="2"/>
  <c r="K101" i="2"/>
  <c r="L101" i="2" s="1"/>
  <c r="J101" i="2"/>
  <c r="I101" i="2"/>
  <c r="Q100" i="2"/>
  <c r="O99" i="2"/>
  <c r="Q99" i="2" s="1"/>
  <c r="N99" i="2"/>
  <c r="K99" i="2"/>
  <c r="L99" i="2" s="1"/>
  <c r="J99" i="2"/>
  <c r="I99" i="2"/>
  <c r="O98" i="2"/>
  <c r="Q98" i="2" s="1"/>
  <c r="N98" i="2"/>
  <c r="O97" i="2"/>
  <c r="Q97" i="2" s="1"/>
  <c r="N97" i="2"/>
  <c r="L97" i="2"/>
  <c r="Q96" i="2"/>
  <c r="N96" i="2"/>
  <c r="Q95" i="2"/>
  <c r="Q94" i="2"/>
  <c r="J94" i="2"/>
  <c r="I94" i="2"/>
  <c r="Q93" i="2"/>
  <c r="J93" i="2"/>
  <c r="I93" i="2"/>
  <c r="Q92" i="2"/>
  <c r="J92" i="2"/>
  <c r="I92" i="2"/>
  <c r="Q91" i="2"/>
  <c r="J91" i="2"/>
  <c r="I91" i="2"/>
  <c r="Q90" i="2"/>
  <c r="Q89" i="2"/>
  <c r="N89" i="2"/>
  <c r="L89" i="2"/>
  <c r="Q88" i="2"/>
  <c r="K88" i="2"/>
  <c r="J88" i="2"/>
  <c r="I88" i="2"/>
  <c r="Q87" i="2"/>
  <c r="N87" i="2"/>
  <c r="O86" i="2"/>
  <c r="Q86" i="2" s="1"/>
  <c r="O85" i="2"/>
  <c r="Q85" i="2" s="1"/>
  <c r="O84" i="2"/>
  <c r="Q84" i="2" s="1"/>
  <c r="N84" i="2"/>
  <c r="L84" i="2"/>
  <c r="O83" i="2"/>
  <c r="Q83" i="2" s="1"/>
  <c r="O82" i="2"/>
  <c r="Q82" i="2" s="1"/>
  <c r="N82" i="2"/>
  <c r="L82" i="2"/>
  <c r="Q81" i="2"/>
  <c r="O80" i="2"/>
  <c r="Q80" i="2" s="1"/>
  <c r="N80" i="2"/>
  <c r="L80" i="2"/>
  <c r="Q79" i="2"/>
  <c r="O78" i="2"/>
  <c r="Q78" i="2" s="1"/>
  <c r="N78" i="2"/>
  <c r="L78" i="2"/>
  <c r="Q77" i="2"/>
  <c r="O76" i="2"/>
  <c r="Q76" i="2" s="1"/>
  <c r="N76" i="2"/>
  <c r="L76" i="2"/>
  <c r="Q75" i="2"/>
  <c r="N75" i="2"/>
  <c r="Q74" i="2"/>
  <c r="N74" i="2"/>
  <c r="Q72" i="2"/>
  <c r="N72" i="2"/>
  <c r="Q71" i="2"/>
  <c r="O70" i="2"/>
  <c r="Q70" i="2" s="1"/>
  <c r="N70" i="2"/>
  <c r="K70" i="2"/>
  <c r="L70" i="2" s="1"/>
  <c r="J70" i="2"/>
  <c r="I70" i="2"/>
  <c r="O69" i="2"/>
  <c r="Q69" i="2" s="1"/>
  <c r="O68" i="2"/>
  <c r="Q68" i="2" s="1"/>
  <c r="N68" i="2"/>
  <c r="K68" i="2"/>
  <c r="L68" i="2" s="1"/>
  <c r="J68" i="2"/>
  <c r="I68" i="2"/>
  <c r="O67" i="2"/>
  <c r="Q67" i="2" s="1"/>
  <c r="N67" i="2"/>
  <c r="K67" i="2"/>
  <c r="L67" i="2" s="1"/>
  <c r="J67" i="2"/>
  <c r="I67" i="2"/>
  <c r="O66" i="2"/>
  <c r="Q66" i="2" s="1"/>
  <c r="N66" i="2"/>
  <c r="K66" i="2"/>
  <c r="L66" i="2" s="1"/>
  <c r="J66" i="2"/>
  <c r="I66" i="2"/>
  <c r="Q65" i="2"/>
  <c r="N65" i="2"/>
  <c r="K65" i="2"/>
  <c r="L65" i="2" s="1"/>
  <c r="J65" i="2"/>
  <c r="I65" i="2"/>
  <c r="Q64" i="2"/>
  <c r="N64" i="2"/>
  <c r="K64" i="2"/>
  <c r="L64" i="2" s="1"/>
  <c r="J64" i="2"/>
  <c r="I64" i="2"/>
  <c r="Q63" i="2"/>
  <c r="K63" i="2"/>
  <c r="J63" i="2"/>
  <c r="I63" i="2"/>
  <c r="Q62" i="2"/>
  <c r="K62" i="2"/>
  <c r="J62" i="2"/>
  <c r="I62" i="2"/>
  <c r="Q61" i="2"/>
  <c r="N61" i="2"/>
  <c r="Q60" i="2"/>
  <c r="N60" i="2"/>
  <c r="Q59" i="2"/>
  <c r="N59" i="2"/>
  <c r="L59" i="2"/>
  <c r="Q58" i="2"/>
  <c r="O57" i="2"/>
  <c r="Q57" i="2" s="1"/>
  <c r="Q55" i="2"/>
  <c r="Q54" i="2"/>
  <c r="Q53" i="2"/>
  <c r="Q52" i="2"/>
  <c r="Q50" i="2"/>
  <c r="Q49" i="2"/>
  <c r="Q48" i="2"/>
  <c r="Q47" i="2"/>
  <c r="Q46" i="2"/>
  <c r="O45" i="2"/>
  <c r="Q45" i="2" s="1"/>
  <c r="Q44" i="2"/>
  <c r="Q43" i="2"/>
  <c r="O42" i="2"/>
  <c r="Q42" i="2" s="1"/>
  <c r="Q41" i="2"/>
  <c r="O40" i="2"/>
  <c r="Q40" i="2" s="1"/>
  <c r="O39" i="2"/>
  <c r="Q39" i="2" s="1"/>
  <c r="Q38" i="2"/>
  <c r="Q37" i="2"/>
  <c r="Q36" i="2"/>
  <c r="O35" i="2"/>
  <c r="Q35" i="2" s="1"/>
  <c r="O34" i="2"/>
  <c r="Q34" i="2" s="1"/>
  <c r="Q33" i="2"/>
  <c r="O32" i="2"/>
  <c r="Q32" i="2" s="1"/>
  <c r="O31" i="2"/>
  <c r="Q31" i="2" s="1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O357" i="2" l="1"/>
  <c r="O356" i="2"/>
  <c r="O355" i="2"/>
  <c r="O354" i="2"/>
  <c r="O353" i="2"/>
  <c r="O352" i="2"/>
  <c r="O350" i="2"/>
  <c r="O349" i="2"/>
  <c r="O347" i="2"/>
  <c r="O346" i="2"/>
  <c r="O341" i="2"/>
  <c r="O339" i="2"/>
  <c r="O334" i="2" l="1"/>
  <c r="O333" i="2"/>
  <c r="O332" i="2"/>
  <c r="O331" i="2"/>
  <c r="O330" i="2"/>
  <c r="O329" i="2"/>
  <c r="O327" i="2"/>
  <c r="O325" i="2"/>
  <c r="O324" i="2"/>
  <c r="O323" i="2"/>
  <c r="O321" i="2"/>
  <c r="L318" i="2" l="1"/>
  <c r="J318" i="2"/>
  <c r="I318" i="2"/>
  <c r="M318" i="2" s="1"/>
  <c r="Q316" i="2" l="1"/>
  <c r="I316" i="2"/>
  <c r="M316" i="2" s="1"/>
  <c r="N316" i="2" s="1"/>
  <c r="J316" i="2"/>
  <c r="O264" i="2" l="1"/>
  <c r="O235" i="2"/>
  <c r="O292" i="2"/>
  <c r="O270" i="2"/>
  <c r="O269" i="2"/>
  <c r="O258" i="2" l="1"/>
  <c r="O238" i="2"/>
  <c r="O311" i="2"/>
  <c r="O313" i="2"/>
  <c r="O259" i="2"/>
  <c r="O260" i="2"/>
  <c r="O279" i="2"/>
  <c r="O285" i="2"/>
  <c r="O308" i="2"/>
  <c r="O283" i="2"/>
  <c r="O293" i="2"/>
  <c r="O277" i="2"/>
  <c r="O276" i="2"/>
  <c r="Q343" i="2" l="1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M274" i="2"/>
  <c r="N274" i="2" s="1"/>
  <c r="K276" i="2"/>
  <c r="L276" i="2" s="1"/>
  <c r="L256" i="2"/>
  <c r="L296" i="2"/>
  <c r="K300" i="2"/>
  <c r="L300" i="2" s="1"/>
  <c r="K293" i="2"/>
  <c r="L293" i="2" s="1"/>
  <c r="K308" i="2"/>
  <c r="L308" i="2" s="1"/>
  <c r="K287" i="2"/>
  <c r="M287" i="2" s="1"/>
  <c r="N287" i="2" s="1"/>
  <c r="K279" i="2"/>
  <c r="L279" i="2" s="1"/>
  <c r="K260" i="2"/>
  <c r="L260" i="2" s="1"/>
  <c r="K259" i="2"/>
  <c r="L259" i="2" s="1"/>
  <c r="K288" i="2"/>
  <c r="L288" i="2" s="1"/>
  <c r="K253" i="2"/>
  <c r="M253" i="2" s="1"/>
  <c r="N253" i="2" s="1"/>
  <c r="K263" i="2"/>
  <c r="M263" i="2" s="1"/>
  <c r="N263" i="2" s="1"/>
  <c r="K313" i="2"/>
  <c r="L313" i="2" s="1"/>
  <c r="K311" i="2"/>
  <c r="L311" i="2" s="1"/>
  <c r="K289" i="2"/>
  <c r="L289" i="2" s="1"/>
  <c r="K238" i="2"/>
  <c r="L238" i="2" s="1"/>
  <c r="K290" i="2"/>
  <c r="L290" i="2" s="1"/>
  <c r="K258" i="2"/>
  <c r="L258" i="2" s="1"/>
  <c r="K240" i="2"/>
  <c r="L240" i="2" s="1"/>
  <c r="K303" i="2"/>
  <c r="L303" i="2" s="1"/>
  <c r="K305" i="2"/>
  <c r="L305" i="2" s="1"/>
  <c r="K306" i="2"/>
  <c r="K307" i="2"/>
  <c r="L307" i="2" s="1"/>
  <c r="K269" i="2"/>
  <c r="L269" i="2" s="1"/>
  <c r="K270" i="2"/>
  <c r="L270" i="2" s="1"/>
  <c r="K292" i="2"/>
  <c r="K235" i="2"/>
  <c r="L235" i="2" s="1"/>
  <c r="K264" i="2"/>
  <c r="L264" i="2" s="1"/>
  <c r="K231" i="2"/>
  <c r="L231" i="2" s="1"/>
  <c r="K320" i="2"/>
  <c r="L320" i="2" s="1"/>
  <c r="L321" i="2"/>
  <c r="K322" i="2"/>
  <c r="L322" i="2" s="1"/>
  <c r="K323" i="2"/>
  <c r="L323" i="2" s="1"/>
  <c r="K324" i="2"/>
  <c r="K325" i="2"/>
  <c r="K327" i="2"/>
  <c r="L327" i="2" s="1"/>
  <c r="L328" i="2"/>
  <c r="K329" i="2"/>
  <c r="L329" i="2" s="1"/>
  <c r="K330" i="2"/>
  <c r="L330" i="2" s="1"/>
  <c r="L331" i="2"/>
  <c r="K332" i="2"/>
  <c r="K334" i="2"/>
  <c r="L334" i="2" s="1"/>
  <c r="L336" i="2"/>
  <c r="L337" i="2"/>
  <c r="K340" i="2"/>
  <c r="L340" i="2" s="1"/>
  <c r="K343" i="2"/>
  <c r="K344" i="2"/>
  <c r="L344" i="2" s="1"/>
  <c r="L345" i="2"/>
  <c r="K346" i="2"/>
  <c r="L346" i="2" s="1"/>
  <c r="K348" i="2"/>
  <c r="K349" i="2"/>
  <c r="L349" i="2" s="1"/>
  <c r="K350" i="2"/>
  <c r="L350" i="2" s="1"/>
  <c r="K352" i="2"/>
  <c r="K353" i="2"/>
  <c r="L353" i="2" s="1"/>
  <c r="K354" i="2"/>
  <c r="L354" i="2" s="1"/>
  <c r="L355" i="2"/>
  <c r="K356" i="2"/>
  <c r="K357" i="2"/>
  <c r="L357" i="2" s="1"/>
  <c r="K274" i="2"/>
  <c r="L274" i="2" s="1"/>
  <c r="J276" i="2"/>
  <c r="J300" i="2"/>
  <c r="J293" i="2"/>
  <c r="J308" i="2"/>
  <c r="J287" i="2"/>
  <c r="J279" i="2"/>
  <c r="J260" i="2"/>
  <c r="J259" i="2"/>
  <c r="J288" i="2"/>
  <c r="J253" i="2"/>
  <c r="J263" i="2"/>
  <c r="J313" i="2"/>
  <c r="J311" i="2"/>
  <c r="J289" i="2"/>
  <c r="J238" i="2"/>
  <c r="J290" i="2"/>
  <c r="J258" i="2"/>
  <c r="J240" i="2"/>
  <c r="J301" i="2"/>
  <c r="J302" i="2"/>
  <c r="J303" i="2"/>
  <c r="J305" i="2"/>
  <c r="J306" i="2"/>
  <c r="J307" i="2"/>
  <c r="J269" i="2"/>
  <c r="J270" i="2"/>
  <c r="J292" i="2"/>
  <c r="J235" i="2"/>
  <c r="J264" i="2"/>
  <c r="J231" i="2"/>
  <c r="J315" i="2"/>
  <c r="J317" i="2"/>
  <c r="J320" i="2"/>
  <c r="J322" i="2"/>
  <c r="J323" i="2"/>
  <c r="J324" i="2"/>
  <c r="J325" i="2"/>
  <c r="J327" i="2"/>
  <c r="J329" i="2"/>
  <c r="J330" i="2"/>
  <c r="J332" i="2"/>
  <c r="J334" i="2"/>
  <c r="J337" i="2"/>
  <c r="J340" i="2"/>
  <c r="J343" i="2"/>
  <c r="J344" i="2"/>
  <c r="J346" i="2"/>
  <c r="J348" i="2"/>
  <c r="J349" i="2"/>
  <c r="J350" i="2"/>
  <c r="J352" i="2"/>
  <c r="J353" i="2"/>
  <c r="J354" i="2"/>
  <c r="J356" i="2"/>
  <c r="J357" i="2"/>
  <c r="J274" i="2"/>
  <c r="M275" i="2"/>
  <c r="N275" i="2" s="1"/>
  <c r="I276" i="2"/>
  <c r="M276" i="2" s="1"/>
  <c r="N276" i="2" s="1"/>
  <c r="M277" i="2"/>
  <c r="N277" i="2" s="1"/>
  <c r="M256" i="2"/>
  <c r="N256" i="2" s="1"/>
  <c r="M296" i="2"/>
  <c r="N296" i="2" s="1"/>
  <c r="I300" i="2"/>
  <c r="I293" i="2"/>
  <c r="I283" i="2"/>
  <c r="I308" i="2"/>
  <c r="I285" i="2"/>
  <c r="I287" i="2"/>
  <c r="I279" i="2"/>
  <c r="I260" i="2"/>
  <c r="I259" i="2"/>
  <c r="I288" i="2"/>
  <c r="I253" i="2"/>
  <c r="I263" i="2"/>
  <c r="I313" i="2"/>
  <c r="I311" i="2"/>
  <c r="I289" i="2"/>
  <c r="I238" i="2"/>
  <c r="I290" i="2"/>
  <c r="I258" i="2"/>
  <c r="I299" i="2"/>
  <c r="I240" i="2"/>
  <c r="I301" i="2"/>
  <c r="M301" i="2" s="1"/>
  <c r="N301" i="2" s="1"/>
  <c r="I302" i="2"/>
  <c r="M302" i="2" s="1"/>
  <c r="N302" i="2" s="1"/>
  <c r="I303" i="2"/>
  <c r="M303" i="2" s="1"/>
  <c r="N303" i="2" s="1"/>
  <c r="I305" i="2"/>
  <c r="M305" i="2" s="1"/>
  <c r="N305" i="2" s="1"/>
  <c r="I306" i="2"/>
  <c r="I307" i="2"/>
  <c r="I269" i="2"/>
  <c r="I270" i="2"/>
  <c r="I310" i="2"/>
  <c r="I292" i="2"/>
  <c r="I235" i="2"/>
  <c r="I264" i="2"/>
  <c r="M264" i="2" s="1"/>
  <c r="N264" i="2" s="1"/>
  <c r="I231" i="2"/>
  <c r="I315" i="2"/>
  <c r="I317" i="2"/>
  <c r="M317" i="2" s="1"/>
  <c r="N317" i="2" s="1"/>
  <c r="M319" i="2"/>
  <c r="N319" i="2" s="1"/>
  <c r="I320" i="2"/>
  <c r="I322" i="2"/>
  <c r="I323" i="2"/>
  <c r="I324" i="2"/>
  <c r="I325" i="2"/>
  <c r="I327" i="2"/>
  <c r="I328" i="2"/>
  <c r="I329" i="2"/>
  <c r="I330" i="2"/>
  <c r="I331" i="2"/>
  <c r="I332" i="2"/>
  <c r="I333" i="2"/>
  <c r="I334" i="2"/>
  <c r="I337" i="2"/>
  <c r="M337" i="2" s="1"/>
  <c r="N337" i="2" s="1"/>
  <c r="I340" i="2"/>
  <c r="I343" i="2"/>
  <c r="I344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274" i="2"/>
  <c r="J309" i="2"/>
  <c r="I255" i="2"/>
  <c r="M354" i="2" l="1"/>
  <c r="N354" i="2" s="1"/>
  <c r="M346" i="2"/>
  <c r="N346" i="2" s="1"/>
  <c r="M270" i="2"/>
  <c r="N270" i="2" s="1"/>
  <c r="M323" i="2"/>
  <c r="N323" i="2" s="1"/>
  <c r="M331" i="2"/>
  <c r="N331" i="2" s="1"/>
  <c r="M327" i="2"/>
  <c r="N327" i="2" s="1"/>
  <c r="M358" i="2"/>
  <c r="N358" i="2" s="1"/>
  <c r="M345" i="2"/>
  <c r="N345" i="2" s="1"/>
  <c r="M341" i="2"/>
  <c r="N341" i="2" s="1"/>
  <c r="M339" i="2"/>
  <c r="N339" i="2" s="1"/>
  <c r="M335" i="2"/>
  <c r="N335" i="2" s="1"/>
  <c r="M348" i="2"/>
  <c r="N348" i="2" s="1"/>
  <c r="M325" i="2"/>
  <c r="N325" i="2" s="1"/>
  <c r="L348" i="2"/>
  <c r="L339" i="2"/>
  <c r="M329" i="2"/>
  <c r="N329" i="2" s="1"/>
  <c r="M350" i="2"/>
  <c r="N350" i="2" s="1"/>
  <c r="M328" i="2"/>
  <c r="N328" i="2" s="1"/>
  <c r="L358" i="2"/>
  <c r="L341" i="2"/>
  <c r="M321" i="2"/>
  <c r="N321" i="2" s="1"/>
  <c r="M320" i="2"/>
  <c r="N320" i="2" s="1"/>
  <c r="M307" i="2"/>
  <c r="N307" i="2" s="1"/>
  <c r="M315" i="2"/>
  <c r="N315" i="2" s="1"/>
  <c r="M356" i="2"/>
  <c r="N356" i="2" s="1"/>
  <c r="L356" i="2"/>
  <c r="M352" i="2"/>
  <c r="N352" i="2" s="1"/>
  <c r="L352" i="2"/>
  <c r="M343" i="2"/>
  <c r="N343" i="2" s="1"/>
  <c r="L343" i="2"/>
  <c r="L333" i="2"/>
  <c r="M333" i="2"/>
  <c r="N333" i="2" s="1"/>
  <c r="L292" i="2"/>
  <c r="M292" i="2"/>
  <c r="N292" i="2" s="1"/>
  <c r="L325" i="2"/>
  <c r="L351" i="2"/>
  <c r="M351" i="2"/>
  <c r="N351" i="2" s="1"/>
  <c r="L347" i="2"/>
  <c r="M347" i="2"/>
  <c r="N347" i="2" s="1"/>
  <c r="L338" i="2"/>
  <c r="M338" i="2"/>
  <c r="N338" i="2" s="1"/>
  <c r="L332" i="2"/>
  <c r="M332" i="2"/>
  <c r="N332" i="2" s="1"/>
  <c r="L324" i="2"/>
  <c r="M324" i="2"/>
  <c r="N324" i="2" s="1"/>
  <c r="M310" i="2"/>
  <c r="N310" i="2" s="1"/>
  <c r="L306" i="2"/>
  <c r="M306" i="2"/>
  <c r="N306" i="2" s="1"/>
  <c r="M355" i="2"/>
  <c r="N355" i="2" s="1"/>
  <c r="M336" i="2"/>
  <c r="N336" i="2" s="1"/>
  <c r="M231" i="2"/>
  <c r="N231" i="2" s="1"/>
  <c r="M357" i="2"/>
  <c r="N357" i="2" s="1"/>
  <c r="M353" i="2"/>
  <c r="N353" i="2" s="1"/>
  <c r="M349" i="2"/>
  <c r="N349" i="2" s="1"/>
  <c r="M344" i="2"/>
  <c r="N344" i="2" s="1"/>
  <c r="M340" i="2"/>
  <c r="N340" i="2" s="1"/>
  <c r="M334" i="2"/>
  <c r="N334" i="2" s="1"/>
  <c r="M330" i="2"/>
  <c r="N330" i="2" s="1"/>
  <c r="M326" i="2"/>
  <c r="N326" i="2" s="1"/>
  <c r="M322" i="2"/>
  <c r="N322" i="2" s="1"/>
  <c r="N318" i="2"/>
  <c r="M235" i="2"/>
  <c r="N235" i="2" s="1"/>
  <c r="M269" i="2"/>
  <c r="N269" i="2" s="1"/>
  <c r="M304" i="2"/>
  <c r="N304" i="2" s="1"/>
  <c r="M258" i="2"/>
  <c r="N258" i="2" s="1"/>
  <c r="M311" i="2"/>
  <c r="N311" i="2" s="1"/>
  <c r="M290" i="2"/>
  <c r="N290" i="2" s="1"/>
  <c r="M313" i="2"/>
  <c r="N313" i="2" s="1"/>
  <c r="M259" i="2"/>
  <c r="N259" i="2" s="1"/>
  <c r="M285" i="2"/>
  <c r="N285" i="2" s="1"/>
  <c r="M288" i="2"/>
  <c r="N288" i="2" s="1"/>
  <c r="M299" i="2"/>
  <c r="N299" i="2" s="1"/>
  <c r="M289" i="2"/>
  <c r="N289" i="2" s="1"/>
  <c r="M279" i="2"/>
  <c r="N279" i="2" s="1"/>
  <c r="M283" i="2"/>
  <c r="N283" i="2" s="1"/>
  <c r="L253" i="2"/>
  <c r="M300" i="2"/>
  <c r="N300" i="2" s="1"/>
  <c r="M238" i="2"/>
  <c r="N238" i="2" s="1"/>
  <c r="M260" i="2"/>
  <c r="N260" i="2" s="1"/>
  <c r="M240" i="2"/>
  <c r="N240" i="2" s="1"/>
  <c r="L263" i="2"/>
  <c r="L287" i="2"/>
  <c r="M308" i="2"/>
  <c r="N308" i="2" s="1"/>
  <c r="M293" i="2"/>
  <c r="N293" i="2" s="1"/>
  <c r="O254" i="2" l="1"/>
  <c r="J271" i="2"/>
  <c r="J255" i="2"/>
  <c r="J286" i="2"/>
  <c r="L254" i="2"/>
  <c r="K255" i="2"/>
  <c r="L255" i="2" s="1"/>
  <c r="L241" i="2"/>
  <c r="M254" i="2"/>
  <c r="I271" i="2"/>
  <c r="M271" i="2" s="1"/>
  <c r="O267" i="2"/>
  <c r="O309" i="2"/>
  <c r="O234" i="2"/>
  <c r="O266" i="2"/>
  <c r="O268" i="2"/>
  <c r="O312" i="2"/>
  <c r="O257" i="2"/>
  <c r="O262" i="2"/>
  <c r="O291" i="2"/>
  <c r="O252" i="2"/>
  <c r="O298" i="2"/>
  <c r="M255" i="2" l="1"/>
  <c r="M241" i="2"/>
  <c r="K298" i="2"/>
  <c r="L298" i="2" s="1"/>
  <c r="K252" i="2"/>
  <c r="L252" i="2" s="1"/>
  <c r="K291" i="2"/>
  <c r="L291" i="2" s="1"/>
  <c r="K281" i="2"/>
  <c r="L281" i="2" s="1"/>
  <c r="K282" i="2"/>
  <c r="L282" i="2" s="1"/>
  <c r="K262" i="2"/>
  <c r="L262" i="2" s="1"/>
  <c r="K312" i="2"/>
  <c r="L312" i="2" s="1"/>
  <c r="K268" i="2"/>
  <c r="L268" i="2" s="1"/>
  <c r="K284" i="2"/>
  <c r="L284" i="2" s="1"/>
  <c r="K266" i="2"/>
  <c r="K286" i="2"/>
  <c r="L286" i="2" s="1"/>
  <c r="K233" i="2"/>
  <c r="L233" i="2" s="1"/>
  <c r="K234" i="2"/>
  <c r="L234" i="2" s="1"/>
  <c r="K309" i="2"/>
  <c r="M309" i="2" s="1"/>
  <c r="N309" i="2" s="1"/>
  <c r="J298" i="2"/>
  <c r="J291" i="2"/>
  <c r="J281" i="2"/>
  <c r="J282" i="2"/>
  <c r="J262" i="2"/>
  <c r="J312" i="2"/>
  <c r="J268" i="2"/>
  <c r="J284" i="2"/>
  <c r="J266" i="2"/>
  <c r="J233" i="2"/>
  <c r="J234" i="2"/>
  <c r="I298" i="2"/>
  <c r="I252" i="2"/>
  <c r="I291" i="2"/>
  <c r="I281" i="2"/>
  <c r="I282" i="2"/>
  <c r="I262" i="2"/>
  <c r="I257" i="2"/>
  <c r="I312" i="2"/>
  <c r="I268" i="2"/>
  <c r="I284" i="2"/>
  <c r="I266" i="2"/>
  <c r="I286" i="2"/>
  <c r="I233" i="2"/>
  <c r="I234" i="2"/>
  <c r="I265" i="2"/>
  <c r="I309" i="2"/>
  <c r="I267" i="2"/>
  <c r="L266" i="2" l="1"/>
  <c r="M266" i="2"/>
  <c r="M267" i="2"/>
  <c r="N267" i="2" s="1"/>
  <c r="L309" i="2"/>
  <c r="O261" i="2" l="1"/>
  <c r="O236" i="2"/>
  <c r="O239" i="2"/>
  <c r="O297" i="2"/>
  <c r="O280" i="2"/>
  <c r="O295" i="2"/>
  <c r="O232" i="2"/>
  <c r="O294" i="2"/>
  <c r="O220" i="2"/>
  <c r="Q220" i="2" s="1"/>
  <c r="I220" i="2"/>
  <c r="O219" i="2"/>
  <c r="Q219" i="2" s="1"/>
  <c r="I219" i="2"/>
  <c r="J219" i="2"/>
  <c r="K219" i="2"/>
  <c r="L219" i="2" s="1"/>
  <c r="O230" i="2"/>
  <c r="O228" i="2"/>
  <c r="O227" i="2"/>
  <c r="O226" i="2"/>
  <c r="M219" i="2" l="1"/>
  <c r="N219" i="2" s="1"/>
  <c r="M220" i="2"/>
  <c r="N220" i="2" s="1"/>
  <c r="I224" i="2" l="1"/>
  <c r="O218" i="2" l="1"/>
  <c r="O217" i="2" l="1"/>
  <c r="Q217" i="2" s="1"/>
  <c r="O216" i="2"/>
  <c r="Q216" i="2" s="1"/>
  <c r="O215" i="2"/>
  <c r="Q215" i="2" s="1"/>
  <c r="O213" i="2"/>
  <c r="Q213" i="2" s="1"/>
  <c r="O211" i="2"/>
  <c r="O210" i="2"/>
  <c r="Q210" i="2" s="1"/>
  <c r="Q342" i="2"/>
  <c r="Q341" i="2"/>
  <c r="Q340" i="2"/>
  <c r="Q339" i="2"/>
  <c r="Q338" i="2"/>
  <c r="Q337" i="2"/>
  <c r="Q336" i="2"/>
  <c r="Q335" i="2"/>
  <c r="Q334" i="2"/>
  <c r="Q333" i="2"/>
  <c r="Q332" i="2"/>
  <c r="Q331" i="2"/>
  <c r="Q330" i="2"/>
  <c r="Q329" i="2"/>
  <c r="Q328" i="2"/>
  <c r="Q327" i="2"/>
  <c r="Q326" i="2"/>
  <c r="Q325" i="2"/>
  <c r="Q324" i="2"/>
  <c r="Q323" i="2"/>
  <c r="Q322" i="2"/>
  <c r="Q321" i="2"/>
  <c r="Q320" i="2"/>
  <c r="Q319" i="2"/>
  <c r="Q318" i="2"/>
  <c r="Q317" i="2"/>
  <c r="Q315" i="2"/>
  <c r="Q231" i="2"/>
  <c r="Q264" i="2"/>
  <c r="Q235" i="2"/>
  <c r="Q292" i="2"/>
  <c r="Q310" i="2"/>
  <c r="Q270" i="2"/>
  <c r="Q269" i="2"/>
  <c r="Q307" i="2"/>
  <c r="Q306" i="2"/>
  <c r="Q305" i="2"/>
  <c r="Q304" i="2"/>
  <c r="Q303" i="2"/>
  <c r="Q302" i="2"/>
  <c r="Q301" i="2"/>
  <c r="Q240" i="2"/>
  <c r="Q299" i="2"/>
  <c r="Q258" i="2"/>
  <c r="Q290" i="2"/>
  <c r="Q238" i="2"/>
  <c r="Q289" i="2"/>
  <c r="Q311" i="2"/>
  <c r="Q313" i="2"/>
  <c r="Q263" i="2"/>
  <c r="Q253" i="2"/>
  <c r="Q288" i="2"/>
  <c r="Q259" i="2"/>
  <c r="Q260" i="2"/>
  <c r="Q279" i="2"/>
  <c r="Q287" i="2"/>
  <c r="Q285" i="2"/>
  <c r="Q308" i="2"/>
  <c r="Q283" i="2"/>
  <c r="Q293" i="2"/>
  <c r="Q300" i="2"/>
  <c r="Q296" i="2"/>
  <c r="Q256" i="2"/>
  <c r="Q278" i="2"/>
  <c r="Q277" i="2"/>
  <c r="Q276" i="2"/>
  <c r="Q275" i="2"/>
  <c r="Q274" i="2"/>
  <c r="Q272" i="2"/>
  <c r="N272" i="2"/>
  <c r="Q271" i="2"/>
  <c r="N271" i="2"/>
  <c r="Q241" i="2"/>
  <c r="N241" i="2"/>
  <c r="Q254" i="2"/>
  <c r="N254" i="2"/>
  <c r="Q255" i="2"/>
  <c r="N255" i="2"/>
  <c r="Q267" i="2"/>
  <c r="Q309" i="2"/>
  <c r="Q265" i="2"/>
  <c r="M265" i="2"/>
  <c r="N265" i="2" s="1"/>
  <c r="Q234" i="2"/>
  <c r="M234" i="2"/>
  <c r="N234" i="2" s="1"/>
  <c r="Q233" i="2"/>
  <c r="M233" i="2"/>
  <c r="N233" i="2" s="1"/>
  <c r="Q286" i="2"/>
  <c r="M286" i="2"/>
  <c r="N286" i="2" s="1"/>
  <c r="Q266" i="2"/>
  <c r="N266" i="2"/>
  <c r="Q284" i="2"/>
  <c r="M284" i="2"/>
  <c r="N284" i="2" s="1"/>
  <c r="Q268" i="2"/>
  <c r="M268" i="2"/>
  <c r="N268" i="2" s="1"/>
  <c r="Q312" i="2"/>
  <c r="M312" i="2"/>
  <c r="N312" i="2" s="1"/>
  <c r="Q257" i="2"/>
  <c r="M257" i="2"/>
  <c r="N257" i="2" s="1"/>
  <c r="Q262" i="2"/>
  <c r="M262" i="2"/>
  <c r="N262" i="2" s="1"/>
  <c r="Q282" i="2"/>
  <c r="M282" i="2"/>
  <c r="N282" i="2" s="1"/>
  <c r="Q281" i="2"/>
  <c r="M281" i="2"/>
  <c r="N281" i="2" s="1"/>
  <c r="Q291" i="2"/>
  <c r="M291" i="2"/>
  <c r="N291" i="2" s="1"/>
  <c r="Q252" i="2"/>
  <c r="M252" i="2"/>
  <c r="N252" i="2" s="1"/>
  <c r="Q298" i="2"/>
  <c r="M298" i="2"/>
  <c r="N298" i="2" s="1"/>
  <c r="Q250" i="2"/>
  <c r="K250" i="2"/>
  <c r="J250" i="2"/>
  <c r="I250" i="2"/>
  <c r="Q249" i="2"/>
  <c r="L249" i="2"/>
  <c r="Q248" i="2"/>
  <c r="K248" i="2"/>
  <c r="L248" i="2" s="1"/>
  <c r="J248" i="2"/>
  <c r="I248" i="2"/>
  <c r="Q314" i="2"/>
  <c r="Q246" i="2"/>
  <c r="Q245" i="2"/>
  <c r="L245" i="2"/>
  <c r="J245" i="2"/>
  <c r="I245" i="2"/>
  <c r="Q244" i="2"/>
  <c r="J244" i="2"/>
  <c r="I244" i="2"/>
  <c r="Q243" i="2"/>
  <c r="J243" i="2"/>
  <c r="I243" i="2"/>
  <c r="Q242" i="2"/>
  <c r="Q261" i="2"/>
  <c r="K261" i="2"/>
  <c r="J261" i="2"/>
  <c r="I261" i="2"/>
  <c r="Q236" i="2"/>
  <c r="K236" i="2"/>
  <c r="L236" i="2" s="1"/>
  <c r="J236" i="2"/>
  <c r="I236" i="2"/>
  <c r="Q239" i="2"/>
  <c r="I239" i="2"/>
  <c r="Q297" i="2"/>
  <c r="K297" i="2"/>
  <c r="J297" i="2"/>
  <c r="I297" i="2"/>
  <c r="Q237" i="2"/>
  <c r="I237" i="2"/>
  <c r="Q247" i="2"/>
  <c r="K247" i="2"/>
  <c r="L247" i="2" s="1"/>
  <c r="J247" i="2"/>
  <c r="I247" i="2"/>
  <c r="Q251" i="2"/>
  <c r="K251" i="2"/>
  <c r="L251" i="2" s="1"/>
  <c r="J251" i="2"/>
  <c r="I251" i="2"/>
  <c r="Q280" i="2"/>
  <c r="K280" i="2"/>
  <c r="J280" i="2"/>
  <c r="I280" i="2"/>
  <c r="Q295" i="2"/>
  <c r="K295" i="2"/>
  <c r="J295" i="2"/>
  <c r="I295" i="2"/>
  <c r="Q232" i="2"/>
  <c r="I232" i="2"/>
  <c r="Q294" i="2"/>
  <c r="K294" i="2"/>
  <c r="J294" i="2"/>
  <c r="I294" i="2"/>
  <c r="Q230" i="2"/>
  <c r="L230" i="2"/>
  <c r="M230" i="2"/>
  <c r="N230" i="2" s="1"/>
  <c r="Q229" i="2"/>
  <c r="Q228" i="2"/>
  <c r="L228" i="2"/>
  <c r="Q227" i="2"/>
  <c r="K227" i="2"/>
  <c r="J227" i="2"/>
  <c r="I227" i="2"/>
  <c r="Q226" i="2"/>
  <c r="Q225" i="2"/>
  <c r="K225" i="2"/>
  <c r="L225" i="2" s="1"/>
  <c r="J225" i="2"/>
  <c r="I225" i="2"/>
  <c r="M225" i="2" s="1"/>
  <c r="N225" i="2" s="1"/>
  <c r="Q224" i="2"/>
  <c r="L224" i="2"/>
  <c r="J224" i="2"/>
  <c r="M224" i="2"/>
  <c r="N224" i="2" s="1"/>
  <c r="Q223" i="2"/>
  <c r="J223" i="2"/>
  <c r="I223" i="2"/>
  <c r="Q222" i="2"/>
  <c r="Q221" i="2"/>
  <c r="K221" i="2"/>
  <c r="L221" i="2" s="1"/>
  <c r="J221" i="2"/>
  <c r="I221" i="2"/>
  <c r="Q218" i="2"/>
  <c r="K218" i="2"/>
  <c r="L218" i="2" s="1"/>
  <c r="J218" i="2"/>
  <c r="I218" i="2"/>
  <c r="K217" i="2"/>
  <c r="J217" i="2"/>
  <c r="I217" i="2"/>
  <c r="K216" i="2"/>
  <c r="M216" i="2" s="1"/>
  <c r="N216" i="2" s="1"/>
  <c r="J216" i="2"/>
  <c r="I216" i="2"/>
  <c r="K215" i="2"/>
  <c r="L215" i="2" s="1"/>
  <c r="J215" i="2"/>
  <c r="I215" i="2"/>
  <c r="Q214" i="2"/>
  <c r="K214" i="2"/>
  <c r="L214" i="2" s="1"/>
  <c r="J214" i="2"/>
  <c r="I214" i="2"/>
  <c r="I213" i="2"/>
  <c r="Q212" i="2"/>
  <c r="I212" i="2"/>
  <c r="Q211" i="2"/>
  <c r="K211" i="2"/>
  <c r="L211" i="2" s="1"/>
  <c r="J211" i="2"/>
  <c r="I211" i="2"/>
  <c r="K210" i="2"/>
  <c r="L210" i="2" s="1"/>
  <c r="J210" i="2"/>
  <c r="I210" i="2"/>
  <c r="Q209" i="2"/>
  <c r="Q208" i="2"/>
  <c r="Q207" i="2"/>
  <c r="K207" i="2"/>
  <c r="L207" i="2" s="1"/>
  <c r="J207" i="2"/>
  <c r="I207" i="2"/>
  <c r="Q206" i="2"/>
  <c r="L206" i="2"/>
  <c r="M206" i="2"/>
  <c r="N206" i="2" s="1"/>
  <c r="Q205" i="2"/>
  <c r="M205" i="2"/>
  <c r="N205" i="2" s="1"/>
  <c r="Q204" i="2"/>
  <c r="L204" i="2"/>
  <c r="J204" i="2"/>
  <c r="I204" i="2"/>
  <c r="M204" i="2" s="1"/>
  <c r="N204" i="2" s="1"/>
  <c r="Q203" i="2"/>
  <c r="J203" i="2"/>
  <c r="I203" i="2"/>
  <c r="M203" i="2" s="1"/>
  <c r="N203" i="2" s="1"/>
  <c r="Q202" i="2"/>
  <c r="J202" i="2"/>
  <c r="I202" i="2"/>
  <c r="M202" i="2" s="1"/>
  <c r="N202" i="2" s="1"/>
  <c r="Q201" i="2"/>
  <c r="M201" i="2"/>
  <c r="N201" i="2" s="1"/>
  <c r="L201" i="2"/>
  <c r="J201" i="2"/>
  <c r="I201" i="2"/>
  <c r="O200" i="2"/>
  <c r="Q200" i="2" s="1"/>
  <c r="K200" i="2"/>
  <c r="L200" i="2" s="1"/>
  <c r="J200" i="2"/>
  <c r="I200" i="2"/>
  <c r="O199" i="2"/>
  <c r="Q199" i="2" s="1"/>
  <c r="I199" i="2"/>
  <c r="O198" i="2"/>
  <c r="Q198" i="2" s="1"/>
  <c r="K198" i="2"/>
  <c r="M198" i="2" s="1"/>
  <c r="N198" i="2" s="1"/>
  <c r="J198" i="2"/>
  <c r="I198" i="2"/>
  <c r="O197" i="2"/>
  <c r="Q197" i="2" s="1"/>
  <c r="K197" i="2"/>
  <c r="M197" i="2" s="1"/>
  <c r="N197" i="2" s="1"/>
  <c r="J197" i="2"/>
  <c r="I197" i="2"/>
  <c r="O196" i="2"/>
  <c r="Q196" i="2" s="1"/>
  <c r="I196" i="2"/>
  <c r="O195" i="2"/>
  <c r="Q195" i="2" s="1"/>
  <c r="K195" i="2"/>
  <c r="L195" i="2" s="1"/>
  <c r="J195" i="2"/>
  <c r="I195" i="2"/>
  <c r="O194" i="2"/>
  <c r="Q194" i="2" s="1"/>
  <c r="K194" i="2"/>
  <c r="L194" i="2" s="1"/>
  <c r="J194" i="2"/>
  <c r="I194" i="2"/>
  <c r="O193" i="2"/>
  <c r="Q193" i="2" s="1"/>
  <c r="K193" i="2"/>
  <c r="L193" i="2" s="1"/>
  <c r="J193" i="2"/>
  <c r="I193" i="2"/>
  <c r="O192" i="2"/>
  <c r="Q192" i="2" s="1"/>
  <c r="I192" i="2"/>
  <c r="O191" i="2"/>
  <c r="Q191" i="2" s="1"/>
  <c r="K191" i="2"/>
  <c r="M191" i="2" s="1"/>
  <c r="N191" i="2" s="1"/>
  <c r="J191" i="2"/>
  <c r="I191" i="2"/>
  <c r="Q190" i="2"/>
  <c r="K190" i="2"/>
  <c r="J190" i="2"/>
  <c r="I190" i="2"/>
  <c r="O189" i="2"/>
  <c r="Q189" i="2" s="1"/>
  <c r="K189" i="2"/>
  <c r="J189" i="2"/>
  <c r="I189" i="2"/>
  <c r="O188" i="2"/>
  <c r="Q188" i="2" s="1"/>
  <c r="I188" i="2"/>
  <c r="O187" i="2"/>
  <c r="Q187" i="2" s="1"/>
  <c r="K187" i="2"/>
  <c r="M187" i="2" s="1"/>
  <c r="N187" i="2" s="1"/>
  <c r="J187" i="2"/>
  <c r="I187" i="2"/>
  <c r="Q186" i="2"/>
  <c r="M186" i="2"/>
  <c r="N186" i="2" s="1"/>
  <c r="K186" i="2"/>
  <c r="L186" i="2" s="1"/>
  <c r="J186" i="2"/>
  <c r="I186" i="2"/>
  <c r="O185" i="2"/>
  <c r="Q185" i="2" s="1"/>
  <c r="M185" i="2"/>
  <c r="N185" i="2" s="1"/>
  <c r="L185" i="2"/>
  <c r="Q184" i="2"/>
  <c r="Q183" i="2"/>
  <c r="M183" i="2"/>
  <c r="N183" i="2" s="1"/>
  <c r="L183" i="2"/>
  <c r="Q182" i="2"/>
  <c r="M182" i="2"/>
  <c r="N182" i="2" s="1"/>
  <c r="L182" i="2"/>
  <c r="Q181" i="2"/>
  <c r="J181" i="2"/>
  <c r="I181" i="2"/>
  <c r="M181" i="2" s="1"/>
  <c r="N181" i="2" s="1"/>
  <c r="Q180" i="2"/>
  <c r="J180" i="2"/>
  <c r="I180" i="2"/>
  <c r="M180" i="2" s="1"/>
  <c r="N180" i="2" s="1"/>
  <c r="O179" i="2"/>
  <c r="Q179" i="2" s="1"/>
  <c r="K179" i="2"/>
  <c r="M179" i="2" s="1"/>
  <c r="N179" i="2" s="1"/>
  <c r="J179" i="2"/>
  <c r="I179" i="2"/>
  <c r="O178" i="2"/>
  <c r="Q178" i="2" s="1"/>
  <c r="K178" i="2"/>
  <c r="M178" i="2" s="1"/>
  <c r="N178" i="2" s="1"/>
  <c r="J178" i="2"/>
  <c r="I178" i="2"/>
  <c r="O177" i="2"/>
  <c r="Q177" i="2" s="1"/>
  <c r="I177" i="2"/>
  <c r="O176" i="2"/>
  <c r="Q176" i="2" s="1"/>
  <c r="K176" i="2"/>
  <c r="L176" i="2" s="1"/>
  <c r="J176" i="2"/>
  <c r="I176" i="2"/>
  <c r="O175" i="2"/>
  <c r="Q175" i="2" s="1"/>
  <c r="I175" i="2"/>
  <c r="Q174" i="2"/>
  <c r="I174" i="2"/>
  <c r="O173" i="2"/>
  <c r="Q173" i="2" s="1"/>
  <c r="K173" i="2"/>
  <c r="M173" i="2" s="1"/>
  <c r="N173" i="2" s="1"/>
  <c r="J173" i="2"/>
  <c r="I173" i="2"/>
  <c r="Q172" i="2"/>
  <c r="K172" i="2"/>
  <c r="L172" i="2" s="1"/>
  <c r="J172" i="2"/>
  <c r="I172" i="2"/>
  <c r="Q171" i="2"/>
  <c r="M171" i="2"/>
  <c r="N171" i="2" s="1"/>
  <c r="L171" i="2"/>
  <c r="O170" i="2"/>
  <c r="Q170" i="2" s="1"/>
  <c r="K170" i="2"/>
  <c r="L170" i="2" s="1"/>
  <c r="J170" i="2"/>
  <c r="I170" i="2"/>
  <c r="Q169" i="2"/>
  <c r="K169" i="2"/>
  <c r="M169" i="2" s="1"/>
  <c r="N169" i="2" s="1"/>
  <c r="J169" i="2"/>
  <c r="I169" i="2"/>
  <c r="O168" i="2"/>
  <c r="Q168" i="2" s="1"/>
  <c r="K168" i="2"/>
  <c r="M168" i="2" s="1"/>
  <c r="N168" i="2" s="1"/>
  <c r="J168" i="2"/>
  <c r="I168" i="2"/>
  <c r="Q167" i="2"/>
  <c r="M167" i="2"/>
  <c r="N167" i="2" s="1"/>
  <c r="L167" i="2"/>
  <c r="Q166" i="2"/>
  <c r="M166" i="2"/>
  <c r="N166" i="2" s="1"/>
  <c r="K166" i="2"/>
  <c r="J166" i="2"/>
  <c r="I166" i="2"/>
  <c r="Q165" i="2"/>
  <c r="M165" i="2"/>
  <c r="N165" i="2" s="1"/>
  <c r="Q164" i="2"/>
  <c r="M164" i="2"/>
  <c r="N164" i="2" s="1"/>
  <c r="L164" i="2"/>
  <c r="J164" i="2"/>
  <c r="I164" i="2"/>
  <c r="Q163" i="2"/>
  <c r="I163" i="2"/>
  <c r="Q162" i="2"/>
  <c r="I162" i="2"/>
  <c r="O161" i="2"/>
  <c r="Q161" i="2" s="1"/>
  <c r="K161" i="2"/>
  <c r="M161" i="2" s="1"/>
  <c r="N161" i="2" s="1"/>
  <c r="J161" i="2"/>
  <c r="I161" i="2"/>
  <c r="O160" i="2"/>
  <c r="Q160" i="2" s="1"/>
  <c r="K160" i="2"/>
  <c r="M160" i="2" s="1"/>
  <c r="N160" i="2" s="1"/>
  <c r="J160" i="2"/>
  <c r="I160" i="2"/>
  <c r="O159" i="2"/>
  <c r="Q159" i="2" s="1"/>
  <c r="K159" i="2"/>
  <c r="M159" i="2" s="1"/>
  <c r="N159" i="2" s="1"/>
  <c r="J159" i="2"/>
  <c r="I159" i="2"/>
  <c r="Q158" i="2"/>
  <c r="K158" i="2"/>
  <c r="L158" i="2" s="1"/>
  <c r="J158" i="2"/>
  <c r="I158" i="2"/>
  <c r="Q157" i="2"/>
  <c r="I157" i="2"/>
  <c r="Q156" i="2"/>
  <c r="K156" i="2"/>
  <c r="M156" i="2" s="1"/>
  <c r="N156" i="2" s="1"/>
  <c r="J156" i="2"/>
  <c r="I156" i="2"/>
  <c r="Q155" i="2"/>
  <c r="J155" i="2"/>
  <c r="I155" i="2"/>
  <c r="M155" i="2" s="1"/>
  <c r="N155" i="2" s="1"/>
  <c r="Q154" i="2"/>
  <c r="J154" i="2"/>
  <c r="I154" i="2"/>
  <c r="M154" i="2" s="1"/>
  <c r="N154" i="2" s="1"/>
  <c r="Q153" i="2"/>
  <c r="I153" i="2"/>
  <c r="O152" i="2"/>
  <c r="Q152" i="2" s="1"/>
  <c r="K152" i="2"/>
  <c r="L152" i="2" s="1"/>
  <c r="J152" i="2"/>
  <c r="I152" i="2"/>
  <c r="O151" i="2"/>
  <c r="Q151" i="2" s="1"/>
  <c r="I151" i="2"/>
  <c r="O150" i="2"/>
  <c r="Q150" i="2" s="1"/>
  <c r="K150" i="2"/>
  <c r="J150" i="2"/>
  <c r="I150" i="2"/>
  <c r="O149" i="2"/>
  <c r="Q149" i="2" s="1"/>
  <c r="K149" i="2"/>
  <c r="J149" i="2"/>
  <c r="I149" i="2"/>
  <c r="O148" i="2"/>
  <c r="Q148" i="2" s="1"/>
  <c r="K148" i="2"/>
  <c r="J148" i="2"/>
  <c r="I148" i="2"/>
  <c r="O147" i="2"/>
  <c r="Q147" i="2" s="1"/>
  <c r="K147" i="2"/>
  <c r="L147" i="2" s="1"/>
  <c r="J147" i="2"/>
  <c r="I147" i="2"/>
  <c r="Q146" i="2"/>
  <c r="K146" i="2"/>
  <c r="M146" i="2" s="1"/>
  <c r="N146" i="2" s="1"/>
  <c r="J146" i="2"/>
  <c r="I146" i="2"/>
  <c r="Q145" i="2"/>
  <c r="M145" i="2"/>
  <c r="N145" i="2" s="1"/>
  <c r="L145" i="2"/>
  <c r="Q144" i="2"/>
  <c r="M144" i="2"/>
  <c r="N144" i="2" s="1"/>
  <c r="K144" i="2"/>
  <c r="J144" i="2"/>
  <c r="I144" i="2"/>
  <c r="Q143" i="2"/>
  <c r="M143" i="2"/>
  <c r="N143" i="2" s="1"/>
  <c r="K143" i="2"/>
  <c r="J143" i="2"/>
  <c r="I143" i="2"/>
  <c r="Q142" i="2"/>
  <c r="M142" i="2"/>
  <c r="N142" i="2" s="1"/>
  <c r="L142" i="2"/>
  <c r="J142" i="2"/>
  <c r="I142" i="2"/>
  <c r="Q141" i="2"/>
  <c r="M141" i="2"/>
  <c r="N141" i="2" s="1"/>
  <c r="L141" i="2"/>
  <c r="Q140" i="2"/>
  <c r="N140" i="2"/>
  <c r="Q139" i="2"/>
  <c r="N139" i="2"/>
  <c r="Q138" i="2"/>
  <c r="N138" i="2"/>
  <c r="O137" i="2"/>
  <c r="Q137" i="2" s="1"/>
  <c r="N137" i="2"/>
  <c r="K137" i="2"/>
  <c r="J137" i="2"/>
  <c r="I137" i="2"/>
  <c r="Q136" i="2"/>
  <c r="Q135" i="2"/>
  <c r="O134" i="2"/>
  <c r="Q134" i="2" s="1"/>
  <c r="N134" i="2"/>
  <c r="K134" i="2"/>
  <c r="J134" i="2"/>
  <c r="I134" i="2"/>
  <c r="O133" i="2"/>
  <c r="Q133" i="2" s="1"/>
  <c r="O132" i="2"/>
  <c r="Q132" i="2" s="1"/>
  <c r="N132" i="2"/>
  <c r="K132" i="2"/>
  <c r="J132" i="2"/>
  <c r="I132" i="2"/>
  <c r="O131" i="2"/>
  <c r="Q131" i="2" s="1"/>
  <c r="N131" i="2"/>
  <c r="K131" i="2"/>
  <c r="J131" i="2"/>
  <c r="I131" i="2"/>
  <c r="O130" i="2"/>
  <c r="Q130" i="2" s="1"/>
  <c r="Q129" i="2"/>
  <c r="N129" i="2"/>
  <c r="K129" i="2"/>
  <c r="J129" i="2"/>
  <c r="I129" i="2"/>
  <c r="O128" i="2"/>
  <c r="Q128" i="2" s="1"/>
  <c r="N128" i="2"/>
  <c r="K128" i="2"/>
  <c r="J128" i="2"/>
  <c r="I128" i="2"/>
  <c r="O127" i="2"/>
  <c r="Q127" i="2" s="1"/>
  <c r="O126" i="2"/>
  <c r="Q126" i="2" s="1"/>
  <c r="N126" i="2"/>
  <c r="K126" i="2"/>
  <c r="J126" i="2"/>
  <c r="I126" i="2"/>
  <c r="Q125" i="2"/>
  <c r="K125" i="2"/>
  <c r="J125" i="2"/>
  <c r="I125" i="2"/>
  <c r="Q124" i="2"/>
  <c r="J124" i="2"/>
  <c r="I124" i="2"/>
  <c r="L146" i="2" l="1"/>
  <c r="L161" i="2"/>
  <c r="L159" i="2"/>
  <c r="M177" i="2"/>
  <c r="N177" i="2" s="1"/>
  <c r="M200" i="2"/>
  <c r="N200" i="2" s="1"/>
  <c r="L294" i="2"/>
  <c r="M294" i="2"/>
  <c r="N294" i="2" s="1"/>
  <c r="M152" i="2"/>
  <c r="N152" i="2" s="1"/>
  <c r="M175" i="2"/>
  <c r="N175" i="2" s="1"/>
  <c r="L160" i="2"/>
  <c r="L173" i="2"/>
  <c r="L187" i="2"/>
  <c r="M196" i="2"/>
  <c r="N196" i="2" s="1"/>
  <c r="M194" i="2"/>
  <c r="N194" i="2" s="1"/>
  <c r="M239" i="2"/>
  <c r="N239" i="2" s="1"/>
  <c r="M236" i="2"/>
  <c r="N236" i="2" s="1"/>
  <c r="M295" i="2"/>
  <c r="N295" i="2" s="1"/>
  <c r="M237" i="2"/>
  <c r="N237" i="2" s="1"/>
  <c r="M248" i="2"/>
  <c r="N248" i="2" s="1"/>
  <c r="L156" i="2"/>
  <c r="M176" i="2"/>
  <c r="N176" i="2" s="1"/>
  <c r="L179" i="2"/>
  <c r="M192" i="2"/>
  <c r="N192" i="2" s="1"/>
  <c r="L198" i="2"/>
  <c r="M246" i="2"/>
  <c r="N246" i="2" s="1"/>
  <c r="M251" i="2"/>
  <c r="N251" i="2" s="1"/>
  <c r="M250" i="2"/>
  <c r="N250" i="2" s="1"/>
  <c r="M163" i="2"/>
  <c r="N163" i="2" s="1"/>
  <c r="M170" i="2"/>
  <c r="N170" i="2" s="1"/>
  <c r="L178" i="2"/>
  <c r="M195" i="2"/>
  <c r="N195" i="2" s="1"/>
  <c r="L250" i="2"/>
  <c r="M228" i="2"/>
  <c r="N228" i="2" s="1"/>
  <c r="M226" i="2"/>
  <c r="N226" i="2" s="1"/>
  <c r="M218" i="2"/>
  <c r="N218" i="2" s="1"/>
  <c r="M221" i="2"/>
  <c r="N221" i="2" s="1"/>
  <c r="M215" i="2"/>
  <c r="N215" i="2" s="1"/>
  <c r="M211" i="2"/>
  <c r="N211" i="2" s="1"/>
  <c r="M214" i="2"/>
  <c r="N214" i="2" s="1"/>
  <c r="M210" i="2"/>
  <c r="N210" i="2" s="1"/>
  <c r="M222" i="2"/>
  <c r="N222" i="2" s="1"/>
  <c r="M212" i="2"/>
  <c r="N212" i="2" s="1"/>
  <c r="M153" i="2"/>
  <c r="N153" i="2" s="1"/>
  <c r="M158" i="2"/>
  <c r="N158" i="2" s="1"/>
  <c r="L168" i="2"/>
  <c r="L169" i="2"/>
  <c r="M172" i="2"/>
  <c r="N172" i="2" s="1"/>
  <c r="L191" i="2"/>
  <c r="M193" i="2"/>
  <c r="N193" i="2" s="1"/>
  <c r="L197" i="2"/>
  <c r="L216" i="2"/>
  <c r="L222" i="2"/>
  <c r="L226" i="2"/>
  <c r="L295" i="2"/>
  <c r="M247" i="2"/>
  <c r="N247" i="2" s="1"/>
  <c r="M244" i="2"/>
  <c r="N244" i="2" s="1"/>
  <c r="M249" i="2"/>
  <c r="N249" i="2" s="1"/>
  <c r="M151" i="2"/>
  <c r="N151" i="2" s="1"/>
  <c r="M157" i="2"/>
  <c r="N157" i="2" s="1"/>
  <c r="M232" i="2"/>
  <c r="N232" i="2" s="1"/>
  <c r="M261" i="2"/>
  <c r="N261" i="2" s="1"/>
  <c r="M243" i="2"/>
  <c r="N243" i="2" s="1"/>
  <c r="M245" i="2"/>
  <c r="N245" i="2" s="1"/>
  <c r="L261" i="2"/>
  <c r="M208" i="2"/>
  <c r="N208" i="2" s="1"/>
  <c r="M174" i="2"/>
  <c r="N174" i="2" s="1"/>
  <c r="M188" i="2"/>
  <c r="N188" i="2" s="1"/>
  <c r="M189" i="2"/>
  <c r="N189" i="2" s="1"/>
  <c r="L189" i="2"/>
  <c r="M190" i="2"/>
  <c r="N190" i="2" s="1"/>
  <c r="L190" i="2"/>
  <c r="M147" i="2"/>
  <c r="N147" i="2" s="1"/>
  <c r="M148" i="2"/>
  <c r="N148" i="2" s="1"/>
  <c r="L148" i="2"/>
  <c r="M149" i="2"/>
  <c r="N149" i="2" s="1"/>
  <c r="L149" i="2"/>
  <c r="M150" i="2"/>
  <c r="N150" i="2" s="1"/>
  <c r="L150" i="2"/>
  <c r="M199" i="2"/>
  <c r="N199" i="2" s="1"/>
  <c r="M213" i="2"/>
  <c r="N213" i="2" s="1"/>
  <c r="M217" i="2"/>
  <c r="N217" i="2" s="1"/>
  <c r="L217" i="2"/>
  <c r="M223" i="2"/>
  <c r="N223" i="2" s="1"/>
  <c r="M227" i="2"/>
  <c r="N227" i="2" s="1"/>
  <c r="L227" i="2"/>
  <c r="M229" i="2"/>
  <c r="N229" i="2" s="1"/>
  <c r="L229" i="2"/>
  <c r="M162" i="2"/>
  <c r="N162" i="2" s="1"/>
  <c r="M209" i="2"/>
  <c r="N209" i="2" s="1"/>
  <c r="M280" i="2"/>
  <c r="N280" i="2" s="1"/>
  <c r="L280" i="2"/>
  <c r="M297" i="2"/>
  <c r="N297" i="2" s="1"/>
  <c r="L297" i="2"/>
  <c r="M242" i="2"/>
  <c r="N242" i="2" s="1"/>
  <c r="M314" i="2"/>
  <c r="N314" i="2" s="1"/>
  <c r="L314" i="2"/>
  <c r="M207" i="2"/>
  <c r="N207" i="2" s="1"/>
</calcChain>
</file>

<file path=xl/sharedStrings.xml><?xml version="1.0" encoding="utf-8"?>
<sst xmlns="http://schemas.openxmlformats.org/spreadsheetml/2006/main" count="4690" uniqueCount="692">
  <si>
    <t>Unit Name</t>
  </si>
  <si>
    <t>Meat &amp; Poultry</t>
  </si>
  <si>
    <t>Produce</t>
  </si>
  <si>
    <t>Dairy &amp; Eggs</t>
  </si>
  <si>
    <t>Coffee &amp; Tea</t>
  </si>
  <si>
    <t>Invoice #</t>
  </si>
  <si>
    <t>Invoice Date</t>
  </si>
  <si>
    <t>Per and Wk</t>
  </si>
  <si>
    <t>Category</t>
  </si>
  <si>
    <t>Brand name</t>
  </si>
  <si>
    <t>Product Description</t>
  </si>
  <si>
    <t>Farm to Fork</t>
  </si>
  <si>
    <t>S Description</t>
  </si>
  <si>
    <t>L &amp; S description</t>
  </si>
  <si>
    <t xml:space="preserve">Total Cost </t>
  </si>
  <si>
    <t>Mayfield</t>
  </si>
  <si>
    <t>9/25-9/30</t>
  </si>
  <si>
    <t>per 1 wk 1</t>
  </si>
  <si>
    <t>mayfield</t>
  </si>
  <si>
    <t>raised w/o hormones</t>
  </si>
  <si>
    <t>Yes</t>
  </si>
  <si>
    <t>Emory Local &amp; raised w/o hormones</t>
  </si>
  <si>
    <t>Buckhead beef</t>
  </si>
  <si>
    <t>white oak pastures</t>
  </si>
  <si>
    <t>grassfed patty</t>
  </si>
  <si>
    <t>grassfed</t>
  </si>
  <si>
    <t>F2f &amp; grassfed</t>
  </si>
  <si>
    <t>Inland</t>
  </si>
  <si>
    <t>Royal</t>
  </si>
  <si>
    <t>15-600331</t>
  </si>
  <si>
    <t>royal local</t>
  </si>
  <si>
    <t>green beans, corn, mushroom, green pepper</t>
  </si>
  <si>
    <t>N/A</t>
  </si>
  <si>
    <t>No</t>
  </si>
  <si>
    <t>atlanta fresh</t>
  </si>
  <si>
    <t>greek yogrut plain, vanilla 2%</t>
  </si>
  <si>
    <t>F2f &amp; raised w/o hormones</t>
  </si>
  <si>
    <t>15-599121</t>
  </si>
  <si>
    <t>kale, squash, tofu</t>
  </si>
  <si>
    <t>15-599207</t>
  </si>
  <si>
    <t>apple</t>
  </si>
  <si>
    <t>15-596787</t>
  </si>
  <si>
    <t>green bean, eggplant, mushroom, zucchini, tomato</t>
  </si>
  <si>
    <t>15-597810</t>
  </si>
  <si>
    <t>apple, green bean, kale, mushroom, green pepper, butternut squash, squash, zucchini, tofu</t>
  </si>
  <si>
    <t>greek yogurt plain, vanilla</t>
  </si>
  <si>
    <t>15-601052</t>
  </si>
  <si>
    <t>apple, green beans, mushroom, green pepper</t>
  </si>
  <si>
    <t>15-602022</t>
  </si>
  <si>
    <t>greek yogurt plain 2%</t>
  </si>
  <si>
    <t>15-602021</t>
  </si>
  <si>
    <t>apple, green beans, eggplant, mushroom, green pepper</t>
  </si>
  <si>
    <t>Sysco</t>
  </si>
  <si>
    <t>entire week</t>
  </si>
  <si>
    <t>Seafood</t>
  </si>
  <si>
    <t>empress</t>
  </si>
  <si>
    <t xml:space="preserve">tuna fad free </t>
  </si>
  <si>
    <t>seafood watch</t>
  </si>
  <si>
    <t>fishery</t>
  </si>
  <si>
    <t>yes</t>
  </si>
  <si>
    <t>Batdorf &amp; bronson</t>
  </si>
  <si>
    <t>per 1 wk 2</t>
  </si>
  <si>
    <t>batdorf &amp; bronson</t>
  </si>
  <si>
    <t>fair trade</t>
  </si>
  <si>
    <t>Tucker Farm</t>
  </si>
  <si>
    <t>tucker farm</t>
  </si>
  <si>
    <t>Buckhead Beef</t>
  </si>
  <si>
    <t>patty</t>
  </si>
  <si>
    <t>drum black</t>
  </si>
  <si>
    <t>15-603365</t>
  </si>
  <si>
    <t>Grocery</t>
  </si>
  <si>
    <t>orange juice</t>
  </si>
  <si>
    <t>15-603301</t>
  </si>
  <si>
    <t>squash, jalapeno</t>
  </si>
  <si>
    <t>apple, green beens, eggplant, msuhroom, green pepper</t>
  </si>
  <si>
    <t>15-604512</t>
  </si>
  <si>
    <t>yelow, eggplant, kale, mushroom, green pepper, sweet potato, squash, zucchini</t>
  </si>
  <si>
    <t>15-604130</t>
  </si>
  <si>
    <t>apple, green beans, eggplant, kale, mushroom, green pepper, tomato</t>
  </si>
  <si>
    <t>greek yogurt 2%</t>
  </si>
  <si>
    <t>15-608289</t>
  </si>
  <si>
    <t>apple, cucumber, eggplant, melon, mushroom, squash</t>
  </si>
  <si>
    <t>tuna</t>
  </si>
  <si>
    <t>catfish</t>
  </si>
  <si>
    <t>15-607146</t>
  </si>
  <si>
    <t>tomato</t>
  </si>
  <si>
    <t>greek yogurt</t>
  </si>
  <si>
    <t>15-608288</t>
  </si>
  <si>
    <t>asian pears</t>
  </si>
  <si>
    <t>15-606655</t>
  </si>
  <si>
    <t>apple, green beans, cucumber, eggplant, mushroom, green pepper, sweet poato, zuchhini, tomato</t>
  </si>
  <si>
    <t>15-607367</t>
  </si>
  <si>
    <t>msuhroom, green pepper, jalapeno, sweet potato, zuchhini, tomato</t>
  </si>
  <si>
    <t>apple, green bean, eggplant, cucumber, kale</t>
  </si>
  <si>
    <t>15-606657</t>
  </si>
  <si>
    <t>per 1 wk 3</t>
  </si>
  <si>
    <t>regular coffee</t>
  </si>
  <si>
    <t>inland</t>
  </si>
  <si>
    <t>15-611574</t>
  </si>
  <si>
    <t>green beans, corn, eggplant, mushroom, green pepper, sweet potato</t>
  </si>
  <si>
    <t>15-609540</t>
  </si>
  <si>
    <t>15-609541</t>
  </si>
  <si>
    <t>apple, green beans, cucumber, eggplant, cantaloupe, mushroom, green pepper, sweet potato, collards, butternut squash, zucchini, tofu</t>
  </si>
  <si>
    <t xml:space="preserve">Tucker Farm </t>
  </si>
  <si>
    <t>kale, swiss chard, spring mix, lettuce, bibb</t>
  </si>
  <si>
    <t>15-613870</t>
  </si>
  <si>
    <t>tofu</t>
  </si>
  <si>
    <t>15-612980</t>
  </si>
  <si>
    <t>apple, cucumber, melon, mushroom, green pepper, squash</t>
  </si>
  <si>
    <t xml:space="preserve">greek yogurt </t>
  </si>
  <si>
    <t>15-612981</t>
  </si>
  <si>
    <t>15-614907</t>
  </si>
  <si>
    <t>green beans, cucumber, eggplant, melon, mushroom, green pepper, squash</t>
  </si>
  <si>
    <t>15-613869</t>
  </si>
  <si>
    <t>green bean, mushroom</t>
  </si>
  <si>
    <t>15-610387</t>
  </si>
  <si>
    <t>green beans, cucumber, melon, green pepper, butternut, tomato</t>
  </si>
  <si>
    <t>per 1 wk 4</t>
  </si>
  <si>
    <t>bokchoy, kale, sproing mix</t>
  </si>
  <si>
    <t>bok choy, lettuce, chard</t>
  </si>
  <si>
    <t>brasstown</t>
  </si>
  <si>
    <t>beef</t>
  </si>
  <si>
    <t>Emory Local &amp; grassfed</t>
  </si>
  <si>
    <t>Cheshire</t>
  </si>
  <si>
    <t>pork</t>
  </si>
  <si>
    <t>15-615977</t>
  </si>
  <si>
    <t>apple, cucumber, eggplant, mushroom pepper, sweet potato</t>
  </si>
  <si>
    <t>squash, tofu</t>
  </si>
  <si>
    <t>15-615978</t>
  </si>
  <si>
    <t>cucumber</t>
  </si>
  <si>
    <t>15-621524</t>
  </si>
  <si>
    <t>apple, green beans, cabbage, corn, cucumber, eggplant melon, green pepper, tomato, tofu, etc</t>
  </si>
  <si>
    <t>mushroom, green pepper, squash, tom, tofu</t>
  </si>
  <si>
    <t>15-621525</t>
  </si>
  <si>
    <t>tomato, green beans</t>
  </si>
  <si>
    <t>15-616771</t>
  </si>
  <si>
    <t>apple, eggplant, melon, mushroom, squash, tofu, tom</t>
  </si>
  <si>
    <t>15-620402</t>
  </si>
  <si>
    <t>apple, green bean, cucumber, eggplant, melon, mushroom</t>
  </si>
  <si>
    <t>15-618308</t>
  </si>
  <si>
    <t>apple, cucumber, eggplant, melon, etc</t>
  </si>
  <si>
    <t>15-618309</t>
  </si>
  <si>
    <t>15-619471</t>
  </si>
  <si>
    <t>apple, green bean, cucumber, eggplant, etc</t>
  </si>
  <si>
    <t>milk</t>
  </si>
  <si>
    <t>Seafood Watch</t>
  </si>
  <si>
    <t>tilapia, pollocl</t>
  </si>
  <si>
    <t xml:space="preserve">Meat &amp; Poultry </t>
  </si>
  <si>
    <t>cheshire</t>
  </si>
  <si>
    <t xml:space="preserve">royal local </t>
  </si>
  <si>
    <t>sysco</t>
  </si>
  <si>
    <t>per 1 wk 5</t>
  </si>
  <si>
    <t>Batdorf &amp; Bronson</t>
  </si>
  <si>
    <t xml:space="preserve">ground beef </t>
  </si>
  <si>
    <t>inalnd</t>
  </si>
  <si>
    <t>black drum</t>
  </si>
  <si>
    <t>15-623542</t>
  </si>
  <si>
    <t>apple, green beans, cabbage, cucumber, etc</t>
  </si>
  <si>
    <t>15-622671</t>
  </si>
  <si>
    <t>apple, green beans, cabbage, eggplant, etc</t>
  </si>
  <si>
    <t>15-623543</t>
  </si>
  <si>
    <t>15-626271</t>
  </si>
  <si>
    <t>15-624975</t>
  </si>
  <si>
    <t>apple, green bean, eggplant, mushroom</t>
  </si>
  <si>
    <t>15-627982</t>
  </si>
  <si>
    <t>Tomato, cucumber, green pepper</t>
  </si>
  <si>
    <t>15-626972</t>
  </si>
  <si>
    <t>apple, green beans, eggplant, melon, etc</t>
  </si>
  <si>
    <t>15-626971</t>
  </si>
  <si>
    <t>oranges</t>
  </si>
  <si>
    <t>spring mix, etc</t>
  </si>
  <si>
    <t>davidson</t>
  </si>
  <si>
    <t>per 2 wk 1</t>
  </si>
  <si>
    <t>tilapia</t>
  </si>
  <si>
    <t>drum</t>
  </si>
  <si>
    <t>15-627983</t>
  </si>
  <si>
    <t>apple, green bean, cucumber, melon</t>
  </si>
  <si>
    <t>15-629378</t>
  </si>
  <si>
    <t>cucumber, eggplant, mushroom, etc</t>
  </si>
  <si>
    <t>15-631431</t>
  </si>
  <si>
    <t>apple, green beans, cabbage</t>
  </si>
  <si>
    <t>15-632591</t>
  </si>
  <si>
    <t>gren beans, cucumber, kale, etc</t>
  </si>
  <si>
    <t>15-632636</t>
  </si>
  <si>
    <t>15-633530</t>
  </si>
  <si>
    <t>idp apple</t>
  </si>
  <si>
    <t>15-633531</t>
  </si>
  <si>
    <t>apple, cabbage, eggplant, green pepper, et</t>
  </si>
  <si>
    <t>15-634403</t>
  </si>
  <si>
    <t>green pepper, tomato</t>
  </si>
  <si>
    <t>15-634404</t>
  </si>
  <si>
    <t>coffee</t>
  </si>
  <si>
    <t>per 2 wk 2</t>
  </si>
  <si>
    <t>Tucker Farms</t>
  </si>
  <si>
    <t>no</t>
  </si>
  <si>
    <t>15-635746</t>
  </si>
  <si>
    <t>apple, green beans, cucumber, eggplant</t>
  </si>
  <si>
    <t>15-637657</t>
  </si>
  <si>
    <t>apple, green bean, msuhroom, etc</t>
  </si>
  <si>
    <t>15-637656</t>
  </si>
  <si>
    <t>15-6339199</t>
  </si>
  <si>
    <t>15-635999</t>
  </si>
  <si>
    <t>greek yogrut</t>
  </si>
  <si>
    <t>mushroom, green pepper, sweet pot</t>
  </si>
  <si>
    <t>15-639201</t>
  </si>
  <si>
    <t>green bean, cabbage, eggplant, msurhoom, etc</t>
  </si>
  <si>
    <t>15-6409226</t>
  </si>
  <si>
    <t>15-640927</t>
  </si>
  <si>
    <t>apple, cucumber, squash</t>
  </si>
  <si>
    <t>15-640053</t>
  </si>
  <si>
    <t>15-640054</t>
  </si>
  <si>
    <t>15-639202</t>
  </si>
  <si>
    <t>tomato, cucumber</t>
  </si>
  <si>
    <t>15-640055</t>
  </si>
  <si>
    <t>apple, green bean, cucumber</t>
  </si>
  <si>
    <t>15-640058</t>
  </si>
  <si>
    <t>apple idp</t>
  </si>
  <si>
    <t>Turnip Truck</t>
  </si>
  <si>
    <t>east ga, crystal orgtanic, rise n shine</t>
  </si>
  <si>
    <t>bok choi, watermlon, radish</t>
  </si>
  <si>
    <t>wrecking barn</t>
  </si>
  <si>
    <t>radishes</t>
  </si>
  <si>
    <t>catfish, salmon</t>
  </si>
  <si>
    <t>per 2 wk 3</t>
  </si>
  <si>
    <t>Savannah River Farms</t>
  </si>
  <si>
    <t>savannah river</t>
  </si>
  <si>
    <t>Emory local &amp; raised w/o hormones</t>
  </si>
  <si>
    <t xml:space="preserve">chard, radishes </t>
  </si>
  <si>
    <t>spring mix, green leaf, kale, etc</t>
  </si>
  <si>
    <t>15-642221</t>
  </si>
  <si>
    <t>15-642222</t>
  </si>
  <si>
    <t>apple, ccumber, eggplant, mushroom, etc</t>
  </si>
  <si>
    <t>15-642934</t>
  </si>
  <si>
    <t>green bean, cucumber, mushroom, etc</t>
  </si>
  <si>
    <t>15-644421</t>
  </si>
  <si>
    <t>15-644422</t>
  </si>
  <si>
    <t>acorn squash, zucchini, tofu,etc</t>
  </si>
  <si>
    <t>cabbage, corn, eggplant, msuhroom, green pepper</t>
  </si>
  <si>
    <t>15-644423</t>
  </si>
  <si>
    <t>apple, tangerines</t>
  </si>
  <si>
    <t>15-645636</t>
  </si>
  <si>
    <t>15-645637</t>
  </si>
  <si>
    <t>apples</t>
  </si>
  <si>
    <t>15-645638</t>
  </si>
  <si>
    <t>green bean</t>
  </si>
  <si>
    <t>15-645639</t>
  </si>
  <si>
    <t>apple, green beans, mushroom, etc</t>
  </si>
  <si>
    <t>15-645777</t>
  </si>
  <si>
    <t>15-646351</t>
  </si>
  <si>
    <t>15-646353</t>
  </si>
  <si>
    <t>ORANGES</t>
  </si>
  <si>
    <t>cucumber, tomato</t>
  </si>
  <si>
    <t>15-647273</t>
  </si>
  <si>
    <t>15-647274</t>
  </si>
  <si>
    <t>apple, green bean, grapefruit, cucumber, eggplant</t>
  </si>
  <si>
    <t>whipping cream</t>
  </si>
  <si>
    <t>coleman</t>
  </si>
  <si>
    <t>hotdogs</t>
  </si>
  <si>
    <t>cod</t>
  </si>
  <si>
    <t>UNFI</t>
  </si>
  <si>
    <t>grocery</t>
  </si>
  <si>
    <t>organic</t>
  </si>
  <si>
    <t>bread, tempeh</t>
  </si>
  <si>
    <t>soyboy, ezekiel</t>
  </si>
  <si>
    <t>per 2 wk 4</t>
  </si>
  <si>
    <t>Dairy &amp; Egg</t>
  </si>
  <si>
    <t>15-648293</t>
  </si>
  <si>
    <t>15-648294</t>
  </si>
  <si>
    <t>apple, cabbage, cucumber, mushroom, etc</t>
  </si>
  <si>
    <t>15-649024</t>
  </si>
  <si>
    <t>appl;e, green bean, cucumber, corn, etc</t>
  </si>
  <si>
    <t>yogurt</t>
  </si>
  <si>
    <t>zuchinni, tomato</t>
  </si>
  <si>
    <t>15-649023</t>
  </si>
  <si>
    <t>15-649926</t>
  </si>
  <si>
    <t>apple, green bean, cucumber, etc</t>
  </si>
  <si>
    <t>15-650562</t>
  </si>
  <si>
    <t>cabbage</t>
  </si>
  <si>
    <t>franks</t>
  </si>
  <si>
    <t>per 3 wk 1</t>
  </si>
  <si>
    <t>all week</t>
  </si>
  <si>
    <t>green bean, cucumber, eggplant, kale, etc</t>
  </si>
  <si>
    <t>apple, cabbage, cucumber, kale</t>
  </si>
  <si>
    <t>allisons hoeny</t>
  </si>
  <si>
    <t>honey</t>
  </si>
  <si>
    <t>apple, green bean, mushrooms, tomato</t>
  </si>
  <si>
    <t>apple, green bean, cucumber, eggplant, mushroom</t>
  </si>
  <si>
    <t>apple, green bean, cabbage, eggplant, etc</t>
  </si>
  <si>
    <t>apple, green bean, cabbage, cucumber, etc</t>
  </si>
  <si>
    <t>produce</t>
  </si>
  <si>
    <t>per 3 wk 2</t>
  </si>
  <si>
    <t>dairy</t>
  </si>
  <si>
    <t>12983, 13032</t>
  </si>
  <si>
    <t>12/7, 12/9</t>
  </si>
  <si>
    <t>turnip truck</t>
  </si>
  <si>
    <t>prok</t>
  </si>
  <si>
    <t>sweet potato fries</t>
  </si>
  <si>
    <t>green pepper, tom</t>
  </si>
  <si>
    <t>green pepper, tofu, tom</t>
  </si>
  <si>
    <t>cucumber, green pepper</t>
  </si>
  <si>
    <t>apple, eggplant, kale</t>
  </si>
  <si>
    <t>per 12 wk 1</t>
  </si>
  <si>
    <t>Duc</t>
  </si>
  <si>
    <t>Empress</t>
  </si>
  <si>
    <t>Tuna CHUNK Skip Jack FAD free</t>
  </si>
  <si>
    <t>raised w/o routine antibiotics</t>
  </si>
  <si>
    <t xml:space="preserve">Turnip Truck </t>
  </si>
  <si>
    <t>Local Lands</t>
  </si>
  <si>
    <t xml:space="preserve">Radishes, Shunkyo 5lb </t>
  </si>
  <si>
    <t>Fresh Harvest</t>
  </si>
  <si>
    <t xml:space="preserve">Blueberries, 5lb </t>
  </si>
  <si>
    <t>Riverview Farms</t>
  </si>
  <si>
    <t>Buterrnut Squash, 40lb Case</t>
  </si>
  <si>
    <t>Mountain Song</t>
  </si>
  <si>
    <t>Tomatoes, Mixed, 5lb</t>
  </si>
  <si>
    <t>Crystal Organic</t>
  </si>
  <si>
    <t>Spaghetti Squash, 10lb</t>
  </si>
  <si>
    <t>Geezr's Garden</t>
  </si>
  <si>
    <t>Sweet Cubanelle Peppers, 5;b</t>
  </si>
  <si>
    <t>Jalapeno</t>
  </si>
  <si>
    <t>East Georgia Produce</t>
  </si>
  <si>
    <t>Watermelon, Baby Yellow</t>
  </si>
  <si>
    <t>Watermelon, Sugar Baby</t>
  </si>
  <si>
    <t xml:space="preserve">City Roots Farm </t>
  </si>
  <si>
    <t>Micro Pea Shoots, 1/2lb</t>
  </si>
  <si>
    <t>Love is Love Farm</t>
  </si>
  <si>
    <t>Summer Squash</t>
  </si>
  <si>
    <t>Mixed Eggplant, 5lb</t>
  </si>
  <si>
    <t>Watermelon</t>
  </si>
  <si>
    <t>Spaghetti Squash, 40lb</t>
  </si>
  <si>
    <t>Oxford College Farm</t>
  </si>
  <si>
    <t>Tomatoes, Hybrid, 5lb</t>
  </si>
  <si>
    <t>USDA organic</t>
  </si>
  <si>
    <t>F2F &amp; USDA organic</t>
  </si>
  <si>
    <t>Tomato, Cherry Mix 5lbs</t>
  </si>
  <si>
    <t>Cantaloupe</t>
  </si>
  <si>
    <t>Mixed Tomatoes 5lb</t>
  </si>
  <si>
    <t>Wrecking Barn</t>
  </si>
  <si>
    <t>Arugula 5lb</t>
  </si>
  <si>
    <t xml:space="preserve">Royal </t>
  </si>
  <si>
    <t>15-576193</t>
  </si>
  <si>
    <t>Southern Swiss</t>
  </si>
  <si>
    <t>Buttermilk 1%</t>
  </si>
  <si>
    <t>F2F &amp; raised w/o routine use of antibiotics</t>
  </si>
  <si>
    <t xml:space="preserve">Atlanta Fresh </t>
  </si>
  <si>
    <t>Greek Yogurt 6.32oz Plain</t>
  </si>
  <si>
    <t>Greek Yogurt 6/32oz Vanilla 2%</t>
  </si>
  <si>
    <t>Royal Local</t>
  </si>
  <si>
    <t xml:space="preserve">Musrhoom Sliced Thick </t>
  </si>
  <si>
    <t>Soy Shop</t>
  </si>
  <si>
    <t xml:space="preserve">Tofu Firm 5 Gal </t>
  </si>
  <si>
    <t>15-574994</t>
  </si>
  <si>
    <t>Apple Gala &amp; Mushroom Sliced</t>
  </si>
  <si>
    <t>Greey Yogurt Plain &amp; Vanilla</t>
  </si>
  <si>
    <t>Tofu Firm</t>
  </si>
  <si>
    <t>15-573949</t>
  </si>
  <si>
    <t>Green Beans, Mushrooms, Green Peppters, Yellow Squash</t>
  </si>
  <si>
    <t>Greek Yogurt Plan &amp; Vanilla 2%</t>
  </si>
  <si>
    <t>Royal (this one read local)</t>
  </si>
  <si>
    <t>n/A</t>
  </si>
  <si>
    <t>Peaches</t>
  </si>
  <si>
    <t>15-571801</t>
  </si>
  <si>
    <t>Aples, Green Beans, Mushrooms, Collards</t>
  </si>
  <si>
    <t>15-71801</t>
  </si>
  <si>
    <t>Greek Yogurt Plain &amp; Vanilla 2%</t>
  </si>
  <si>
    <t>F2F &amp; Raised w/o routine use of antibiotics</t>
  </si>
  <si>
    <t>15-428199</t>
  </si>
  <si>
    <t>15-572257</t>
  </si>
  <si>
    <t xml:space="preserve">Apple Fuji &amp; Red Del, Green Beans, Mushroom, Tofu </t>
  </si>
  <si>
    <t>Greek Yogurt Vanilla 2%</t>
  </si>
  <si>
    <t>15-57293</t>
  </si>
  <si>
    <t>White Oak Pastures</t>
  </si>
  <si>
    <t>4oz Patty Frz</t>
  </si>
  <si>
    <t>ORD0023202</t>
  </si>
  <si>
    <t>Fair Trade</t>
  </si>
  <si>
    <t>local &amp; fair trade</t>
  </si>
  <si>
    <t>Mayfield Dairy</t>
  </si>
  <si>
    <t>Emory Local &amp; raised w/o routine hormones</t>
  </si>
  <si>
    <t>Southern Swiss Dairy</t>
  </si>
  <si>
    <t>Stanley Gruber Farms</t>
  </si>
  <si>
    <t>Gruber Farms</t>
  </si>
  <si>
    <t xml:space="preserve">meat &amp; Poultry </t>
  </si>
  <si>
    <t>18619.04</t>
  </si>
  <si>
    <t>Harris Robinette</t>
  </si>
  <si>
    <t>grassfed &amp; certified</t>
  </si>
  <si>
    <t xml:space="preserve">Emory Local &amp; grass fed and certified </t>
  </si>
  <si>
    <t>Emory Local &amp; Raised w/o routine hormones</t>
  </si>
  <si>
    <t>F2f &amp; uSDA organic</t>
  </si>
  <si>
    <t>Per 12 wk 1</t>
  </si>
  <si>
    <t>949.05</t>
  </si>
  <si>
    <t>9/8-9/9</t>
  </si>
  <si>
    <t>per 12 wk 2</t>
  </si>
  <si>
    <t xml:space="preserve">Mayfield </t>
  </si>
  <si>
    <t>Oxford Farm</t>
  </si>
  <si>
    <t>Salmon</t>
  </si>
  <si>
    <t>Gourmet Foods International</t>
  </si>
  <si>
    <t xml:space="preserve">Soy Boy </t>
  </si>
  <si>
    <t>Tempeh Soy Original Organic</t>
  </si>
  <si>
    <t>Organic</t>
  </si>
  <si>
    <t>4oz patty frz</t>
  </si>
  <si>
    <t>F2F &amp; certified humane</t>
  </si>
  <si>
    <t>Grassfed Patty</t>
  </si>
  <si>
    <t>15-579176</t>
  </si>
  <si>
    <t>Mushroom</t>
  </si>
  <si>
    <t>15-579334</t>
  </si>
  <si>
    <t>Green Bean Tip</t>
  </si>
  <si>
    <t>15-578193</t>
  </si>
  <si>
    <t>Green Bean tips, msurhooms liced, tofu, grape tomato</t>
  </si>
  <si>
    <t>15-582357</t>
  </si>
  <si>
    <t>Apple, green bean tips, mushroom, yellow squash, zuchinni</t>
  </si>
  <si>
    <t>15-583203</t>
  </si>
  <si>
    <t>green bean, mushroom,sweet potato, yellow squash, zuchinni, grape tomato</t>
  </si>
  <si>
    <t>Atlanta Fresh</t>
  </si>
  <si>
    <t xml:space="preserve">Greek Yogurt, Buttermilk </t>
  </si>
  <si>
    <t>F2F &amp; raised w/o hormones</t>
  </si>
  <si>
    <t>15-580906</t>
  </si>
  <si>
    <t>green beans, peaches, yellow squash, tomato, roma tomato</t>
  </si>
  <si>
    <t>Greek Yogurt</t>
  </si>
  <si>
    <t>Tuna Skip Jack Fad Free</t>
  </si>
  <si>
    <t>Per 12 wk 2</t>
  </si>
  <si>
    <t>per 12 wk 3</t>
  </si>
  <si>
    <t>skipjack tuna fad free</t>
  </si>
  <si>
    <t>Seafood watch</t>
  </si>
  <si>
    <t>raised w.o antibiotics</t>
  </si>
  <si>
    <t>15-586555</t>
  </si>
  <si>
    <t>green bean, eggplant, peach, sweet potato, collards, yellow squash, zucchini</t>
  </si>
  <si>
    <t>15-587857</t>
  </si>
  <si>
    <t>greek yogurt mixed berry 2%</t>
  </si>
  <si>
    <t>15-587858</t>
  </si>
  <si>
    <t>green beans, mushrooms, green pepper, sweet potato, tomato</t>
  </si>
  <si>
    <t>buttermilk</t>
  </si>
  <si>
    <t>15-58879</t>
  </si>
  <si>
    <t>apple, mushroom, sweet potato, tofu</t>
  </si>
  <si>
    <t>15-584348</t>
  </si>
  <si>
    <t>green beans, mushrooms, sweet potato, yellow squash, zucchini, grape tomato</t>
  </si>
  <si>
    <t>15-585356</t>
  </si>
  <si>
    <t>apple, green bean, mushroom, green pepper, sweet potato</t>
  </si>
  <si>
    <t>greek yogurt plain, vanilla 6/32oz</t>
  </si>
  <si>
    <t>decaf, regular</t>
  </si>
  <si>
    <t>Emory Local &amp; fair trade</t>
  </si>
  <si>
    <t>F2F &amp; grassfed</t>
  </si>
  <si>
    <t>Gruber farms</t>
  </si>
  <si>
    <t xml:space="preserve">Mayfield Dairy </t>
  </si>
  <si>
    <t>Oxford College</t>
  </si>
  <si>
    <t>Oxford farm</t>
  </si>
  <si>
    <t>F2F &amp; usda organic</t>
  </si>
  <si>
    <t>riverview</t>
  </si>
  <si>
    <t>tucker farms</t>
  </si>
  <si>
    <t>per 12 wk 4</t>
  </si>
  <si>
    <t>Choice</t>
  </si>
  <si>
    <t>Fair trade</t>
  </si>
  <si>
    <t>15-590918</t>
  </si>
  <si>
    <t>mushroom, sweet potato, yellow squash</t>
  </si>
  <si>
    <t>greek yogurt vanilla 2%</t>
  </si>
  <si>
    <t>F2F &amp; raised w/o hormone</t>
  </si>
  <si>
    <t>15-591720</t>
  </si>
  <si>
    <t>apple, msuhroom, tomato</t>
  </si>
  <si>
    <t>15-591721</t>
  </si>
  <si>
    <t>green beans, mushroom, yellow squash, zucchini</t>
  </si>
  <si>
    <t>15-592976</t>
  </si>
  <si>
    <t>apple, green beans, msuhroom, tofu, jalapeno pepper</t>
  </si>
  <si>
    <t>greek yogurt vanilla 2%, plain</t>
  </si>
  <si>
    <t>15-594132</t>
  </si>
  <si>
    <t>green bean, mushroom, green pepper, sweet potato</t>
  </si>
  <si>
    <t>15-594925</t>
  </si>
  <si>
    <t>15-589913</t>
  </si>
  <si>
    <t>apple, green beans, mushroom, peaches sweet potato</t>
  </si>
  <si>
    <t>greek yogurt plain</t>
  </si>
  <si>
    <t>15-595795</t>
  </si>
  <si>
    <t>allisons honey</t>
  </si>
  <si>
    <t xml:space="preserve">honey bears wildflower </t>
  </si>
  <si>
    <t>NO</t>
  </si>
  <si>
    <t>15-595796</t>
  </si>
  <si>
    <t>greek yogurt plain 2%, vanilla 2%</t>
  </si>
  <si>
    <t>mushroom sliced thick</t>
  </si>
  <si>
    <t>sockeye</t>
  </si>
  <si>
    <t>drum black fillet</t>
  </si>
  <si>
    <t>5gl homo disp, 2%, skim, choc, va mix, choc mix, pure , whp cream</t>
  </si>
  <si>
    <t>5GL homo disp, 2%, choc, whp cream</t>
  </si>
  <si>
    <t>5GL homo disp, 2%, skim, choc, pure, 2%, choc mix</t>
  </si>
  <si>
    <t xml:space="preserve">tuna </t>
  </si>
  <si>
    <t>skip jack fad free</t>
  </si>
  <si>
    <t xml:space="preserve">entire week </t>
  </si>
  <si>
    <t>meat &amp; Poultry</t>
  </si>
  <si>
    <t>Per 12 wk 4</t>
  </si>
  <si>
    <t>P12 W2</t>
  </si>
  <si>
    <t>entire period</t>
  </si>
  <si>
    <t>Deb-el</t>
  </si>
  <si>
    <t>cage free liquid eggs</t>
  </si>
  <si>
    <t>Local/  Community-Based</t>
  </si>
  <si>
    <t xml:space="preserve">coffee </t>
  </si>
  <si>
    <t>AGA GRASSFED</t>
  </si>
  <si>
    <t>Animal Welfare Approved</t>
  </si>
  <si>
    <t xml:space="preserve">cobia </t>
  </si>
  <si>
    <t>tea</t>
  </si>
  <si>
    <t>Certified HumaneHFAC</t>
  </si>
  <si>
    <t>pollock, tilapia</t>
  </si>
  <si>
    <t>grits, polenta</t>
  </si>
  <si>
    <t>GAP Step 4</t>
  </si>
  <si>
    <t>Buckhead</t>
  </si>
  <si>
    <t>P12, W2</t>
  </si>
  <si>
    <t>SAAC</t>
  </si>
  <si>
    <t>Ground Beef</t>
  </si>
  <si>
    <t>Cafe Campesino</t>
  </si>
  <si>
    <t>Dr. Organics</t>
  </si>
  <si>
    <t>smoothie mix</t>
  </si>
  <si>
    <t>AGA Grassfed</t>
  </si>
  <si>
    <t>Perfect 10</t>
  </si>
  <si>
    <t>King of Pops</t>
  </si>
  <si>
    <t>pops</t>
  </si>
  <si>
    <t>582352, 583201</t>
  </si>
  <si>
    <t>Rollins</t>
  </si>
  <si>
    <t>Grass fed</t>
  </si>
  <si>
    <t>Woodruff</t>
  </si>
  <si>
    <t>WO</t>
  </si>
  <si>
    <t>792045,791813, 792253</t>
  </si>
  <si>
    <t>Depot</t>
  </si>
  <si>
    <t>573955, 580290, 582359</t>
  </si>
  <si>
    <t>796079, 794084</t>
  </si>
  <si>
    <t>P12, W3</t>
  </si>
  <si>
    <t>588775, 587854, 586553, 589911</t>
  </si>
  <si>
    <t>793889, 794856, 795099, 796243</t>
  </si>
  <si>
    <t>584351, 587860</t>
  </si>
  <si>
    <t>Cox</t>
  </si>
  <si>
    <t xml:space="preserve">Southern Swiss Dairy </t>
  </si>
  <si>
    <t>Souther Swiss Dairy</t>
  </si>
  <si>
    <t xml:space="preserve">Oxford College </t>
  </si>
  <si>
    <t>Oxford</t>
  </si>
  <si>
    <t>Sl1179</t>
  </si>
  <si>
    <t>Coffee&amp; Tea</t>
  </si>
  <si>
    <t>Cafe Compensino</t>
  </si>
  <si>
    <t>Salmon Sockeye Sk/off</t>
  </si>
  <si>
    <t>Trout 8 oz Carolina Cut</t>
  </si>
  <si>
    <t xml:space="preserve">Seafood watch </t>
  </si>
  <si>
    <t>Keta Fillet</t>
  </si>
  <si>
    <t>8/28/2015-9/03/2105</t>
  </si>
  <si>
    <t>Skipjack tuna FAD free</t>
  </si>
  <si>
    <t xml:space="preserve">seafood watch </t>
  </si>
  <si>
    <t>seafood</t>
  </si>
  <si>
    <t>Wild Shrimp Ecuador</t>
  </si>
  <si>
    <t>Starbucks</t>
  </si>
  <si>
    <t>Cafe Estima FT</t>
  </si>
  <si>
    <t>Cafe campesino</t>
  </si>
  <si>
    <t>cafe campensino</t>
  </si>
  <si>
    <t xml:space="preserve">meat &amp; poultry </t>
  </si>
  <si>
    <t xml:space="preserve">patty </t>
  </si>
  <si>
    <t>ground beef</t>
  </si>
  <si>
    <t>brasstown beef</t>
  </si>
  <si>
    <t>15-607362</t>
  </si>
  <si>
    <t>dairy &amp; eggs</t>
  </si>
  <si>
    <t>15-603298</t>
  </si>
  <si>
    <t>Dairy &amp; eggs</t>
  </si>
  <si>
    <t>greek yogurt vanilla</t>
  </si>
  <si>
    <t>15-604514</t>
  </si>
  <si>
    <t>15-608293</t>
  </si>
  <si>
    <t>15-606078</t>
  </si>
  <si>
    <t>flat creek</t>
  </si>
  <si>
    <t>cheddar</t>
  </si>
  <si>
    <t>salmon, shrimp</t>
  </si>
  <si>
    <t>carolina catfish</t>
  </si>
  <si>
    <t>grouper</t>
  </si>
  <si>
    <t>soy boy</t>
  </si>
  <si>
    <t>tempeh</t>
  </si>
  <si>
    <t>Per 1 wk 2</t>
  </si>
  <si>
    <t>southern swiss</t>
  </si>
  <si>
    <t>tucker</t>
  </si>
  <si>
    <t>spring mix, kale</t>
  </si>
  <si>
    <t>tempeh organic</t>
  </si>
  <si>
    <t>sockeye salmon</t>
  </si>
  <si>
    <t>USADA organic</t>
  </si>
  <si>
    <t>carolina trout</t>
  </si>
  <si>
    <t xml:space="preserve">rainbow trout </t>
  </si>
  <si>
    <t>trout</t>
  </si>
  <si>
    <t>15-615980</t>
  </si>
  <si>
    <t>15-620407</t>
  </si>
  <si>
    <t>milk, sour cream</t>
  </si>
  <si>
    <t>15-621529</t>
  </si>
  <si>
    <t>15-619475</t>
  </si>
  <si>
    <t>greek  yogurt</t>
  </si>
  <si>
    <t>east ga, crager hager, riverview farms</t>
  </si>
  <si>
    <t>broccoli, sweet potatoes, pink eye peas</t>
  </si>
  <si>
    <t>furrowed earth</t>
  </si>
  <si>
    <t>greens</t>
  </si>
  <si>
    <t>10.20/2015</t>
  </si>
  <si>
    <t>milk, heavy cream</t>
  </si>
  <si>
    <t>milk, buttermilk, heavy cream, half and half</t>
  </si>
  <si>
    <t>egg</t>
  </si>
  <si>
    <t>fair Trade</t>
  </si>
  <si>
    <t>certified humane</t>
  </si>
  <si>
    <t>n/a</t>
  </si>
  <si>
    <t>816817, 814853, 815426</t>
  </si>
  <si>
    <t>P2, W1</t>
  </si>
  <si>
    <t>815291, 815391</t>
  </si>
  <si>
    <t>633535, 631437</t>
  </si>
  <si>
    <t>631439, 634409</t>
  </si>
  <si>
    <t>24262, 24327</t>
  </si>
  <si>
    <t>Café Campesino</t>
  </si>
  <si>
    <t>Coffee and Tea</t>
  </si>
  <si>
    <t>cafe campesino</t>
  </si>
  <si>
    <t>Pure Bliss</t>
  </si>
  <si>
    <t>pure bliss</t>
  </si>
  <si>
    <t>granola</t>
  </si>
  <si>
    <t>634406, 633533, 632592, 629246</t>
  </si>
  <si>
    <t>GFI</t>
  </si>
  <si>
    <t>3489170, 3490473, 3491622, 3491624</t>
  </si>
  <si>
    <t>P2, W2</t>
  </si>
  <si>
    <t>Sweet Grass</t>
  </si>
  <si>
    <t>cheese</t>
  </si>
  <si>
    <t>madhava honey, soy boy</t>
  </si>
  <si>
    <t>tempeh, honey</t>
  </si>
  <si>
    <t>24376, 24430</t>
  </si>
  <si>
    <t>0012517, 0012503, 0012539, 0012540, 0012577, 0012561</t>
  </si>
  <si>
    <t>Crystal Organics, East GA, Crager Hager, Sparta, Rise and Shine, Atlanta Harvest, Riverview, D&amp;A, Orchard Valley, Local Lands, Red Earth, Double L</t>
  </si>
  <si>
    <t>furrowed earth, city roots, wrecking barn</t>
  </si>
  <si>
    <t>coffee and tea</t>
  </si>
  <si>
    <t>savannah river farms</t>
  </si>
  <si>
    <t>817646, 818405,818710</t>
  </si>
  <si>
    <t>8090942, 8092814, 8095664, 80976593, 8101680, 8097693, 8097404, 8098840, 8099446, 8100765</t>
  </si>
  <si>
    <t>border springs</t>
  </si>
  <si>
    <t>lamb</t>
  </si>
  <si>
    <t xml:space="preserve">Animal Welfare Approved </t>
  </si>
  <si>
    <t>carolina mountain trout</t>
  </si>
  <si>
    <t>634748, 636001, 637659, 637600, 637661, 637662, 639204, 639205, 640295, 641236, 640930, 640931, 640057, 640929, 635748</t>
  </si>
  <si>
    <t>stone creek hydroponics</t>
  </si>
  <si>
    <t>10165300105, 10165312638</t>
  </si>
  <si>
    <t>P2, W3</t>
  </si>
  <si>
    <t>starbucks</t>
  </si>
  <si>
    <t>P2 w3</t>
  </si>
  <si>
    <t>822311, 822526</t>
  </si>
  <si>
    <t>P2 W3</t>
  </si>
  <si>
    <t>Ground Beef, turkey</t>
  </si>
  <si>
    <t>salmon</t>
  </si>
  <si>
    <t>lettuce</t>
  </si>
  <si>
    <t>bacon, sausage</t>
  </si>
  <si>
    <t>P2 w2</t>
  </si>
  <si>
    <t>635749, 639208, 640060, 640932</t>
  </si>
  <si>
    <t>allisons</t>
  </si>
  <si>
    <t>beech creek, atlanta harvest</t>
  </si>
  <si>
    <t>817891, 819409</t>
  </si>
  <si>
    <t>642227, 645642, 646358</t>
  </si>
  <si>
    <t xml:space="preserve">23339, 23365, 23409 </t>
  </si>
  <si>
    <t>P12, W1</t>
  </si>
  <si>
    <t>Eagle Subs and C-Store</t>
  </si>
  <si>
    <t>Antibiotics</t>
  </si>
  <si>
    <t>Stonyfield</t>
  </si>
  <si>
    <t>Barefruit</t>
  </si>
  <si>
    <t>apple chips</t>
  </si>
  <si>
    <t>Dagoba</t>
  </si>
  <si>
    <t>chocolate</t>
  </si>
  <si>
    <t>23449, 23495</t>
  </si>
  <si>
    <t xml:space="preserve">Madhava </t>
  </si>
  <si>
    <t>agave</t>
  </si>
  <si>
    <t>Gimme Seaweed</t>
  </si>
  <si>
    <t>seaweed snack</t>
  </si>
  <si>
    <t>organic and FT</t>
  </si>
  <si>
    <t>23541, 23563</t>
  </si>
  <si>
    <t>3 Twins</t>
  </si>
  <si>
    <t>ice cream</t>
  </si>
  <si>
    <t>Annie Chun</t>
  </si>
  <si>
    <t>potsticker</t>
  </si>
  <si>
    <t>Green &amp; Black's</t>
  </si>
  <si>
    <t>P12, W4</t>
  </si>
  <si>
    <t>Three Twins</t>
  </si>
  <si>
    <t>Daoba</t>
  </si>
  <si>
    <t>Cascadia</t>
  </si>
  <si>
    <t>berry medley</t>
  </si>
  <si>
    <t>Lotus</t>
  </si>
  <si>
    <t>bowl</t>
  </si>
  <si>
    <t>P1, W3</t>
  </si>
  <si>
    <t>King of Pops/honeysuckle</t>
  </si>
  <si>
    <t>23977, 23947</t>
  </si>
  <si>
    <t>Three twins</t>
  </si>
  <si>
    <t>24110, 24051, 24076</t>
  </si>
  <si>
    <t>P1, W4</t>
  </si>
  <si>
    <t>Lotus, Madhava, Cascadia Farms, Purely Elizabeth, Newman's Own, Woodstock, Surf Sweets, Three Twins</t>
  </si>
  <si>
    <t>24163, 24176</t>
  </si>
  <si>
    <t>P1, W5</t>
  </si>
  <si>
    <t>honeysuckle, king of pops, pure bliss</t>
  </si>
  <si>
    <t>locally crafted items</t>
  </si>
  <si>
    <t>29169949, 29169950</t>
  </si>
  <si>
    <t>Newman's Own</t>
  </si>
  <si>
    <t>Cascadia Farms</t>
  </si>
  <si>
    <t>organic frozen fruit</t>
  </si>
  <si>
    <t>organic mints</t>
  </si>
  <si>
    <t>organic seaweed</t>
  </si>
  <si>
    <t>buckhead</t>
  </si>
  <si>
    <t>cox</t>
  </si>
  <si>
    <t>cheshire farm</t>
  </si>
  <si>
    <t>829364, 831256</t>
  </si>
  <si>
    <t>P3 W2</t>
  </si>
  <si>
    <t>Bottom Round</t>
  </si>
  <si>
    <t>Third-Party Verified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</si>
</sst>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i/>
      <sz val="11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i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rgb="FFEFEFE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05">
    <xf numFmtId="0" fontId="0" fillId="0" borderId="0" xfId="0" applyFont="1" applyAlignment="1"/>
    <xf numFmtId="0" fontId="2" fillId="0" borderId="0" xfId="0" applyFont="1"/>
    <xf numFmtId="0" fontId="2" fillId="0" borderId="0" xfId="0" applyFont="1"/>
    <xf numFmtId="49" fontId="1" fillId="2" borderId="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3" fillId="4" borderId="3" xfId="0" applyFont="1" applyFill="1" applyBorder="1" applyAlignment="1"/>
    <xf numFmtId="0" fontId="3" fillId="3" borderId="3" xfId="0" applyFont="1" applyFill="1" applyBorder="1" applyAlignment="1"/>
    <xf numFmtId="49" fontId="3" fillId="4" borderId="3" xfId="0" applyNumberFormat="1" applyFont="1" applyFill="1" applyBorder="1" applyAlignment="1"/>
    <xf numFmtId="14" fontId="3" fillId="4" borderId="3" xfId="0" applyNumberFormat="1" applyFont="1" applyFill="1" applyBorder="1" applyAlignment="1"/>
    <xf numFmtId="0" fontId="3" fillId="4" borderId="1" xfId="0" applyFont="1" applyFill="1" applyBorder="1" applyAlignment="1"/>
    <xf numFmtId="0" fontId="3" fillId="3" borderId="1" xfId="0" applyFont="1" applyFill="1" applyBorder="1" applyAlignment="1"/>
    <xf numFmtId="49" fontId="3" fillId="4" borderId="1" xfId="0" applyNumberFormat="1" applyFont="1" applyFill="1" applyBorder="1" applyAlignment="1"/>
    <xf numFmtId="0" fontId="3" fillId="4" borderId="4" xfId="0" applyFont="1" applyFill="1" applyBorder="1" applyAlignment="1"/>
    <xf numFmtId="14" fontId="3" fillId="4" borderId="4" xfId="0" applyNumberFormat="1" applyFont="1" applyFill="1" applyBorder="1" applyAlignment="1"/>
    <xf numFmtId="0" fontId="3" fillId="3" borderId="4" xfId="0" applyFont="1" applyFill="1" applyBorder="1" applyAlignment="1"/>
    <xf numFmtId="0" fontId="3" fillId="4" borderId="4" xfId="0" applyFont="1" applyFill="1" applyBorder="1" applyAlignment="1"/>
    <xf numFmtId="49" fontId="3" fillId="4" borderId="4" xfId="0" applyNumberFormat="1" applyFont="1" applyFill="1" applyBorder="1" applyAlignment="1"/>
    <xf numFmtId="0" fontId="2" fillId="5" borderId="0" xfId="0" applyFont="1" applyFill="1"/>
    <xf numFmtId="0" fontId="3" fillId="0" borderId="0" xfId="0" applyFont="1" applyAlignment="1"/>
    <xf numFmtId="14" fontId="3" fillId="3" borderId="3" xfId="0" applyNumberFormat="1" applyFont="1" applyFill="1" applyBorder="1" applyAlignment="1"/>
    <xf numFmtId="0" fontId="2" fillId="0" borderId="0" xfId="0" applyFont="1" applyAlignment="1"/>
    <xf numFmtId="0" fontId="3" fillId="3" borderId="3" xfId="0" applyFont="1" applyFill="1" applyBorder="1" applyAlignment="1"/>
    <xf numFmtId="14" fontId="3" fillId="3" borderId="1" xfId="0" applyNumberFormat="1" applyFont="1" applyFill="1" applyBorder="1" applyAlignment="1"/>
    <xf numFmtId="0" fontId="3" fillId="4" borderId="2" xfId="0" applyFont="1" applyFill="1" applyBorder="1" applyAlignment="1"/>
    <xf numFmtId="0" fontId="3" fillId="0" borderId="0" xfId="0" applyFont="1" applyAlignment="1"/>
    <xf numFmtId="0" fontId="3" fillId="4" borderId="3" xfId="0" applyFont="1" applyFill="1" applyBorder="1" applyAlignment="1"/>
    <xf numFmtId="0" fontId="3" fillId="3" borderId="4" xfId="0" applyFont="1" applyFill="1" applyBorder="1" applyAlignment="1"/>
    <xf numFmtId="0" fontId="3" fillId="3" borderId="3" xfId="0" applyFont="1" applyFill="1" applyBorder="1" applyAlignment="1"/>
    <xf numFmtId="0" fontId="4" fillId="0" borderId="0" xfId="0" applyFont="1" applyAlignment="1"/>
    <xf numFmtId="0" fontId="3" fillId="3" borderId="3" xfId="0" applyFont="1" applyFill="1" applyBorder="1" applyAlignment="1"/>
    <xf numFmtId="0" fontId="2" fillId="3" borderId="3" xfId="0" applyFont="1" applyFill="1" applyBorder="1" applyAlignment="1"/>
    <xf numFmtId="0" fontId="3" fillId="3" borderId="2" xfId="0" applyFont="1" applyFill="1" applyBorder="1" applyAlignment="1"/>
    <xf numFmtId="14" fontId="3" fillId="3" borderId="4" xfId="0" applyNumberFormat="1" applyFont="1" applyFill="1" applyBorder="1" applyAlignment="1"/>
    <xf numFmtId="0" fontId="2" fillId="3" borderId="3" xfId="0" applyFont="1" applyFill="1" applyBorder="1"/>
    <xf numFmtId="0" fontId="3" fillId="3" borderId="1" xfId="0" applyFont="1" applyFill="1" applyBorder="1" applyAlignment="1"/>
    <xf numFmtId="0" fontId="5" fillId="0" borderId="0" xfId="0" applyFont="1" applyAlignment="1"/>
    <xf numFmtId="0" fontId="2" fillId="6" borderId="7" xfId="0" applyFont="1" applyFill="1" applyBorder="1"/>
    <xf numFmtId="0" fontId="0" fillId="6" borderId="7" xfId="0" applyFont="1" applyFill="1" applyBorder="1" applyAlignment="1"/>
    <xf numFmtId="49" fontId="1" fillId="2" borderId="2" xfId="0" applyNumberFormat="1" applyFont="1" applyFill="1" applyBorder="1" applyAlignment="1">
      <alignment horizontal="center" wrapText="1"/>
    </xf>
    <xf numFmtId="0" fontId="3" fillId="4" borderId="3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6" borderId="8" xfId="0" applyFont="1" applyFill="1" applyBorder="1"/>
    <xf numFmtId="0" fontId="3" fillId="3" borderId="7" xfId="0" applyFont="1" applyFill="1" applyBorder="1" applyAlignment="1"/>
    <xf numFmtId="0" fontId="6" fillId="3" borderId="4" xfId="0" applyFont="1" applyFill="1" applyBorder="1" applyAlignment="1"/>
    <xf numFmtId="0" fontId="6" fillId="3" borderId="3" xfId="0" applyFont="1" applyFill="1" applyBorder="1" applyAlignment="1"/>
    <xf numFmtId="0" fontId="2" fillId="0" borderId="0" xfId="0" applyFont="1" applyFill="1" applyBorder="1"/>
    <xf numFmtId="0" fontId="0" fillId="0" borderId="0" xfId="0" applyFont="1" applyFill="1" applyBorder="1" applyAlignment="1"/>
    <xf numFmtId="49" fontId="8" fillId="7" borderId="3" xfId="0" applyNumberFormat="1" applyFont="1" applyFill="1" applyBorder="1" applyAlignment="1">
      <alignment horizontal="center"/>
    </xf>
    <xf numFmtId="14" fontId="3" fillId="3" borderId="7" xfId="0" applyNumberFormat="1" applyFont="1" applyFill="1" applyBorder="1" applyAlignment="1"/>
    <xf numFmtId="0" fontId="3" fillId="4" borderId="7" xfId="0" applyFont="1" applyFill="1" applyBorder="1" applyAlignment="1"/>
    <xf numFmtId="0" fontId="3" fillId="4" borderId="7" xfId="0" applyFont="1" applyFill="1" applyBorder="1" applyAlignment="1">
      <alignment wrapText="1"/>
    </xf>
    <xf numFmtId="0" fontId="3" fillId="3" borderId="11" xfId="0" applyFont="1" applyFill="1" applyBorder="1" applyAlignment="1"/>
    <xf numFmtId="0" fontId="3" fillId="4" borderId="11" xfId="0" applyFont="1" applyFill="1" applyBorder="1" applyAlignment="1"/>
    <xf numFmtId="0" fontId="3" fillId="4" borderId="11" xfId="0" applyFont="1" applyFill="1" applyBorder="1" applyAlignment="1">
      <alignment wrapText="1"/>
    </xf>
    <xf numFmtId="0" fontId="3" fillId="3" borderId="12" xfId="0" applyFont="1" applyFill="1" applyBorder="1" applyAlignment="1"/>
    <xf numFmtId="0" fontId="3" fillId="4" borderId="12" xfId="0" applyFont="1" applyFill="1" applyBorder="1" applyAlignment="1"/>
    <xf numFmtId="0" fontId="3" fillId="4" borderId="12" xfId="0" applyFont="1" applyFill="1" applyBorder="1" applyAlignment="1">
      <alignment wrapText="1"/>
    </xf>
    <xf numFmtId="0" fontId="3" fillId="9" borderId="7" xfId="0" applyFont="1" applyFill="1" applyBorder="1" applyAlignment="1"/>
    <xf numFmtId="0" fontId="3" fillId="10" borderId="7" xfId="0" applyFont="1" applyFill="1" applyBorder="1" applyAlignment="1"/>
    <xf numFmtId="0" fontId="3" fillId="10" borderId="12" xfId="0" applyFont="1" applyFill="1" applyBorder="1" applyAlignment="1">
      <alignment wrapText="1"/>
    </xf>
    <xf numFmtId="0" fontId="3" fillId="9" borderId="12" xfId="0" applyFont="1" applyFill="1" applyBorder="1" applyAlignment="1"/>
    <xf numFmtId="0" fontId="2" fillId="8" borderId="7" xfId="0" applyFont="1" applyFill="1" applyBorder="1"/>
    <xf numFmtId="14" fontId="2" fillId="8" borderId="7" xfId="0" applyNumberFormat="1" applyFont="1" applyFill="1" applyBorder="1"/>
    <xf numFmtId="0" fontId="3" fillId="10" borderId="7" xfId="0" applyFont="1" applyFill="1" applyBorder="1" applyAlignment="1">
      <alignment wrapText="1"/>
    </xf>
    <xf numFmtId="0" fontId="2" fillId="8" borderId="7" xfId="0" applyFont="1" applyFill="1" applyBorder="1" applyAlignment="1">
      <alignment wrapText="1"/>
    </xf>
    <xf numFmtId="0" fontId="2" fillId="8" borderId="11" xfId="0" applyFont="1" applyFill="1" applyBorder="1"/>
    <xf numFmtId="0" fontId="3" fillId="10" borderId="11" xfId="0" applyFont="1" applyFill="1" applyBorder="1" applyAlignment="1">
      <alignment wrapText="1"/>
    </xf>
    <xf numFmtId="0" fontId="3" fillId="9" borderId="11" xfId="0" applyFont="1" applyFill="1" applyBorder="1" applyAlignment="1"/>
    <xf numFmtId="0" fontId="2" fillId="9" borderId="7" xfId="0" applyFont="1" applyFill="1" applyBorder="1" applyAlignment="1">
      <alignment wrapText="1"/>
    </xf>
    <xf numFmtId="0" fontId="3" fillId="9" borderId="7" xfId="0" applyFont="1" applyFill="1" applyBorder="1" applyAlignment="1">
      <alignment wrapText="1"/>
    </xf>
    <xf numFmtId="14" fontId="2" fillId="8" borderId="7" xfId="0" applyNumberFormat="1" applyFont="1" applyFill="1" applyBorder="1" applyAlignment="1">
      <alignment wrapText="1"/>
    </xf>
    <xf numFmtId="0" fontId="2" fillId="8" borderId="11" xfId="0" applyFont="1" applyFill="1" applyBorder="1" applyAlignment="1">
      <alignment wrapText="1"/>
    </xf>
    <xf numFmtId="0" fontId="3" fillId="9" borderId="11" xfId="0" applyFont="1" applyFill="1" applyBorder="1" applyAlignment="1">
      <alignment wrapText="1"/>
    </xf>
    <xf numFmtId="0" fontId="2" fillId="8" borderId="12" xfId="0" applyFont="1" applyFill="1" applyBorder="1" applyAlignment="1">
      <alignment wrapText="1"/>
    </xf>
    <xf numFmtId="0" fontId="2" fillId="9" borderId="12" xfId="0" applyFont="1" applyFill="1" applyBorder="1" applyAlignment="1">
      <alignment wrapText="1"/>
    </xf>
    <xf numFmtId="0" fontId="3" fillId="9" borderId="12" xfId="0" applyFont="1" applyFill="1" applyBorder="1" applyAlignment="1">
      <alignment wrapText="1"/>
    </xf>
    <xf numFmtId="0" fontId="2" fillId="8" borderId="0" xfId="0" applyFont="1" applyFill="1" applyBorder="1"/>
    <xf numFmtId="0" fontId="3" fillId="9" borderId="0" xfId="0" applyFont="1" applyFill="1" applyBorder="1" applyAlignment="1"/>
    <xf numFmtId="0" fontId="2" fillId="9" borderId="0" xfId="0" applyFont="1" applyFill="1" applyBorder="1"/>
    <xf numFmtId="0" fontId="3" fillId="10" borderId="0" xfId="0" applyFont="1" applyFill="1" applyBorder="1" applyAlignment="1">
      <alignment wrapText="1"/>
    </xf>
    <xf numFmtId="0" fontId="2" fillId="8" borderId="13" xfId="0" applyFont="1" applyFill="1" applyBorder="1" applyAlignment="1">
      <alignment wrapText="1"/>
    </xf>
    <xf numFmtId="0" fontId="2" fillId="0" borderId="0" xfId="0" applyFont="1" applyFill="1"/>
    <xf numFmtId="0" fontId="0" fillId="0" borderId="0" xfId="0" applyFont="1" applyFill="1" applyAlignment="1"/>
    <xf numFmtId="0" fontId="4" fillId="3" borderId="3" xfId="0" applyFont="1" applyFill="1" applyBorder="1" applyAlignment="1"/>
    <xf numFmtId="0" fontId="3" fillId="3" borderId="0" xfId="0" applyFont="1" applyFill="1" applyBorder="1" applyAlignment="1"/>
    <xf numFmtId="14" fontId="3" fillId="3" borderId="0" xfId="0" applyNumberFormat="1" applyFont="1" applyFill="1" applyBorder="1" applyAlignment="1"/>
    <xf numFmtId="0" fontId="3" fillId="4" borderId="0" xfId="0" applyFont="1" applyFill="1" applyBorder="1" applyAlignment="1"/>
    <xf numFmtId="0" fontId="3" fillId="0" borderId="0" xfId="0" applyFont="1" applyBorder="1" applyAlignment="1"/>
    <xf numFmtId="49" fontId="3" fillId="0" borderId="0" xfId="0" applyNumberFormat="1" applyFont="1" applyBorder="1" applyAlignment="1"/>
    <xf numFmtId="0" fontId="5" fillId="3" borderId="3" xfId="0" applyFont="1" applyFill="1" applyBorder="1" applyAlignment="1"/>
    <xf numFmtId="0" fontId="5" fillId="3" borderId="3" xfId="0" applyFont="1" applyFill="1" applyBorder="1"/>
    <xf numFmtId="0" fontId="3" fillId="3" borderId="0" xfId="0" applyFont="1" applyFill="1" applyAlignment="1"/>
    <xf numFmtId="0" fontId="5" fillId="3" borderId="0" xfId="0" applyFont="1" applyFill="1" applyAlignment="1"/>
    <xf numFmtId="0" fontId="5" fillId="3" borderId="4" xfId="0" applyFont="1" applyFill="1" applyBorder="1" applyAlignment="1"/>
    <xf numFmtId="0" fontId="5" fillId="3" borderId="4" xfId="0" applyFont="1" applyFill="1" applyBorder="1"/>
    <xf numFmtId="0" fontId="5" fillId="3" borderId="0" xfId="0" applyFont="1" applyFill="1" applyBorder="1" applyAlignment="1"/>
    <xf numFmtId="0" fontId="5" fillId="0" borderId="0" xfId="0" applyFont="1" applyBorder="1" applyAlignment="1"/>
    <xf numFmtId="49" fontId="1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9" fillId="0" borderId="0" xfId="0" applyFont="1"/>
    <xf numFmtId="0" fontId="4" fillId="3" borderId="4" xfId="0" applyFont="1" applyFill="1" applyBorder="1" applyAlignment="1"/>
    <xf numFmtId="14" fontId="3" fillId="3" borderId="2" xfId="0" applyNumberFormat="1" applyFont="1" applyFill="1" applyBorder="1" applyAlignment="1"/>
    <xf numFmtId="14" fontId="3" fillId="3" borderId="12" xfId="0" applyNumberFormat="1" applyFont="1" applyFill="1" applyBorder="1" applyAlignment="1"/>
    <xf numFmtId="0" fontId="2" fillId="8" borderId="12" xfId="0" applyFont="1" applyFill="1" applyBorder="1"/>
    <xf numFmtId="14" fontId="2" fillId="8" borderId="12" xfId="0" applyNumberFormat="1" applyFont="1" applyFill="1" applyBorder="1"/>
    <xf numFmtId="0" fontId="3" fillId="10" borderId="12" xfId="0" applyFont="1" applyFill="1" applyBorder="1" applyAlignment="1"/>
    <xf numFmtId="14" fontId="2" fillId="8" borderId="12" xfId="0" applyNumberFormat="1" applyFont="1" applyFill="1" applyBorder="1" applyAlignment="1">
      <alignment wrapText="1"/>
    </xf>
    <xf numFmtId="16" fontId="2" fillId="8" borderId="12" xfId="0" applyNumberFormat="1" applyFont="1" applyFill="1" applyBorder="1" applyAlignment="1">
      <alignment wrapText="1"/>
    </xf>
    <xf numFmtId="0" fontId="3" fillId="3" borderId="14" xfId="0" applyFont="1" applyFill="1" applyBorder="1" applyAlignment="1"/>
    <xf numFmtId="0" fontId="3" fillId="4" borderId="9" xfId="0" applyFont="1" applyFill="1" applyBorder="1" applyAlignment="1"/>
    <xf numFmtId="0" fontId="3" fillId="3" borderId="9" xfId="0" applyFont="1" applyFill="1" applyBorder="1" applyAlignment="1"/>
    <xf numFmtId="0" fontId="3" fillId="3" borderId="5" xfId="0" applyFont="1" applyFill="1" applyBorder="1" applyAlignment="1"/>
    <xf numFmtId="0" fontId="3" fillId="3" borderId="10" xfId="0" applyFont="1" applyFill="1" applyBorder="1" applyAlignment="1"/>
    <xf numFmtId="0" fontId="5" fillId="3" borderId="14" xfId="0" applyFont="1" applyFill="1" applyBorder="1" applyAlignment="1"/>
    <xf numFmtId="0" fontId="5" fillId="3" borderId="14" xfId="0" applyFont="1" applyFill="1" applyBorder="1"/>
    <xf numFmtId="0" fontId="5" fillId="3" borderId="6" xfId="0" applyFont="1" applyFill="1" applyBorder="1" applyAlignment="1"/>
    <xf numFmtId="0" fontId="3" fillId="3" borderId="15" xfId="0" applyFont="1" applyFill="1" applyBorder="1" applyAlignment="1"/>
    <xf numFmtId="0" fontId="5" fillId="3" borderId="5" xfId="0" applyFont="1" applyFill="1" applyBorder="1" applyAlignment="1"/>
    <xf numFmtId="0" fontId="3" fillId="3" borderId="6" xfId="0" applyFont="1" applyFill="1" applyBorder="1" applyAlignment="1"/>
    <xf numFmtId="0" fontId="3" fillId="4" borderId="10" xfId="0" applyFont="1" applyFill="1" applyBorder="1" applyAlignment="1"/>
    <xf numFmtId="0" fontId="3" fillId="4" borderId="15" xfId="0" applyFont="1" applyFill="1" applyBorder="1" applyAlignment="1"/>
    <xf numFmtId="0" fontId="3" fillId="4" borderId="16" xfId="0" applyFont="1" applyFill="1" applyBorder="1" applyAlignment="1"/>
    <xf numFmtId="0" fontId="6" fillId="3" borderId="6" xfId="0" applyFont="1" applyFill="1" applyBorder="1" applyAlignment="1"/>
    <xf numFmtId="0" fontId="3" fillId="3" borderId="17" xfId="0" applyFont="1" applyFill="1" applyBorder="1" applyAlignment="1"/>
    <xf numFmtId="0" fontId="3" fillId="4" borderId="8" xfId="0" applyFont="1" applyFill="1" applyBorder="1" applyAlignment="1"/>
    <xf numFmtId="0" fontId="3" fillId="9" borderId="17" xfId="0" applyFont="1" applyFill="1" applyBorder="1" applyAlignment="1"/>
    <xf numFmtId="0" fontId="2" fillId="8" borderId="8" xfId="0" applyFont="1" applyFill="1" applyBorder="1"/>
    <xf numFmtId="0" fontId="3" fillId="3" borderId="18" xfId="0" applyFont="1" applyFill="1" applyBorder="1" applyAlignment="1"/>
    <xf numFmtId="0" fontId="3" fillId="4" borderId="19" xfId="0" applyFont="1" applyFill="1" applyBorder="1" applyAlignment="1"/>
    <xf numFmtId="0" fontId="3" fillId="10" borderId="8" xfId="0" applyFont="1" applyFill="1" applyBorder="1" applyAlignment="1"/>
    <xf numFmtId="0" fontId="2" fillId="9" borderId="17" xfId="0" applyFont="1" applyFill="1" applyBorder="1" applyAlignment="1">
      <alignment wrapText="1"/>
    </xf>
    <xf numFmtId="0" fontId="2" fillId="8" borderId="8" xfId="0" applyFont="1" applyFill="1" applyBorder="1" applyAlignment="1">
      <alignment wrapText="1"/>
    </xf>
    <xf numFmtId="0" fontId="2" fillId="9" borderId="18" xfId="0" applyFont="1" applyFill="1" applyBorder="1"/>
    <xf numFmtId="0" fontId="2" fillId="8" borderId="19" xfId="0" applyFont="1" applyFill="1" applyBorder="1"/>
    <xf numFmtId="0" fontId="2" fillId="9" borderId="18" xfId="0" applyFont="1" applyFill="1" applyBorder="1" applyAlignment="1">
      <alignment wrapText="1"/>
    </xf>
    <xf numFmtId="0" fontId="2" fillId="8" borderId="19" xfId="0" applyFont="1" applyFill="1" applyBorder="1" applyAlignment="1">
      <alignment wrapText="1"/>
    </xf>
    <xf numFmtId="0" fontId="9" fillId="8" borderId="17" xfId="0" applyFont="1" applyFill="1" applyBorder="1"/>
    <xf numFmtId="0" fontId="3" fillId="4" borderId="14" xfId="0" applyFont="1" applyFill="1" applyBorder="1" applyAlignment="1"/>
    <xf numFmtId="0" fontId="3" fillId="4" borderId="6" xfId="0" applyFont="1" applyFill="1" applyBorder="1" applyAlignment="1"/>
    <xf numFmtId="3" fontId="3" fillId="3" borderId="2" xfId="0" applyNumberFormat="1" applyFont="1" applyFill="1" applyBorder="1" applyAlignment="1"/>
    <xf numFmtId="14" fontId="3" fillId="4" borderId="1" xfId="0" applyNumberFormat="1" applyFont="1" applyFill="1" applyBorder="1" applyAlignment="1"/>
    <xf numFmtId="14" fontId="3" fillId="4" borderId="2" xfId="0" applyNumberFormat="1" applyFont="1" applyFill="1" applyBorder="1" applyAlignment="1"/>
    <xf numFmtId="0" fontId="6" fillId="3" borderId="1" xfId="0" applyFont="1" applyFill="1" applyBorder="1" applyAlignment="1"/>
    <xf numFmtId="14" fontId="3" fillId="3" borderId="11" xfId="0" applyNumberFormat="1" applyFont="1" applyFill="1" applyBorder="1" applyAlignment="1"/>
    <xf numFmtId="0" fontId="3" fillId="3" borderId="13" xfId="0" applyFont="1" applyFill="1" applyBorder="1" applyAlignment="1"/>
    <xf numFmtId="14" fontId="3" fillId="3" borderId="13" xfId="0" applyNumberFormat="1" applyFont="1" applyFill="1" applyBorder="1" applyAlignment="1"/>
    <xf numFmtId="0" fontId="3" fillId="4" borderId="13" xfId="0" applyFont="1" applyFill="1" applyBorder="1" applyAlignment="1"/>
    <xf numFmtId="14" fontId="2" fillId="8" borderId="11" xfId="0" applyNumberFormat="1" applyFont="1" applyFill="1" applyBorder="1" applyAlignment="1">
      <alignment wrapText="1"/>
    </xf>
    <xf numFmtId="14" fontId="2" fillId="8" borderId="13" xfId="0" applyNumberFormat="1" applyFont="1" applyFill="1" applyBorder="1" applyAlignment="1">
      <alignment wrapText="1"/>
    </xf>
    <xf numFmtId="0" fontId="2" fillId="8" borderId="13" xfId="0" applyFont="1" applyFill="1" applyBorder="1"/>
    <xf numFmtId="14" fontId="2" fillId="8" borderId="13" xfId="0" applyNumberFormat="1" applyFont="1" applyFill="1" applyBorder="1"/>
    <xf numFmtId="0" fontId="3" fillId="9" borderId="13" xfId="0" applyFont="1" applyFill="1" applyBorder="1" applyAlignment="1"/>
    <xf numFmtId="0" fontId="3" fillId="10" borderId="13" xfId="0" applyFont="1" applyFill="1" applyBorder="1" applyAlignment="1"/>
    <xf numFmtId="14" fontId="2" fillId="8" borderId="11" xfId="0" applyNumberFormat="1" applyFont="1" applyFill="1" applyBorder="1"/>
    <xf numFmtId="0" fontId="3" fillId="10" borderId="11" xfId="0" applyFont="1" applyFill="1" applyBorder="1" applyAlignment="1"/>
    <xf numFmtId="14" fontId="2" fillId="0" borderId="7" xfId="0" applyNumberFormat="1" applyFont="1" applyFill="1" applyBorder="1" applyAlignment="1">
      <alignment horizontal="right"/>
    </xf>
    <xf numFmtId="0" fontId="2" fillId="0" borderId="7" xfId="0" applyFont="1" applyFill="1" applyBorder="1"/>
    <xf numFmtId="0" fontId="9" fillId="0" borderId="7" xfId="0" applyFont="1" applyFill="1" applyBorder="1"/>
    <xf numFmtId="0" fontId="0" fillId="0" borderId="7" xfId="0" applyFill="1" applyBorder="1" applyAlignment="1">
      <alignment horizontal="right"/>
    </xf>
    <xf numFmtId="0" fontId="0" fillId="0" borderId="7" xfId="0" applyFill="1" applyBorder="1"/>
    <xf numFmtId="0" fontId="3" fillId="0" borderId="7" xfId="0" applyFont="1" applyFill="1" applyBorder="1" applyAlignment="1"/>
    <xf numFmtId="0" fontId="3" fillId="0" borderId="7" xfId="0" applyFont="1" applyFill="1" applyBorder="1" applyAlignment="1">
      <alignment horizontal="right"/>
    </xf>
    <xf numFmtId="16" fontId="3" fillId="0" borderId="7" xfId="0" applyNumberFormat="1" applyFont="1" applyFill="1" applyBorder="1" applyAlignment="1">
      <alignment horizontal="right"/>
    </xf>
    <xf numFmtId="14" fontId="3" fillId="0" borderId="7" xfId="0" applyNumberFormat="1" applyFont="1" applyFill="1" applyBorder="1" applyAlignment="1">
      <alignment horizontal="right"/>
    </xf>
    <xf numFmtId="0" fontId="6" fillId="0" borderId="7" xfId="0" applyFont="1" applyFill="1" applyBorder="1" applyAlignment="1"/>
    <xf numFmtId="0" fontId="6" fillId="0" borderId="7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right" wrapText="1"/>
    </xf>
    <xf numFmtId="14" fontId="2" fillId="0" borderId="7" xfId="0" applyNumberFormat="1" applyFont="1" applyFill="1" applyBorder="1" applyAlignment="1">
      <alignment horizontal="right" wrapText="1"/>
    </xf>
    <xf numFmtId="0" fontId="7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16" fontId="3" fillId="0" borderId="7" xfId="0" applyNumberFormat="1" applyFont="1" applyFill="1" applyBorder="1" applyAlignment="1"/>
    <xf numFmtId="14" fontId="3" fillId="0" borderId="7" xfId="0" applyNumberFormat="1" applyFont="1" applyFill="1" applyBorder="1" applyAlignment="1"/>
    <xf numFmtId="0" fontId="2" fillId="0" borderId="7" xfId="0" applyFont="1" applyFill="1" applyBorder="1" applyAlignment="1"/>
    <xf numFmtId="14" fontId="2" fillId="0" borderId="7" xfId="0" applyNumberFormat="1" applyFont="1" applyFill="1" applyBorder="1" applyAlignment="1"/>
    <xf numFmtId="0" fontId="10" fillId="0" borderId="7" xfId="0" applyFont="1" applyFill="1" applyBorder="1" applyAlignment="1">
      <alignment horizontal="left"/>
    </xf>
    <xf numFmtId="0" fontId="9" fillId="8" borderId="7" xfId="0" applyFont="1" applyFill="1" applyBorder="1"/>
    <xf numFmtId="3" fontId="9" fillId="8" borderId="7" xfId="0" applyNumberFormat="1" applyFont="1" applyFill="1" applyBorder="1"/>
    <xf numFmtId="0" fontId="9" fillId="8" borderId="7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9" fillId="11" borderId="0" xfId="0" applyFont="1" applyFill="1" applyBorder="1"/>
    <xf numFmtId="0" fontId="0" fillId="0" borderId="0" xfId="0" applyAlignment="1"/>
    <xf numFmtId="0" fontId="2" fillId="0" borderId="7" xfId="0" applyFont="1" applyBorder="1"/>
    <xf numFmtId="0" fontId="9" fillId="0" borderId="20" xfId="0" applyFont="1" applyBorder="1"/>
    <xf numFmtId="0" fontId="0" fillId="0" borderId="21" xfId="0" applyBorder="1"/>
    <xf numFmtId="0" fontId="9" fillId="11" borderId="23" xfId="0" applyFont="1" applyFill="1" applyBorder="1"/>
    <xf numFmtId="0" fontId="2" fillId="0" borderId="20" xfId="0" applyFont="1" applyBorder="1"/>
    <xf numFmtId="0" fontId="9" fillId="8" borderId="23" xfId="0" applyFont="1" applyFill="1" applyBorder="1" applyAlignment="1">
      <alignment horizontal="left"/>
    </xf>
    <xf numFmtId="0" fontId="9" fillId="8" borderId="23" xfId="0" applyFont="1" applyFill="1" applyBorder="1"/>
    <xf numFmtId="0" fontId="9" fillId="0" borderId="24" xfId="0" applyFont="1" applyBorder="1"/>
    <xf numFmtId="0" fontId="9" fillId="8" borderId="22" xfId="0" applyFont="1" applyFill="1" applyBorder="1"/>
    <xf numFmtId="0" fontId="9" fillId="8" borderId="2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14"/>
  <sheetViews>
    <sheetView tabSelected="1" workbookViewId="0">
      <pane ySplit="1" topLeftCell="A480" activePane="bottomLeft" state="frozen"/>
      <selection pane="bottomLeft" activeCell="I516" sqref="I516"/>
    </sheetView>
  </sheetViews>
  <sheetFormatPr defaultColWidth="15.1328125" defaultRowHeight="15" customHeight="1" x14ac:dyDescent="0.45"/>
  <cols>
    <col min="1" max="1" width="17.86328125" customWidth="1"/>
    <col min="2" max="2" width="12.265625" style="105" customWidth="1"/>
    <col min="3" max="3" width="12.73046875" style="105" customWidth="1"/>
    <col min="4" max="4" width="12.73046875" customWidth="1"/>
    <col min="5" max="5" width="11.73046875" customWidth="1"/>
    <col min="6" max="6" width="13.3984375" customWidth="1"/>
    <col min="7" max="7" width="14.86328125" customWidth="1"/>
    <col min="8" max="8" width="22.59765625" customWidth="1"/>
    <col min="9" max="9" width="11.1328125" customWidth="1"/>
    <col min="10" max="10" width="11.3984375" hidden="1" customWidth="1"/>
    <col min="11" max="11" width="12.59765625" customWidth="1"/>
    <col min="12" max="12" width="13.265625" customWidth="1"/>
    <col min="13" max="13" width="5.1328125" hidden="1" customWidth="1"/>
    <col min="14" max="14" width="16.3984375" style="46" hidden="1" customWidth="1"/>
    <col min="15" max="15" width="10.3984375" hidden="1" customWidth="1"/>
    <col min="16" max="16" width="9.3984375" hidden="1" customWidth="1"/>
    <col min="17" max="17" width="15.59765625" hidden="1" customWidth="1"/>
    <col min="18" max="18" width="16.1328125" customWidth="1"/>
    <col min="19" max="27" width="8" customWidth="1"/>
  </cols>
  <sheetData>
    <row r="1" spans="1:27" ht="45.95" customHeight="1" x14ac:dyDescent="0.45">
      <c r="A1" s="3"/>
      <c r="B1" s="103" t="s">
        <v>5</v>
      </c>
      <c r="C1" s="103" t="s">
        <v>6</v>
      </c>
      <c r="D1" s="3" t="s">
        <v>7</v>
      </c>
      <c r="E1" s="3" t="s">
        <v>0</v>
      </c>
      <c r="F1" s="3" t="s">
        <v>8</v>
      </c>
      <c r="G1" s="4" t="s">
        <v>9</v>
      </c>
      <c r="H1" s="4" t="s">
        <v>10</v>
      </c>
      <c r="I1" s="39" t="s">
        <v>489</v>
      </c>
      <c r="J1" s="53" t="s">
        <v>11</v>
      </c>
      <c r="K1" s="39" t="s">
        <v>691</v>
      </c>
      <c r="L1" s="4" t="s">
        <v>12</v>
      </c>
      <c r="M1" s="4"/>
      <c r="N1" s="39" t="s">
        <v>13</v>
      </c>
      <c r="O1" s="4"/>
      <c r="P1" s="4"/>
      <c r="Q1" s="4" t="s">
        <v>14</v>
      </c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2.75" customHeight="1" x14ac:dyDescent="0.45">
      <c r="A2" s="167" t="s">
        <v>52</v>
      </c>
      <c r="B2" s="168"/>
      <c r="C2" s="169"/>
      <c r="D2" s="167" t="s">
        <v>301</v>
      </c>
      <c r="E2" s="167" t="s">
        <v>302</v>
      </c>
      <c r="F2" s="167" t="s">
        <v>54</v>
      </c>
      <c r="G2" s="167" t="s">
        <v>303</v>
      </c>
      <c r="H2" s="167" t="s">
        <v>304</v>
      </c>
      <c r="I2" s="167" t="s">
        <v>33</v>
      </c>
      <c r="J2" s="115" t="s">
        <v>33</v>
      </c>
      <c r="K2" s="167" t="s">
        <v>20</v>
      </c>
      <c r="L2" s="167" t="s">
        <v>145</v>
      </c>
      <c r="M2" s="116" t="s">
        <v>33</v>
      </c>
      <c r="N2" s="26" t="s">
        <v>32</v>
      </c>
      <c r="O2" s="26">
        <v>61.77</v>
      </c>
      <c r="P2" s="26">
        <v>1</v>
      </c>
      <c r="Q2" s="8">
        <f>O:O*P:P</f>
        <v>61.77</v>
      </c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.75" customHeight="1" x14ac:dyDescent="0.45">
      <c r="A3" s="167" t="s">
        <v>306</v>
      </c>
      <c r="B3" s="168">
        <v>11161</v>
      </c>
      <c r="C3" s="170">
        <v>42248</v>
      </c>
      <c r="D3" s="167" t="s">
        <v>301</v>
      </c>
      <c r="E3" s="167" t="s">
        <v>302</v>
      </c>
      <c r="F3" s="167" t="s">
        <v>2</v>
      </c>
      <c r="G3" s="167" t="s">
        <v>307</v>
      </c>
      <c r="H3" s="167" t="s">
        <v>308</v>
      </c>
      <c r="I3" s="167" t="s">
        <v>20</v>
      </c>
      <c r="J3" s="115" t="s">
        <v>20</v>
      </c>
      <c r="K3" s="167" t="s">
        <v>33</v>
      </c>
      <c r="L3" s="167" t="s">
        <v>32</v>
      </c>
      <c r="M3" s="116" t="s">
        <v>33</v>
      </c>
      <c r="N3" s="26" t="s">
        <v>32</v>
      </c>
      <c r="O3" s="26">
        <v>20</v>
      </c>
      <c r="P3" s="26">
        <v>2</v>
      </c>
      <c r="Q3" s="8">
        <f>O:O*P:P</f>
        <v>40</v>
      </c>
      <c r="R3" s="1"/>
    </row>
    <row r="4" spans="1:27" ht="12.75" customHeight="1" x14ac:dyDescent="0.45">
      <c r="A4" s="167" t="s">
        <v>306</v>
      </c>
      <c r="B4" s="168">
        <v>11188</v>
      </c>
      <c r="C4" s="170">
        <v>42249</v>
      </c>
      <c r="D4" s="167" t="s">
        <v>301</v>
      </c>
      <c r="E4" s="167" t="s">
        <v>302</v>
      </c>
      <c r="F4" s="167" t="s">
        <v>2</v>
      </c>
      <c r="G4" s="167" t="s">
        <v>309</v>
      </c>
      <c r="H4" s="167" t="s">
        <v>310</v>
      </c>
      <c r="I4" s="167" t="s">
        <v>20</v>
      </c>
      <c r="J4" s="115" t="s">
        <v>33</v>
      </c>
      <c r="K4" s="167" t="s">
        <v>33</v>
      </c>
      <c r="L4" s="167" t="s">
        <v>32</v>
      </c>
      <c r="M4" s="116" t="s">
        <v>33</v>
      </c>
      <c r="N4" s="26" t="s">
        <v>32</v>
      </c>
      <c r="O4" s="26">
        <v>25</v>
      </c>
      <c r="P4" s="26">
        <v>4</v>
      </c>
      <c r="Q4" s="8">
        <f>O:O*P:P</f>
        <v>100</v>
      </c>
      <c r="R4" s="1"/>
    </row>
    <row r="5" spans="1:27" ht="12.75" customHeight="1" x14ac:dyDescent="0.45">
      <c r="A5" s="167" t="s">
        <v>306</v>
      </c>
      <c r="B5" s="168">
        <v>11188</v>
      </c>
      <c r="C5" s="170">
        <v>42249</v>
      </c>
      <c r="D5" s="167" t="s">
        <v>301</v>
      </c>
      <c r="E5" s="167" t="s">
        <v>302</v>
      </c>
      <c r="F5" s="167" t="s">
        <v>2</v>
      </c>
      <c r="G5" s="167" t="s">
        <v>311</v>
      </c>
      <c r="H5" s="167" t="s">
        <v>312</v>
      </c>
      <c r="I5" s="167" t="s">
        <v>20</v>
      </c>
      <c r="J5" s="115" t="s">
        <v>20</v>
      </c>
      <c r="K5" s="167" t="s">
        <v>33</v>
      </c>
      <c r="L5" s="167" t="s">
        <v>32</v>
      </c>
      <c r="M5" s="116" t="s">
        <v>33</v>
      </c>
      <c r="N5" s="26" t="s">
        <v>32</v>
      </c>
      <c r="O5" s="26">
        <v>52.5</v>
      </c>
      <c r="P5" s="26">
        <v>3</v>
      </c>
      <c r="Q5" s="8">
        <f>O:O*P:P</f>
        <v>157.5</v>
      </c>
      <c r="R5" s="1"/>
    </row>
    <row r="6" spans="1:27" ht="12.75" customHeight="1" x14ac:dyDescent="0.45">
      <c r="A6" s="167" t="s">
        <v>306</v>
      </c>
      <c r="B6" s="168">
        <v>11188</v>
      </c>
      <c r="C6" s="170">
        <v>42249</v>
      </c>
      <c r="D6" s="167" t="s">
        <v>301</v>
      </c>
      <c r="E6" s="167" t="s">
        <v>302</v>
      </c>
      <c r="F6" s="167" t="s">
        <v>2</v>
      </c>
      <c r="G6" s="167" t="s">
        <v>313</v>
      </c>
      <c r="H6" s="167" t="s">
        <v>314</v>
      </c>
      <c r="I6" s="167" t="s">
        <v>20</v>
      </c>
      <c r="J6" s="115" t="s">
        <v>33</v>
      </c>
      <c r="K6" s="167" t="s">
        <v>33</v>
      </c>
      <c r="L6" s="167" t="s">
        <v>32</v>
      </c>
      <c r="M6" s="116" t="s">
        <v>33</v>
      </c>
      <c r="N6" s="26" t="s">
        <v>32</v>
      </c>
      <c r="O6" s="26">
        <v>13.75</v>
      </c>
      <c r="P6" s="26">
        <v>10</v>
      </c>
      <c r="Q6" s="8">
        <f>O:O*P:P</f>
        <v>137.5</v>
      </c>
      <c r="R6" s="1"/>
    </row>
    <row r="7" spans="1:27" ht="12.75" customHeight="1" x14ac:dyDescent="0.45">
      <c r="A7" s="167" t="s">
        <v>306</v>
      </c>
      <c r="B7" s="168">
        <v>11094</v>
      </c>
      <c r="C7" s="170">
        <v>42244</v>
      </c>
      <c r="D7" s="167" t="s">
        <v>301</v>
      </c>
      <c r="E7" s="167" t="s">
        <v>302</v>
      </c>
      <c r="F7" s="167" t="s">
        <v>2</v>
      </c>
      <c r="G7" s="167" t="s">
        <v>315</v>
      </c>
      <c r="H7" s="167" t="s">
        <v>316</v>
      </c>
      <c r="I7" s="167" t="s">
        <v>20</v>
      </c>
      <c r="J7" s="115" t="s">
        <v>20</v>
      </c>
      <c r="K7" s="167" t="s">
        <v>33</v>
      </c>
      <c r="L7" s="167" t="s">
        <v>32</v>
      </c>
      <c r="M7" s="116" t="s">
        <v>33</v>
      </c>
      <c r="N7" s="26" t="s">
        <v>32</v>
      </c>
      <c r="O7" s="26">
        <v>15</v>
      </c>
      <c r="P7" s="26">
        <v>1</v>
      </c>
      <c r="Q7" s="8">
        <f>O:O*P:P</f>
        <v>15</v>
      </c>
      <c r="R7" s="1"/>
    </row>
    <row r="8" spans="1:27" ht="12.75" customHeight="1" x14ac:dyDescent="0.45">
      <c r="A8" s="167" t="s">
        <v>306</v>
      </c>
      <c r="B8" s="168">
        <v>11094</v>
      </c>
      <c r="C8" s="170">
        <v>42244</v>
      </c>
      <c r="D8" s="167" t="s">
        <v>301</v>
      </c>
      <c r="E8" s="167" t="s">
        <v>302</v>
      </c>
      <c r="F8" s="167" t="s">
        <v>2</v>
      </c>
      <c r="G8" s="167" t="s">
        <v>317</v>
      </c>
      <c r="H8" s="167" t="s">
        <v>318</v>
      </c>
      <c r="I8" s="167" t="s">
        <v>20</v>
      </c>
      <c r="J8" s="115" t="s">
        <v>33</v>
      </c>
      <c r="K8" s="167" t="s">
        <v>33</v>
      </c>
      <c r="L8" s="167" t="s">
        <v>32</v>
      </c>
      <c r="M8" s="116" t="s">
        <v>33</v>
      </c>
      <c r="N8" s="26" t="s">
        <v>32</v>
      </c>
      <c r="O8" s="26">
        <v>14</v>
      </c>
      <c r="P8" s="26">
        <v>2</v>
      </c>
      <c r="Q8" s="8">
        <f>O:O*P:P</f>
        <v>28</v>
      </c>
      <c r="R8" s="1"/>
    </row>
    <row r="9" spans="1:27" ht="12.75" customHeight="1" x14ac:dyDescent="0.45">
      <c r="A9" s="167" t="s">
        <v>306</v>
      </c>
      <c r="B9" s="168">
        <v>11094</v>
      </c>
      <c r="C9" s="170">
        <v>42244</v>
      </c>
      <c r="D9" s="167" t="s">
        <v>301</v>
      </c>
      <c r="E9" s="167" t="s">
        <v>302</v>
      </c>
      <c r="F9" s="167" t="s">
        <v>2</v>
      </c>
      <c r="G9" s="167" t="s">
        <v>317</v>
      </c>
      <c r="H9" s="167" t="s">
        <v>319</v>
      </c>
      <c r="I9" s="167" t="s">
        <v>20</v>
      </c>
      <c r="J9" s="115" t="s">
        <v>33</v>
      </c>
      <c r="K9" s="167" t="s">
        <v>33</v>
      </c>
      <c r="L9" s="167" t="s">
        <v>32</v>
      </c>
      <c r="M9" s="116" t="s">
        <v>33</v>
      </c>
      <c r="N9" s="26" t="s">
        <v>32</v>
      </c>
      <c r="O9" s="26">
        <v>2.5</v>
      </c>
      <c r="P9" s="26">
        <v>2</v>
      </c>
      <c r="Q9" s="8">
        <f>O:O*P:P</f>
        <v>5</v>
      </c>
      <c r="R9" s="1"/>
    </row>
    <row r="10" spans="1:27" ht="12.75" customHeight="1" x14ac:dyDescent="0.45">
      <c r="A10" s="167" t="s">
        <v>306</v>
      </c>
      <c r="B10" s="168">
        <v>11094</v>
      </c>
      <c r="C10" s="170">
        <v>42244</v>
      </c>
      <c r="D10" s="167" t="s">
        <v>301</v>
      </c>
      <c r="E10" s="167" t="s">
        <v>302</v>
      </c>
      <c r="F10" s="167" t="s">
        <v>2</v>
      </c>
      <c r="G10" s="167" t="s">
        <v>320</v>
      </c>
      <c r="H10" s="167" t="s">
        <v>321</v>
      </c>
      <c r="I10" s="167" t="s">
        <v>20</v>
      </c>
      <c r="J10" s="115" t="s">
        <v>20</v>
      </c>
      <c r="K10" s="167" t="s">
        <v>33</v>
      </c>
      <c r="L10" s="167" t="s">
        <v>32</v>
      </c>
      <c r="M10" s="116" t="s">
        <v>33</v>
      </c>
      <c r="N10" s="26" t="s">
        <v>32</v>
      </c>
      <c r="O10" s="26">
        <v>10</v>
      </c>
      <c r="P10" s="26">
        <v>3</v>
      </c>
      <c r="Q10" s="8">
        <f>O:O*P:P</f>
        <v>30</v>
      </c>
      <c r="R10" s="1"/>
    </row>
    <row r="11" spans="1:27" ht="12.75" customHeight="1" x14ac:dyDescent="0.45">
      <c r="A11" s="167" t="s">
        <v>306</v>
      </c>
      <c r="B11" s="168">
        <v>11094</v>
      </c>
      <c r="C11" s="170">
        <v>42244</v>
      </c>
      <c r="D11" s="167" t="s">
        <v>301</v>
      </c>
      <c r="E11" s="167" t="s">
        <v>302</v>
      </c>
      <c r="F11" s="167" t="s">
        <v>2</v>
      </c>
      <c r="G11" s="167" t="s">
        <v>320</v>
      </c>
      <c r="H11" s="167" t="s">
        <v>322</v>
      </c>
      <c r="I11" s="167" t="s">
        <v>20</v>
      </c>
      <c r="J11" s="115" t="s">
        <v>20</v>
      </c>
      <c r="K11" s="167" t="s">
        <v>33</v>
      </c>
      <c r="L11" s="167" t="s">
        <v>32</v>
      </c>
      <c r="M11" s="116" t="s">
        <v>33</v>
      </c>
      <c r="N11" s="26" t="s">
        <v>32</v>
      </c>
      <c r="O11" s="26">
        <v>3</v>
      </c>
      <c r="P11" s="26">
        <v>5</v>
      </c>
      <c r="Q11" s="8">
        <f>O:O*P:P</f>
        <v>15</v>
      </c>
      <c r="R11" s="1"/>
    </row>
    <row r="12" spans="1:27" ht="12.75" customHeight="1" x14ac:dyDescent="0.45">
      <c r="A12" s="167" t="s">
        <v>306</v>
      </c>
      <c r="B12" s="168">
        <v>11094</v>
      </c>
      <c r="C12" s="170">
        <v>42244</v>
      </c>
      <c r="D12" s="167" t="s">
        <v>301</v>
      </c>
      <c r="E12" s="167" t="s">
        <v>302</v>
      </c>
      <c r="F12" s="167" t="s">
        <v>2</v>
      </c>
      <c r="G12" s="167" t="s">
        <v>323</v>
      </c>
      <c r="H12" s="167" t="s">
        <v>324</v>
      </c>
      <c r="I12" s="167" t="s">
        <v>20</v>
      </c>
      <c r="J12" s="115" t="s">
        <v>33</v>
      </c>
      <c r="K12" s="167" t="s">
        <v>33</v>
      </c>
      <c r="L12" s="167" t="s">
        <v>33</v>
      </c>
      <c r="M12" s="116" t="s">
        <v>32</v>
      </c>
      <c r="N12" s="26" t="s">
        <v>32</v>
      </c>
      <c r="O12" s="26">
        <v>19.5</v>
      </c>
      <c r="P12" s="26">
        <v>1</v>
      </c>
      <c r="Q12" s="8">
        <f>O:O*P:P</f>
        <v>19.5</v>
      </c>
      <c r="R12" s="1"/>
    </row>
    <row r="13" spans="1:27" ht="12.75" customHeight="1" x14ac:dyDescent="0.45">
      <c r="A13" s="167" t="s">
        <v>306</v>
      </c>
      <c r="B13" s="168">
        <v>11094</v>
      </c>
      <c r="C13" s="170">
        <v>42244</v>
      </c>
      <c r="D13" s="167" t="s">
        <v>301</v>
      </c>
      <c r="E13" s="167" t="s">
        <v>302</v>
      </c>
      <c r="F13" s="167" t="s">
        <v>2</v>
      </c>
      <c r="G13" s="167" t="s">
        <v>325</v>
      </c>
      <c r="H13" s="167" t="s">
        <v>319</v>
      </c>
      <c r="I13" s="167" t="s">
        <v>20</v>
      </c>
      <c r="J13" s="115" t="s">
        <v>33</v>
      </c>
      <c r="K13" s="167" t="s">
        <v>33</v>
      </c>
      <c r="L13" s="167" t="s">
        <v>32</v>
      </c>
      <c r="M13" s="116" t="s">
        <v>33</v>
      </c>
      <c r="N13" s="26" t="s">
        <v>32</v>
      </c>
      <c r="O13" s="26">
        <v>12.5</v>
      </c>
      <c r="P13" s="26">
        <v>1</v>
      </c>
      <c r="Q13" s="8">
        <f>O:O*P:P</f>
        <v>12.5</v>
      </c>
      <c r="R13" s="1"/>
    </row>
    <row r="14" spans="1:27" ht="12.75" customHeight="1" x14ac:dyDescent="0.45">
      <c r="A14" s="167" t="s">
        <v>306</v>
      </c>
      <c r="B14" s="168">
        <v>11094</v>
      </c>
      <c r="C14" s="170">
        <v>42244</v>
      </c>
      <c r="D14" s="167" t="s">
        <v>301</v>
      </c>
      <c r="E14" s="167" t="s">
        <v>302</v>
      </c>
      <c r="F14" s="167" t="s">
        <v>2</v>
      </c>
      <c r="G14" s="167" t="s">
        <v>309</v>
      </c>
      <c r="H14" s="167" t="s">
        <v>310</v>
      </c>
      <c r="I14" s="167" t="s">
        <v>20</v>
      </c>
      <c r="J14" s="115" t="s">
        <v>33</v>
      </c>
      <c r="K14" s="167" t="s">
        <v>33</v>
      </c>
      <c r="L14" s="167" t="s">
        <v>32</v>
      </c>
      <c r="M14" s="116" t="s">
        <v>33</v>
      </c>
      <c r="N14" s="26" t="s">
        <v>32</v>
      </c>
      <c r="O14" s="26">
        <v>25</v>
      </c>
      <c r="P14" s="26">
        <v>4</v>
      </c>
      <c r="Q14" s="8">
        <f>O:O*P:P</f>
        <v>100</v>
      </c>
      <c r="R14" s="1"/>
    </row>
    <row r="15" spans="1:27" ht="12.75" customHeight="1" x14ac:dyDescent="0.45">
      <c r="A15" s="167" t="s">
        <v>306</v>
      </c>
      <c r="B15" s="168">
        <v>11094</v>
      </c>
      <c r="C15" s="170">
        <v>42244</v>
      </c>
      <c r="D15" s="167" t="s">
        <v>301</v>
      </c>
      <c r="E15" s="167" t="s">
        <v>302</v>
      </c>
      <c r="F15" s="167" t="s">
        <v>2</v>
      </c>
      <c r="G15" s="167" t="s">
        <v>320</v>
      </c>
      <c r="H15" s="167" t="s">
        <v>326</v>
      </c>
      <c r="I15" s="167" t="s">
        <v>20</v>
      </c>
      <c r="J15" s="115" t="s">
        <v>20</v>
      </c>
      <c r="K15" s="167" t="s">
        <v>33</v>
      </c>
      <c r="L15" s="167" t="s">
        <v>32</v>
      </c>
      <c r="M15" s="116" t="s">
        <v>33</v>
      </c>
      <c r="N15" s="26" t="s">
        <v>32</v>
      </c>
      <c r="O15" s="26">
        <v>12.5</v>
      </c>
      <c r="P15" s="26">
        <v>10</v>
      </c>
      <c r="Q15" s="8">
        <f>O:O*P:P</f>
        <v>125</v>
      </c>
      <c r="R15" s="1"/>
    </row>
    <row r="16" spans="1:27" ht="12.75" customHeight="1" x14ac:dyDescent="0.45">
      <c r="A16" s="167" t="s">
        <v>306</v>
      </c>
      <c r="B16" s="168">
        <v>11094</v>
      </c>
      <c r="C16" s="170">
        <v>42244</v>
      </c>
      <c r="D16" s="167" t="s">
        <v>301</v>
      </c>
      <c r="E16" s="167" t="s">
        <v>302</v>
      </c>
      <c r="F16" s="167" t="s">
        <v>2</v>
      </c>
      <c r="G16" s="167" t="s">
        <v>313</v>
      </c>
      <c r="H16" s="167" t="s">
        <v>314</v>
      </c>
      <c r="I16" s="167" t="s">
        <v>20</v>
      </c>
      <c r="J16" s="115" t="s">
        <v>33</v>
      </c>
      <c r="K16" s="167" t="s">
        <v>33</v>
      </c>
      <c r="L16" s="167" t="s">
        <v>32</v>
      </c>
      <c r="M16" s="116" t="s">
        <v>33</v>
      </c>
      <c r="N16" s="26" t="s">
        <v>32</v>
      </c>
      <c r="O16" s="26">
        <v>15</v>
      </c>
      <c r="P16" s="26">
        <v>8</v>
      </c>
      <c r="Q16" s="8">
        <f>O:O*P:P</f>
        <v>120</v>
      </c>
      <c r="R16" s="1"/>
    </row>
    <row r="17" spans="1:27" ht="12.75" customHeight="1" x14ac:dyDescent="0.45">
      <c r="A17" s="167" t="s">
        <v>306</v>
      </c>
      <c r="B17" s="168">
        <v>11094</v>
      </c>
      <c r="C17" s="170">
        <v>42244</v>
      </c>
      <c r="D17" s="167" t="s">
        <v>301</v>
      </c>
      <c r="E17" s="167" t="s">
        <v>302</v>
      </c>
      <c r="F17" s="167" t="s">
        <v>2</v>
      </c>
      <c r="G17" s="167" t="s">
        <v>320</v>
      </c>
      <c r="H17" s="167" t="s">
        <v>327</v>
      </c>
      <c r="I17" s="167" t="s">
        <v>20</v>
      </c>
      <c r="J17" s="115" t="s">
        <v>20</v>
      </c>
      <c r="K17" s="167" t="s">
        <v>33</v>
      </c>
      <c r="L17" s="167" t="s">
        <v>32</v>
      </c>
      <c r="M17" s="116" t="s">
        <v>33</v>
      </c>
      <c r="N17" s="26" t="s">
        <v>32</v>
      </c>
      <c r="O17" s="26">
        <v>13.5</v>
      </c>
      <c r="P17" s="26">
        <v>6</v>
      </c>
      <c r="Q17" s="8">
        <f>O:O*P:P</f>
        <v>81</v>
      </c>
      <c r="R17" s="1"/>
    </row>
    <row r="18" spans="1:27" ht="12.75" customHeight="1" x14ac:dyDescent="0.45">
      <c r="A18" s="167" t="s">
        <v>306</v>
      </c>
      <c r="B18" s="168">
        <v>11094</v>
      </c>
      <c r="C18" s="170">
        <v>42244</v>
      </c>
      <c r="D18" s="167" t="s">
        <v>301</v>
      </c>
      <c r="E18" s="167" t="s">
        <v>302</v>
      </c>
      <c r="F18" s="167" t="s">
        <v>2</v>
      </c>
      <c r="G18" s="167" t="s">
        <v>317</v>
      </c>
      <c r="H18" s="167" t="s">
        <v>328</v>
      </c>
      <c r="I18" s="167" t="s">
        <v>20</v>
      </c>
      <c r="J18" s="115" t="s">
        <v>33</v>
      </c>
      <c r="K18" s="167" t="s">
        <v>33</v>
      </c>
      <c r="L18" s="167" t="s">
        <v>32</v>
      </c>
      <c r="M18" s="116" t="s">
        <v>33</v>
      </c>
      <c r="N18" s="26" t="s">
        <v>32</v>
      </c>
      <c r="O18" s="26">
        <v>4</v>
      </c>
      <c r="P18" s="26">
        <v>20</v>
      </c>
      <c r="Q18" s="8">
        <f>O:O*P:P</f>
        <v>80</v>
      </c>
      <c r="R18" s="1"/>
    </row>
    <row r="19" spans="1:27" ht="12.75" customHeight="1" x14ac:dyDescent="0.45">
      <c r="A19" s="167" t="s">
        <v>306</v>
      </c>
      <c r="B19" s="168">
        <v>11094</v>
      </c>
      <c r="C19" s="170">
        <v>42244</v>
      </c>
      <c r="D19" s="167" t="s">
        <v>301</v>
      </c>
      <c r="E19" s="167" t="s">
        <v>302</v>
      </c>
      <c r="F19" s="167" t="s">
        <v>2</v>
      </c>
      <c r="G19" s="167" t="s">
        <v>315</v>
      </c>
      <c r="H19" s="167" t="s">
        <v>329</v>
      </c>
      <c r="I19" s="167" t="s">
        <v>20</v>
      </c>
      <c r="J19" s="115" t="s">
        <v>20</v>
      </c>
      <c r="K19" s="167" t="s">
        <v>33</v>
      </c>
      <c r="L19" s="167" t="s">
        <v>32</v>
      </c>
      <c r="M19" s="116" t="s">
        <v>33</v>
      </c>
      <c r="N19" s="26" t="s">
        <v>32</v>
      </c>
      <c r="O19" s="26">
        <v>49.75</v>
      </c>
      <c r="P19" s="26">
        <v>1</v>
      </c>
      <c r="Q19" s="8">
        <f>O:O*P:P</f>
        <v>49.75</v>
      </c>
      <c r="R19" s="1"/>
    </row>
    <row r="20" spans="1:27" ht="12.75" customHeight="1" x14ac:dyDescent="0.45">
      <c r="A20" s="167" t="s">
        <v>306</v>
      </c>
      <c r="B20" s="168">
        <v>11126</v>
      </c>
      <c r="C20" s="170">
        <v>42245</v>
      </c>
      <c r="D20" s="167" t="s">
        <v>301</v>
      </c>
      <c r="E20" s="167" t="s">
        <v>302</v>
      </c>
      <c r="F20" s="167" t="s">
        <v>2</v>
      </c>
      <c r="G20" s="167" t="s">
        <v>330</v>
      </c>
      <c r="H20" s="167" t="s">
        <v>331</v>
      </c>
      <c r="I20" s="167" t="s">
        <v>20</v>
      </c>
      <c r="J20" s="115" t="s">
        <v>20</v>
      </c>
      <c r="K20" s="167" t="s">
        <v>20</v>
      </c>
      <c r="L20" s="167" t="s">
        <v>332</v>
      </c>
      <c r="M20" s="116" t="s">
        <v>20</v>
      </c>
      <c r="N20" s="26" t="s">
        <v>333</v>
      </c>
      <c r="O20" s="26">
        <v>18.25</v>
      </c>
      <c r="P20" s="26">
        <v>2</v>
      </c>
      <c r="Q20" s="8">
        <f>O:O*P:P</f>
        <v>36.5</v>
      </c>
      <c r="R20" s="1"/>
    </row>
    <row r="21" spans="1:27" ht="12.75" customHeight="1" x14ac:dyDescent="0.45">
      <c r="A21" s="167" t="s">
        <v>306</v>
      </c>
      <c r="B21" s="168">
        <v>11126</v>
      </c>
      <c r="C21" s="170">
        <v>42245</v>
      </c>
      <c r="D21" s="167" t="s">
        <v>301</v>
      </c>
      <c r="E21" s="167" t="s">
        <v>302</v>
      </c>
      <c r="F21" s="167" t="s">
        <v>2</v>
      </c>
      <c r="G21" s="167" t="s">
        <v>330</v>
      </c>
      <c r="H21" s="167" t="s">
        <v>334</v>
      </c>
      <c r="I21" s="167" t="s">
        <v>20</v>
      </c>
      <c r="J21" s="115" t="s">
        <v>20</v>
      </c>
      <c r="K21" s="167" t="s">
        <v>20</v>
      </c>
      <c r="L21" s="167" t="s">
        <v>332</v>
      </c>
      <c r="M21" s="116" t="s">
        <v>20</v>
      </c>
      <c r="N21" s="26" t="s">
        <v>333</v>
      </c>
      <c r="O21" s="26">
        <v>20</v>
      </c>
      <c r="P21" s="26">
        <v>4.8</v>
      </c>
      <c r="Q21" s="8">
        <f>O:O*P:P</f>
        <v>96</v>
      </c>
      <c r="R21" s="1"/>
    </row>
    <row r="22" spans="1:27" ht="12.75" customHeight="1" x14ac:dyDescent="0.45">
      <c r="A22" s="167" t="s">
        <v>306</v>
      </c>
      <c r="B22" s="168">
        <v>11126</v>
      </c>
      <c r="C22" s="170">
        <v>42245</v>
      </c>
      <c r="D22" s="167" t="s">
        <v>301</v>
      </c>
      <c r="E22" s="167" t="s">
        <v>302</v>
      </c>
      <c r="F22" s="167" t="s">
        <v>2</v>
      </c>
      <c r="G22" s="167" t="s">
        <v>317</v>
      </c>
      <c r="H22" s="167" t="s">
        <v>335</v>
      </c>
      <c r="I22" s="167" t="s">
        <v>20</v>
      </c>
      <c r="J22" s="115" t="s">
        <v>33</v>
      </c>
      <c r="K22" s="167" t="s">
        <v>33</v>
      </c>
      <c r="L22" s="167" t="s">
        <v>32</v>
      </c>
      <c r="M22" s="116" t="s">
        <v>33</v>
      </c>
      <c r="N22" s="26" t="s">
        <v>32</v>
      </c>
      <c r="O22" s="26">
        <v>4.5</v>
      </c>
      <c r="P22" s="26">
        <v>30</v>
      </c>
      <c r="Q22" s="8">
        <f>O:O*P:P</f>
        <v>135</v>
      </c>
      <c r="R22" s="1"/>
    </row>
    <row r="23" spans="1:27" ht="12.75" customHeight="1" x14ac:dyDescent="0.45">
      <c r="A23" s="167" t="s">
        <v>306</v>
      </c>
      <c r="B23" s="168">
        <v>11126</v>
      </c>
      <c r="C23" s="170">
        <v>42245</v>
      </c>
      <c r="D23" s="167" t="s">
        <v>301</v>
      </c>
      <c r="E23" s="167" t="s">
        <v>302</v>
      </c>
      <c r="F23" s="167" t="s">
        <v>2</v>
      </c>
      <c r="G23" s="167" t="s">
        <v>313</v>
      </c>
      <c r="H23" s="167" t="s">
        <v>336</v>
      </c>
      <c r="I23" s="167" t="s">
        <v>20</v>
      </c>
      <c r="J23" s="115" t="s">
        <v>33</v>
      </c>
      <c r="K23" s="167" t="s">
        <v>33</v>
      </c>
      <c r="L23" s="167" t="s">
        <v>32</v>
      </c>
      <c r="M23" s="116" t="s">
        <v>33</v>
      </c>
      <c r="N23" s="26" t="s">
        <v>32</v>
      </c>
      <c r="O23" s="26">
        <v>13.75</v>
      </c>
      <c r="P23" s="26">
        <v>10</v>
      </c>
      <c r="Q23" s="8">
        <f>O:O*P:P</f>
        <v>137.5</v>
      </c>
      <c r="R23" s="1"/>
    </row>
    <row r="24" spans="1:27" ht="12.75" customHeight="1" x14ac:dyDescent="0.45">
      <c r="A24" s="167" t="s">
        <v>306</v>
      </c>
      <c r="B24" s="168">
        <v>11126</v>
      </c>
      <c r="C24" s="170">
        <v>42245</v>
      </c>
      <c r="D24" s="167" t="s">
        <v>301</v>
      </c>
      <c r="E24" s="167" t="s">
        <v>302</v>
      </c>
      <c r="F24" s="167" t="s">
        <v>2</v>
      </c>
      <c r="G24" s="167" t="s">
        <v>337</v>
      </c>
      <c r="H24" s="167" t="s">
        <v>338</v>
      </c>
      <c r="I24" s="167" t="s">
        <v>20</v>
      </c>
      <c r="J24" s="115" t="s">
        <v>33</v>
      </c>
      <c r="K24" s="167" t="s">
        <v>33</v>
      </c>
      <c r="L24" s="167" t="s">
        <v>32</v>
      </c>
      <c r="M24" s="116" t="s">
        <v>33</v>
      </c>
      <c r="N24" s="26" t="s">
        <v>32</v>
      </c>
      <c r="O24" s="26">
        <v>36.75</v>
      </c>
      <c r="P24" s="26">
        <v>2</v>
      </c>
      <c r="Q24" s="8">
        <f>O:O*P:P</f>
        <v>73.5</v>
      </c>
      <c r="R24" s="1"/>
    </row>
    <row r="25" spans="1:27" ht="12.75" customHeight="1" x14ac:dyDescent="0.45">
      <c r="A25" s="167" t="s">
        <v>306</v>
      </c>
      <c r="B25" s="168">
        <v>11126</v>
      </c>
      <c r="C25" s="170">
        <v>42245</v>
      </c>
      <c r="D25" s="167" t="s">
        <v>301</v>
      </c>
      <c r="E25" s="167" t="s">
        <v>302</v>
      </c>
      <c r="F25" s="167" t="s">
        <v>2</v>
      </c>
      <c r="G25" s="167" t="s">
        <v>320</v>
      </c>
      <c r="H25" s="167" t="s">
        <v>326</v>
      </c>
      <c r="I25" s="167" t="s">
        <v>20</v>
      </c>
      <c r="J25" s="115" t="s">
        <v>20</v>
      </c>
      <c r="K25" s="167" t="s">
        <v>33</v>
      </c>
      <c r="L25" s="167" t="s">
        <v>32</v>
      </c>
      <c r="M25" s="116" t="s">
        <v>33</v>
      </c>
      <c r="N25" s="26" t="s">
        <v>32</v>
      </c>
      <c r="O25" s="30">
        <v>2.5</v>
      </c>
      <c r="P25" s="30">
        <v>30</v>
      </c>
      <c r="Q25" s="8">
        <f>O:O*P:P</f>
        <v>75</v>
      </c>
      <c r="R25" s="1"/>
    </row>
    <row r="26" spans="1:27" ht="12.75" customHeight="1" x14ac:dyDescent="0.45">
      <c r="A26" s="167" t="s">
        <v>339</v>
      </c>
      <c r="B26" s="168" t="s">
        <v>340</v>
      </c>
      <c r="C26" s="170">
        <v>42249</v>
      </c>
      <c r="D26" s="167" t="s">
        <v>301</v>
      </c>
      <c r="E26" s="167" t="s">
        <v>302</v>
      </c>
      <c r="F26" s="167" t="s">
        <v>3</v>
      </c>
      <c r="G26" s="167" t="s">
        <v>341</v>
      </c>
      <c r="H26" s="167" t="s">
        <v>342</v>
      </c>
      <c r="I26" s="167" t="s">
        <v>20</v>
      </c>
      <c r="J26" s="115" t="s">
        <v>20</v>
      </c>
      <c r="K26" s="167" t="s">
        <v>194</v>
      </c>
      <c r="L26" s="167" t="s">
        <v>32</v>
      </c>
      <c r="M26" s="116" t="s">
        <v>20</v>
      </c>
      <c r="N26" s="26" t="s">
        <v>343</v>
      </c>
      <c r="O26" s="30">
        <v>15.81</v>
      </c>
      <c r="P26" s="30">
        <v>1</v>
      </c>
      <c r="Q26" s="8">
        <f>O:O*P:P</f>
        <v>15.81</v>
      </c>
      <c r="R26" s="1"/>
    </row>
    <row r="27" spans="1:27" ht="12.75" customHeight="1" x14ac:dyDescent="0.45">
      <c r="A27" s="167" t="s">
        <v>339</v>
      </c>
      <c r="B27" s="168" t="s">
        <v>340</v>
      </c>
      <c r="C27" s="170">
        <v>42249</v>
      </c>
      <c r="D27" s="167" t="s">
        <v>301</v>
      </c>
      <c r="E27" s="167" t="s">
        <v>302</v>
      </c>
      <c r="F27" s="167" t="s">
        <v>3</v>
      </c>
      <c r="G27" s="167" t="s">
        <v>344</v>
      </c>
      <c r="H27" s="167" t="s">
        <v>345</v>
      </c>
      <c r="I27" s="167" t="s">
        <v>20</v>
      </c>
      <c r="J27" s="115" t="s">
        <v>20</v>
      </c>
      <c r="K27" s="167" t="s">
        <v>33</v>
      </c>
      <c r="L27" s="167" t="s">
        <v>32</v>
      </c>
      <c r="M27" s="116" t="s">
        <v>20</v>
      </c>
      <c r="N27" s="26" t="s">
        <v>343</v>
      </c>
      <c r="O27" s="30">
        <v>36.85</v>
      </c>
      <c r="P27" s="30">
        <v>4</v>
      </c>
      <c r="Q27" s="8">
        <f>O:O*P:P</f>
        <v>147.4</v>
      </c>
      <c r="R27" s="1"/>
    </row>
    <row r="28" spans="1:27" ht="12.75" customHeight="1" x14ac:dyDescent="0.45">
      <c r="A28" s="167" t="s">
        <v>339</v>
      </c>
      <c r="B28" s="168" t="s">
        <v>340</v>
      </c>
      <c r="C28" s="170">
        <v>42249</v>
      </c>
      <c r="D28" s="167" t="s">
        <v>301</v>
      </c>
      <c r="E28" s="167" t="s">
        <v>302</v>
      </c>
      <c r="F28" s="167" t="s">
        <v>3</v>
      </c>
      <c r="G28" s="167" t="s">
        <v>344</v>
      </c>
      <c r="H28" s="167" t="s">
        <v>346</v>
      </c>
      <c r="I28" s="167" t="s">
        <v>20</v>
      </c>
      <c r="J28" s="115" t="s">
        <v>20</v>
      </c>
      <c r="K28" s="167" t="s">
        <v>33</v>
      </c>
      <c r="L28" s="167" t="s">
        <v>32</v>
      </c>
      <c r="M28" s="116" t="s">
        <v>20</v>
      </c>
      <c r="N28" s="26" t="s">
        <v>343</v>
      </c>
      <c r="O28" s="30">
        <v>36.69</v>
      </c>
      <c r="P28" s="30">
        <v>8</v>
      </c>
      <c r="Q28" s="8">
        <f>O:O*P:P</f>
        <v>293.52</v>
      </c>
      <c r="R28" s="1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2.75" customHeight="1" x14ac:dyDescent="0.45">
      <c r="A29" s="16" t="s">
        <v>339</v>
      </c>
      <c r="B29" s="16" t="s">
        <v>340</v>
      </c>
      <c r="C29" s="33">
        <v>42249</v>
      </c>
      <c r="D29" s="16" t="s">
        <v>301</v>
      </c>
      <c r="E29" s="16" t="s">
        <v>302</v>
      </c>
      <c r="F29" s="27" t="s">
        <v>2</v>
      </c>
      <c r="G29" s="27" t="s">
        <v>347</v>
      </c>
      <c r="H29" s="27" t="s">
        <v>348</v>
      </c>
      <c r="I29" s="27" t="s">
        <v>20</v>
      </c>
      <c r="J29" s="30" t="s">
        <v>33</v>
      </c>
      <c r="K29" s="27" t="s">
        <v>33</v>
      </c>
      <c r="L29" s="27" t="s">
        <v>32</v>
      </c>
      <c r="M29" s="26" t="s">
        <v>33</v>
      </c>
      <c r="N29" s="26" t="s">
        <v>32</v>
      </c>
      <c r="O29" s="30">
        <v>12.86</v>
      </c>
      <c r="P29" s="30">
        <v>10</v>
      </c>
      <c r="Q29" s="8">
        <f>O:O*P:P</f>
        <v>128.6</v>
      </c>
      <c r="R29" s="1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12.75" customHeight="1" x14ac:dyDescent="0.45">
      <c r="A30" s="26" t="s">
        <v>339</v>
      </c>
      <c r="B30" s="26" t="s">
        <v>340</v>
      </c>
      <c r="C30" s="9">
        <v>42249</v>
      </c>
      <c r="D30" s="26" t="s">
        <v>301</v>
      </c>
      <c r="E30" s="26" t="s">
        <v>302</v>
      </c>
      <c r="F30" s="89" t="s">
        <v>2</v>
      </c>
      <c r="G30" s="30" t="s">
        <v>349</v>
      </c>
      <c r="H30" s="30" t="s">
        <v>350</v>
      </c>
      <c r="I30" s="30" t="s">
        <v>20</v>
      </c>
      <c r="J30" s="30" t="s">
        <v>33</v>
      </c>
      <c r="K30" s="30" t="s">
        <v>33</v>
      </c>
      <c r="L30" s="30" t="s">
        <v>32</v>
      </c>
      <c r="M30" s="30" t="s">
        <v>33</v>
      </c>
      <c r="N30" s="26" t="s">
        <v>32</v>
      </c>
      <c r="O30" s="30">
        <v>29.35</v>
      </c>
      <c r="P30" s="30">
        <v>8</v>
      </c>
      <c r="Q30" s="8">
        <f>O:O*P:P</f>
        <v>234.8</v>
      </c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2.75" customHeight="1" x14ac:dyDescent="0.45">
      <c r="A31" s="35" t="s">
        <v>339</v>
      </c>
      <c r="B31" s="35" t="s">
        <v>351</v>
      </c>
      <c r="C31" s="23">
        <v>42248</v>
      </c>
      <c r="D31" s="10" t="s">
        <v>301</v>
      </c>
      <c r="E31" s="10" t="s">
        <v>302</v>
      </c>
      <c r="F31" s="35" t="s">
        <v>2</v>
      </c>
      <c r="G31" s="35" t="s">
        <v>347</v>
      </c>
      <c r="H31" s="35" t="s">
        <v>352</v>
      </c>
      <c r="I31" s="35" t="s">
        <v>20</v>
      </c>
      <c r="J31" s="30" t="s">
        <v>33</v>
      </c>
      <c r="K31" s="35" t="s">
        <v>33</v>
      </c>
      <c r="L31" s="35" t="s">
        <v>32</v>
      </c>
      <c r="M31" s="30" t="s">
        <v>33</v>
      </c>
      <c r="N31" s="26" t="s">
        <v>32</v>
      </c>
      <c r="O31" s="30">
        <f>(32.62*2)+(12.86*10)</f>
        <v>193.83999999999997</v>
      </c>
      <c r="P31" s="30">
        <v>1</v>
      </c>
      <c r="Q31" s="8">
        <f>O:O*P:P</f>
        <v>193.83999999999997</v>
      </c>
      <c r="R31" s="19"/>
      <c r="S31" s="19"/>
      <c r="T31" s="19"/>
      <c r="U31" s="1"/>
      <c r="V31" s="1"/>
      <c r="W31" s="1"/>
      <c r="X31" s="1"/>
      <c r="Y31" s="1"/>
      <c r="Z31" s="1"/>
      <c r="AA31" s="1"/>
    </row>
    <row r="32" spans="1:27" ht="12.75" customHeight="1" x14ac:dyDescent="0.45">
      <c r="A32" s="167" t="s">
        <v>339</v>
      </c>
      <c r="B32" s="168" t="s">
        <v>351</v>
      </c>
      <c r="C32" s="170">
        <v>42248</v>
      </c>
      <c r="D32" s="167" t="s">
        <v>301</v>
      </c>
      <c r="E32" s="167" t="s">
        <v>302</v>
      </c>
      <c r="F32" s="167" t="s">
        <v>3</v>
      </c>
      <c r="G32" s="167" t="s">
        <v>344</v>
      </c>
      <c r="H32" s="167" t="s">
        <v>353</v>
      </c>
      <c r="I32" s="167" t="s">
        <v>20</v>
      </c>
      <c r="J32" s="115" t="s">
        <v>20</v>
      </c>
      <c r="K32" s="167" t="s">
        <v>33</v>
      </c>
      <c r="L32" s="167" t="s">
        <v>32</v>
      </c>
      <c r="M32" s="117" t="s">
        <v>20</v>
      </c>
      <c r="N32" s="26" t="s">
        <v>343</v>
      </c>
      <c r="O32" s="30">
        <f>(36.85*3)+(36.69*4)</f>
        <v>257.31</v>
      </c>
      <c r="P32" s="30">
        <v>1</v>
      </c>
      <c r="Q32" s="8">
        <f>O:O*P:P</f>
        <v>257.31</v>
      </c>
      <c r="R32" s="19"/>
      <c r="S32" s="19"/>
      <c r="T32" s="19"/>
      <c r="U32" s="1"/>
      <c r="V32" s="1"/>
      <c r="W32" s="1"/>
      <c r="X32" s="1"/>
      <c r="Y32" s="1"/>
      <c r="Z32" s="1"/>
      <c r="AA32" s="1"/>
    </row>
    <row r="33" spans="1:27" ht="12.75" customHeight="1" x14ac:dyDescent="0.45">
      <c r="A33" s="27" t="s">
        <v>339</v>
      </c>
      <c r="B33" s="27" t="s">
        <v>351</v>
      </c>
      <c r="C33" s="33">
        <v>42248</v>
      </c>
      <c r="D33" s="16" t="s">
        <v>301</v>
      </c>
      <c r="E33" s="16" t="s">
        <v>302</v>
      </c>
      <c r="F33" s="27" t="s">
        <v>2</v>
      </c>
      <c r="G33" s="27" t="s">
        <v>349</v>
      </c>
      <c r="H33" s="27" t="s">
        <v>354</v>
      </c>
      <c r="I33" s="27" t="s">
        <v>20</v>
      </c>
      <c r="J33" s="30" t="s">
        <v>33</v>
      </c>
      <c r="K33" s="27" t="s">
        <v>33</v>
      </c>
      <c r="L33" s="27" t="s">
        <v>32</v>
      </c>
      <c r="M33" s="30" t="s">
        <v>33</v>
      </c>
      <c r="N33" s="30" t="s">
        <v>32</v>
      </c>
      <c r="O33" s="30">
        <v>29.55</v>
      </c>
      <c r="P33" s="30">
        <v>12</v>
      </c>
      <c r="Q33" s="8">
        <f>O:O*P:P</f>
        <v>354.6</v>
      </c>
      <c r="R33" s="19"/>
      <c r="S33" s="19"/>
      <c r="T33" s="19"/>
      <c r="U33" s="1"/>
      <c r="V33" s="1"/>
      <c r="W33" s="1"/>
      <c r="X33" s="1"/>
      <c r="Y33" s="1"/>
      <c r="Z33" s="1"/>
      <c r="AA33" s="1"/>
    </row>
    <row r="34" spans="1:27" ht="12.75" customHeight="1" x14ac:dyDescent="0.45">
      <c r="A34" s="35" t="s">
        <v>339</v>
      </c>
      <c r="B34" s="35" t="s">
        <v>355</v>
      </c>
      <c r="C34" s="23">
        <v>42247</v>
      </c>
      <c r="D34" s="10" t="s">
        <v>301</v>
      </c>
      <c r="E34" s="10" t="s">
        <v>302</v>
      </c>
      <c r="F34" s="35" t="s">
        <v>2</v>
      </c>
      <c r="G34" s="35" t="s">
        <v>347</v>
      </c>
      <c r="H34" s="35" t="s">
        <v>356</v>
      </c>
      <c r="I34" s="35" t="s">
        <v>20</v>
      </c>
      <c r="J34" s="30" t="s">
        <v>33</v>
      </c>
      <c r="K34" s="35" t="s">
        <v>33</v>
      </c>
      <c r="L34" s="35" t="s">
        <v>32</v>
      </c>
      <c r="M34" s="30" t="s">
        <v>33</v>
      </c>
      <c r="N34" s="30" t="s">
        <v>32</v>
      </c>
      <c r="O34" s="30">
        <f>(22.68*15)+(12.86*10)+(19.58*2)+(24.64*5)</f>
        <v>631.16</v>
      </c>
      <c r="P34" s="30">
        <v>1</v>
      </c>
      <c r="Q34" s="8">
        <f>O:O*P:P</f>
        <v>631.16</v>
      </c>
      <c r="R34" s="19"/>
      <c r="S34" s="19"/>
      <c r="T34" s="19"/>
      <c r="U34" s="1"/>
      <c r="V34" s="1"/>
      <c r="W34" s="1"/>
      <c r="X34" s="1"/>
      <c r="Y34" s="1"/>
      <c r="Z34" s="1"/>
      <c r="AA34" s="1"/>
    </row>
    <row r="35" spans="1:27" ht="12.75" customHeight="1" x14ac:dyDescent="0.45">
      <c r="A35" s="167" t="s">
        <v>339</v>
      </c>
      <c r="B35" s="168" t="s">
        <v>355</v>
      </c>
      <c r="C35" s="170">
        <v>42247</v>
      </c>
      <c r="D35" s="167" t="s">
        <v>301</v>
      </c>
      <c r="E35" s="167" t="s">
        <v>302</v>
      </c>
      <c r="F35" s="167" t="s">
        <v>3</v>
      </c>
      <c r="G35" s="167" t="s">
        <v>344</v>
      </c>
      <c r="H35" s="167" t="s">
        <v>357</v>
      </c>
      <c r="I35" s="167" t="s">
        <v>20</v>
      </c>
      <c r="J35" s="115" t="s">
        <v>20</v>
      </c>
      <c r="K35" s="167" t="s">
        <v>33</v>
      </c>
      <c r="L35" s="167" t="s">
        <v>32</v>
      </c>
      <c r="M35" s="117" t="s">
        <v>20</v>
      </c>
      <c r="N35" s="30" t="s">
        <v>343</v>
      </c>
      <c r="O35" s="30">
        <f>(36.85*2)+(36.69*4)</f>
        <v>220.45999999999998</v>
      </c>
      <c r="P35" s="30">
        <v>1</v>
      </c>
      <c r="Q35" s="8">
        <f>O:O*P:P</f>
        <v>220.45999999999998</v>
      </c>
      <c r="R35" s="19"/>
      <c r="S35" s="19"/>
      <c r="T35" s="19"/>
      <c r="U35" s="1"/>
      <c r="V35" s="1"/>
      <c r="W35" s="1"/>
      <c r="X35" s="1"/>
      <c r="Y35" s="1"/>
      <c r="Z35" s="1"/>
      <c r="AA35" s="1"/>
    </row>
    <row r="36" spans="1:27" ht="12.75" customHeight="1" x14ac:dyDescent="0.45">
      <c r="A36" s="27" t="s">
        <v>358</v>
      </c>
      <c r="B36" s="27" t="s">
        <v>355</v>
      </c>
      <c r="C36" s="33">
        <v>42247</v>
      </c>
      <c r="D36" s="16" t="s">
        <v>301</v>
      </c>
      <c r="E36" s="16" t="s">
        <v>302</v>
      </c>
      <c r="F36" s="107" t="s">
        <v>2</v>
      </c>
      <c r="G36" s="27" t="s">
        <v>349</v>
      </c>
      <c r="H36" s="27" t="s">
        <v>350</v>
      </c>
      <c r="I36" s="27" t="s">
        <v>20</v>
      </c>
      <c r="J36" s="30" t="s">
        <v>33</v>
      </c>
      <c r="K36" s="27" t="s">
        <v>194</v>
      </c>
      <c r="L36" s="27" t="s">
        <v>32</v>
      </c>
      <c r="M36" s="30" t="s">
        <v>33</v>
      </c>
      <c r="N36" s="30" t="s">
        <v>359</v>
      </c>
      <c r="O36" s="30">
        <v>29.35</v>
      </c>
      <c r="P36" s="30">
        <v>8</v>
      </c>
      <c r="Q36" s="8">
        <f>O:O*P:P</f>
        <v>234.8</v>
      </c>
      <c r="R36" s="19"/>
      <c r="S36" s="19"/>
      <c r="T36" s="19"/>
      <c r="U36" s="1"/>
      <c r="V36" s="1"/>
      <c r="W36" s="1"/>
      <c r="X36" s="1"/>
      <c r="Y36" s="1"/>
      <c r="Z36" s="1"/>
      <c r="AA36" s="1"/>
    </row>
    <row r="37" spans="1:27" ht="12.75" customHeight="1" x14ac:dyDescent="0.45">
      <c r="A37" s="30" t="s">
        <v>339</v>
      </c>
      <c r="B37" s="30" t="s">
        <v>355</v>
      </c>
      <c r="C37" s="20">
        <v>42247</v>
      </c>
      <c r="D37" s="26" t="s">
        <v>301</v>
      </c>
      <c r="E37" s="26" t="s">
        <v>302</v>
      </c>
      <c r="F37" s="30" t="s">
        <v>2</v>
      </c>
      <c r="G37" s="30" t="s">
        <v>347</v>
      </c>
      <c r="H37" s="30" t="s">
        <v>360</v>
      </c>
      <c r="I37" s="30" t="s">
        <v>20</v>
      </c>
      <c r="J37" s="30" t="s">
        <v>33</v>
      </c>
      <c r="K37" s="30" t="s">
        <v>33</v>
      </c>
      <c r="L37" s="30" t="s">
        <v>32</v>
      </c>
      <c r="M37" s="30" t="s">
        <v>33</v>
      </c>
      <c r="N37" s="30" t="s">
        <v>359</v>
      </c>
      <c r="O37" s="30">
        <v>28.85</v>
      </c>
      <c r="P37" s="30">
        <v>1</v>
      </c>
      <c r="Q37" s="8">
        <f>O:O*P:P</f>
        <v>28.85</v>
      </c>
      <c r="R37" s="19"/>
      <c r="S37" s="19"/>
      <c r="T37" s="19"/>
      <c r="U37" s="1"/>
      <c r="V37" s="1"/>
      <c r="W37" s="1"/>
      <c r="X37" s="1"/>
      <c r="Y37" s="1"/>
      <c r="Z37" s="1"/>
      <c r="AA37" s="1"/>
    </row>
    <row r="38" spans="1:27" ht="12.75" customHeight="1" x14ac:dyDescent="0.45">
      <c r="A38" s="89" t="s">
        <v>339</v>
      </c>
      <c r="B38" s="30" t="s">
        <v>355</v>
      </c>
      <c r="C38" s="20">
        <v>42247</v>
      </c>
      <c r="D38" s="26" t="s">
        <v>301</v>
      </c>
      <c r="E38" s="26" t="s">
        <v>302</v>
      </c>
      <c r="F38" s="30" t="s">
        <v>2</v>
      </c>
      <c r="G38" s="30" t="s">
        <v>349</v>
      </c>
      <c r="H38" s="30" t="s">
        <v>350</v>
      </c>
      <c r="I38" s="30" t="s">
        <v>20</v>
      </c>
      <c r="J38" s="30" t="s">
        <v>33</v>
      </c>
      <c r="K38" s="30" t="s">
        <v>33</v>
      </c>
      <c r="L38" s="30" t="s">
        <v>32</v>
      </c>
      <c r="M38" s="30" t="s">
        <v>33</v>
      </c>
      <c r="N38" s="30" t="s">
        <v>32</v>
      </c>
      <c r="O38" s="30">
        <v>11.08</v>
      </c>
      <c r="P38" s="30">
        <v>1</v>
      </c>
      <c r="Q38" s="8">
        <f>O:O*P:P</f>
        <v>11.08</v>
      </c>
      <c r="R38" s="19"/>
      <c r="S38" s="19"/>
      <c r="T38" s="19"/>
      <c r="U38" s="1"/>
      <c r="V38" s="1"/>
      <c r="W38" s="1"/>
      <c r="X38" s="1"/>
      <c r="Y38" s="1"/>
      <c r="Z38" s="1"/>
      <c r="AA38" s="1"/>
    </row>
    <row r="39" spans="1:27" ht="12.75" customHeight="1" x14ac:dyDescent="0.45">
      <c r="A39" s="35" t="s">
        <v>339</v>
      </c>
      <c r="B39" s="35" t="s">
        <v>361</v>
      </c>
      <c r="C39" s="23">
        <v>42244</v>
      </c>
      <c r="D39" s="10" t="s">
        <v>301</v>
      </c>
      <c r="E39" s="10" t="s">
        <v>302</v>
      </c>
      <c r="F39" s="35" t="s">
        <v>2</v>
      </c>
      <c r="G39" s="35" t="s">
        <v>347</v>
      </c>
      <c r="H39" s="35" t="s">
        <v>362</v>
      </c>
      <c r="I39" s="35" t="s">
        <v>20</v>
      </c>
      <c r="J39" s="30" t="s">
        <v>33</v>
      </c>
      <c r="K39" s="35" t="s">
        <v>33</v>
      </c>
      <c r="L39" s="35" t="s">
        <v>32</v>
      </c>
      <c r="M39" s="30" t="s">
        <v>33</v>
      </c>
      <c r="N39" s="30" t="s">
        <v>32</v>
      </c>
      <c r="O39" s="30">
        <f>(32.71*2)+(22.73*6)+(12.9*10)+(21.35*8)</f>
        <v>501.6</v>
      </c>
      <c r="P39" s="30">
        <v>1</v>
      </c>
      <c r="Q39" s="8">
        <f>O:O*P:P</f>
        <v>501.6</v>
      </c>
      <c r="R39" s="19"/>
      <c r="S39" s="19"/>
      <c r="T39" s="19"/>
      <c r="U39" s="1"/>
      <c r="V39" s="1"/>
      <c r="W39" s="1"/>
      <c r="X39" s="1"/>
      <c r="Y39" s="1"/>
      <c r="Z39" s="1"/>
      <c r="AA39" s="1"/>
    </row>
    <row r="40" spans="1:27" ht="12.75" customHeight="1" x14ac:dyDescent="0.45">
      <c r="A40" s="167" t="s">
        <v>339</v>
      </c>
      <c r="B40" s="168" t="s">
        <v>363</v>
      </c>
      <c r="C40" s="170">
        <v>42244</v>
      </c>
      <c r="D40" s="167" t="s">
        <v>301</v>
      </c>
      <c r="E40" s="167" t="s">
        <v>302</v>
      </c>
      <c r="F40" s="167" t="s">
        <v>3</v>
      </c>
      <c r="G40" s="167" t="s">
        <v>344</v>
      </c>
      <c r="H40" s="167" t="s">
        <v>364</v>
      </c>
      <c r="I40" s="167" t="s">
        <v>20</v>
      </c>
      <c r="J40" s="115" t="s">
        <v>20</v>
      </c>
      <c r="K40" s="167" t="s">
        <v>33</v>
      </c>
      <c r="L40" s="167" t="s">
        <v>32</v>
      </c>
      <c r="M40" s="117" t="s">
        <v>20</v>
      </c>
      <c r="N40" s="30" t="s">
        <v>365</v>
      </c>
      <c r="O40" s="30">
        <f>(36.85*6)+(36.69*6)</f>
        <v>441.24</v>
      </c>
      <c r="P40" s="30">
        <v>1</v>
      </c>
      <c r="Q40" s="8">
        <f>O:O*P:P</f>
        <v>441.24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1:27" ht="12.75" customHeight="1" x14ac:dyDescent="0.45">
      <c r="A41" s="27" t="s">
        <v>339</v>
      </c>
      <c r="B41" s="27" t="s">
        <v>366</v>
      </c>
      <c r="C41" s="33">
        <v>42244</v>
      </c>
      <c r="D41" s="16" t="s">
        <v>301</v>
      </c>
      <c r="E41" s="16" t="s">
        <v>302</v>
      </c>
      <c r="F41" s="27" t="s">
        <v>2</v>
      </c>
      <c r="G41" s="27" t="s">
        <v>349</v>
      </c>
      <c r="H41" s="27" t="s">
        <v>350</v>
      </c>
      <c r="I41" s="27" t="s">
        <v>20</v>
      </c>
      <c r="J41" s="30" t="s">
        <v>33</v>
      </c>
      <c r="K41" s="27" t="s">
        <v>33</v>
      </c>
      <c r="L41" s="27" t="s">
        <v>32</v>
      </c>
      <c r="M41" s="30" t="s">
        <v>33</v>
      </c>
      <c r="N41" s="30" t="s">
        <v>32</v>
      </c>
      <c r="O41" s="30">
        <v>29.35</v>
      </c>
      <c r="P41" s="30">
        <v>4</v>
      </c>
      <c r="Q41" s="8">
        <f>O:O*P:P</f>
        <v>117.4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1:27" ht="12.75" customHeight="1" x14ac:dyDescent="0.45">
      <c r="A42" s="35" t="s">
        <v>339</v>
      </c>
      <c r="B42" s="35" t="s">
        <v>367</v>
      </c>
      <c r="C42" s="23">
        <v>42245</v>
      </c>
      <c r="D42" s="10" t="s">
        <v>301</v>
      </c>
      <c r="E42" s="10" t="s">
        <v>302</v>
      </c>
      <c r="F42" s="35" t="s">
        <v>2</v>
      </c>
      <c r="G42" s="35" t="s">
        <v>347</v>
      </c>
      <c r="H42" s="35" t="s">
        <v>368</v>
      </c>
      <c r="I42" s="35" t="s">
        <v>20</v>
      </c>
      <c r="J42" s="30" t="s">
        <v>33</v>
      </c>
      <c r="K42" s="35" t="s">
        <v>33</v>
      </c>
      <c r="L42" s="35" t="s">
        <v>32</v>
      </c>
      <c r="M42" s="30" t="s">
        <v>33</v>
      </c>
      <c r="N42" s="30" t="s">
        <v>32</v>
      </c>
      <c r="O42" s="30">
        <f>(32.71*2)+(30.71*2)+(22.73*8)+(12.9*8)+(20.55*15)</f>
        <v>720.13</v>
      </c>
      <c r="P42" s="30">
        <v>1</v>
      </c>
      <c r="Q42" s="8">
        <f>O:O*P:P</f>
        <v>720.13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1:27" ht="12.75" customHeight="1" x14ac:dyDescent="0.45">
      <c r="A43" s="167" t="s">
        <v>339</v>
      </c>
      <c r="B43" s="168" t="s">
        <v>367</v>
      </c>
      <c r="C43" s="170">
        <v>42245</v>
      </c>
      <c r="D43" s="167" t="s">
        <v>301</v>
      </c>
      <c r="E43" s="167" t="s">
        <v>302</v>
      </c>
      <c r="F43" s="167" t="s">
        <v>3</v>
      </c>
      <c r="G43" s="167" t="s">
        <v>344</v>
      </c>
      <c r="H43" s="167" t="s">
        <v>369</v>
      </c>
      <c r="I43" s="167" t="s">
        <v>20</v>
      </c>
      <c r="J43" s="115" t="s">
        <v>20</v>
      </c>
      <c r="K43" s="167" t="s">
        <v>33</v>
      </c>
      <c r="L43" s="167" t="s">
        <v>32</v>
      </c>
      <c r="M43" s="117" t="s">
        <v>20</v>
      </c>
      <c r="N43" s="30" t="s">
        <v>343</v>
      </c>
      <c r="O43" s="30">
        <v>36.69</v>
      </c>
      <c r="P43" s="30">
        <v>10</v>
      </c>
      <c r="Q43" s="8">
        <f>O:O*P:P</f>
        <v>366.9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7" ht="12.75" customHeight="1" x14ac:dyDescent="0.45">
      <c r="A44" s="107" t="s">
        <v>339</v>
      </c>
      <c r="B44" s="27" t="s">
        <v>370</v>
      </c>
      <c r="C44" s="33">
        <v>42245</v>
      </c>
      <c r="D44" s="16" t="s">
        <v>301</v>
      </c>
      <c r="E44" s="16" t="s">
        <v>302</v>
      </c>
      <c r="F44" s="27" t="s">
        <v>2</v>
      </c>
      <c r="G44" s="27" t="s">
        <v>349</v>
      </c>
      <c r="H44" s="27" t="s">
        <v>350</v>
      </c>
      <c r="I44" s="27" t="s">
        <v>20</v>
      </c>
      <c r="J44" s="30" t="s">
        <v>33</v>
      </c>
      <c r="K44" s="27" t="s">
        <v>33</v>
      </c>
      <c r="L44" s="27" t="s">
        <v>32</v>
      </c>
      <c r="M44" s="30" t="s">
        <v>33</v>
      </c>
      <c r="N44" s="30" t="s">
        <v>32</v>
      </c>
      <c r="O44" s="30">
        <v>29.35</v>
      </c>
      <c r="P44" s="30">
        <v>2</v>
      </c>
      <c r="Q44" s="8">
        <f>O:O*P:P</f>
        <v>58.7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12.75" customHeight="1" x14ac:dyDescent="0.45">
      <c r="A45" s="167" t="s">
        <v>66</v>
      </c>
      <c r="B45" s="168">
        <v>789398</v>
      </c>
      <c r="C45" s="170">
        <v>42246</v>
      </c>
      <c r="D45" s="167" t="s">
        <v>301</v>
      </c>
      <c r="E45" s="167" t="s">
        <v>302</v>
      </c>
      <c r="F45" s="167" t="s">
        <v>147</v>
      </c>
      <c r="G45" s="167" t="s">
        <v>371</v>
      </c>
      <c r="H45" s="167" t="s">
        <v>372</v>
      </c>
      <c r="I45" s="167" t="s">
        <v>20</v>
      </c>
      <c r="J45" s="115" t="s">
        <v>20</v>
      </c>
      <c r="K45" s="167" t="s">
        <v>20</v>
      </c>
      <c r="L45" s="167" t="s">
        <v>491</v>
      </c>
      <c r="M45" s="117" t="s">
        <v>20</v>
      </c>
      <c r="N45" s="30" t="s">
        <v>365</v>
      </c>
      <c r="O45" s="30">
        <f>(6.54*300)</f>
        <v>1962</v>
      </c>
      <c r="P45" s="30">
        <v>1</v>
      </c>
      <c r="Q45" s="8">
        <f>O:O*P:P</f>
        <v>1962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12.75" customHeight="1" x14ac:dyDescent="0.45">
      <c r="A46" s="167" t="s">
        <v>152</v>
      </c>
      <c r="B46" s="168" t="s">
        <v>373</v>
      </c>
      <c r="C46" s="170">
        <v>42248</v>
      </c>
      <c r="D46" s="167" t="s">
        <v>301</v>
      </c>
      <c r="E46" s="167" t="s">
        <v>302</v>
      </c>
      <c r="F46" s="167" t="s">
        <v>4</v>
      </c>
      <c r="G46" s="167" t="s">
        <v>152</v>
      </c>
      <c r="H46" s="167" t="s">
        <v>490</v>
      </c>
      <c r="I46" s="167" t="s">
        <v>20</v>
      </c>
      <c r="J46" s="115" t="s">
        <v>33</v>
      </c>
      <c r="K46" s="167" t="s">
        <v>20</v>
      </c>
      <c r="L46" s="167" t="s">
        <v>374</v>
      </c>
      <c r="M46" s="117" t="s">
        <v>471</v>
      </c>
      <c r="N46" s="30" t="s">
        <v>375</v>
      </c>
      <c r="O46" s="30">
        <v>1796.25</v>
      </c>
      <c r="P46" s="30">
        <v>1</v>
      </c>
      <c r="Q46" s="8">
        <f>O:O*P:P</f>
        <v>1796.25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7" ht="12.75" customHeight="1" x14ac:dyDescent="0.45">
      <c r="A47" s="27" t="s">
        <v>376</v>
      </c>
      <c r="B47" s="27">
        <v>614302191</v>
      </c>
      <c r="C47" s="33">
        <v>42247</v>
      </c>
      <c r="D47" s="16" t="s">
        <v>301</v>
      </c>
      <c r="E47" s="16" t="s">
        <v>302</v>
      </c>
      <c r="F47" s="27" t="s">
        <v>3</v>
      </c>
      <c r="G47" s="27" t="s">
        <v>15</v>
      </c>
      <c r="H47" s="27"/>
      <c r="I47" s="27" t="s">
        <v>20</v>
      </c>
      <c r="J47" s="30" t="s">
        <v>33</v>
      </c>
      <c r="K47" s="30" t="s">
        <v>33</v>
      </c>
      <c r="L47" s="27" t="s">
        <v>305</v>
      </c>
      <c r="M47" s="30" t="s">
        <v>20</v>
      </c>
      <c r="N47" s="30" t="s">
        <v>377</v>
      </c>
      <c r="O47" s="30">
        <v>649.96</v>
      </c>
      <c r="P47" s="30">
        <v>1</v>
      </c>
      <c r="Q47" s="8">
        <f>O:O*P:P</f>
        <v>649.96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7" ht="12.75" customHeight="1" x14ac:dyDescent="0.45">
      <c r="A48" s="35" t="s">
        <v>376</v>
      </c>
      <c r="B48" s="35">
        <v>614302226</v>
      </c>
      <c r="C48" s="23">
        <v>42248</v>
      </c>
      <c r="D48" s="10" t="s">
        <v>301</v>
      </c>
      <c r="E48" s="10" t="s">
        <v>302</v>
      </c>
      <c r="F48" s="35" t="s">
        <v>3</v>
      </c>
      <c r="G48" s="35" t="s">
        <v>15</v>
      </c>
      <c r="H48" s="35"/>
      <c r="I48" s="35" t="s">
        <v>20</v>
      </c>
      <c r="J48" s="30" t="s">
        <v>33</v>
      </c>
      <c r="K48" s="30" t="s">
        <v>33</v>
      </c>
      <c r="L48" s="35" t="s">
        <v>305</v>
      </c>
      <c r="M48" s="30" t="s">
        <v>20</v>
      </c>
      <c r="N48" s="30" t="s">
        <v>377</v>
      </c>
      <c r="O48" s="30">
        <v>156.22</v>
      </c>
      <c r="P48" s="30">
        <v>1</v>
      </c>
      <c r="Q48" s="8">
        <f>O:O*P:P</f>
        <v>156.22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ht="12.75" customHeight="1" x14ac:dyDescent="0.45">
      <c r="A49" s="167" t="s">
        <v>378</v>
      </c>
      <c r="B49" s="168">
        <v>23371</v>
      </c>
      <c r="C49" s="170">
        <v>42247</v>
      </c>
      <c r="D49" s="167" t="s">
        <v>301</v>
      </c>
      <c r="E49" s="167" t="s">
        <v>302</v>
      </c>
      <c r="F49" s="167" t="s">
        <v>3</v>
      </c>
      <c r="G49" s="167" t="s">
        <v>341</v>
      </c>
      <c r="H49" s="167" t="s">
        <v>144</v>
      </c>
      <c r="I49" s="167" t="s">
        <v>20</v>
      </c>
      <c r="J49" s="115" t="s">
        <v>20</v>
      </c>
      <c r="K49" s="167" t="s">
        <v>33</v>
      </c>
      <c r="L49" s="167" t="s">
        <v>32</v>
      </c>
      <c r="M49" s="117" t="s">
        <v>20</v>
      </c>
      <c r="N49" s="30" t="s">
        <v>343</v>
      </c>
      <c r="O49" s="30">
        <v>128</v>
      </c>
      <c r="P49" s="30">
        <v>1</v>
      </c>
      <c r="Q49" s="8">
        <f>O:O*P:P</f>
        <v>128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12.75" customHeight="1" x14ac:dyDescent="0.45">
      <c r="A50" s="32" t="s">
        <v>379</v>
      </c>
      <c r="B50" s="32"/>
      <c r="C50" s="108">
        <v>42249</v>
      </c>
      <c r="D50" s="24" t="s">
        <v>301</v>
      </c>
      <c r="E50" s="24" t="s">
        <v>302</v>
      </c>
      <c r="F50" s="32" t="s">
        <v>2</v>
      </c>
      <c r="G50" s="32" t="s">
        <v>380</v>
      </c>
      <c r="H50" s="32"/>
      <c r="I50" s="32" t="s">
        <v>20</v>
      </c>
      <c r="J50" s="30" t="s">
        <v>33</v>
      </c>
      <c r="K50" s="32" t="s">
        <v>33</v>
      </c>
      <c r="L50" s="32" t="s">
        <v>32</v>
      </c>
      <c r="M50" s="30" t="s">
        <v>33</v>
      </c>
      <c r="N50" s="30" t="s">
        <v>32</v>
      </c>
      <c r="O50" s="30">
        <v>2450</v>
      </c>
      <c r="P50" s="30">
        <v>1</v>
      </c>
      <c r="Q50" s="8">
        <f>O:O*P:P</f>
        <v>2450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ht="12.75" customHeight="1" x14ac:dyDescent="0.45">
      <c r="A51" s="167" t="s">
        <v>224</v>
      </c>
      <c r="B51" s="168"/>
      <c r="C51" s="170">
        <v>42250</v>
      </c>
      <c r="D51" s="167" t="s">
        <v>301</v>
      </c>
      <c r="E51" s="167" t="s">
        <v>302</v>
      </c>
      <c r="F51" s="167" t="s">
        <v>381</v>
      </c>
      <c r="G51" s="167" t="s">
        <v>224</v>
      </c>
      <c r="H51" s="167" t="s">
        <v>124</v>
      </c>
      <c r="I51" s="167" t="s">
        <v>20</v>
      </c>
      <c r="J51" s="115" t="s">
        <v>33</v>
      </c>
      <c r="K51" s="167" t="s">
        <v>20</v>
      </c>
      <c r="L51" s="167" t="s">
        <v>492</v>
      </c>
      <c r="M51" s="117" t="s">
        <v>20</v>
      </c>
      <c r="N51" s="30"/>
      <c r="O51" s="30"/>
      <c r="P51" s="30"/>
      <c r="Q51" s="8" t="s">
        <v>382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ht="12.75" customHeight="1" x14ac:dyDescent="0.45">
      <c r="A52" s="27" t="s">
        <v>383</v>
      </c>
      <c r="B52" s="27"/>
      <c r="C52" s="33">
        <v>42250</v>
      </c>
      <c r="D52" s="16" t="s">
        <v>301</v>
      </c>
      <c r="E52" s="16" t="s">
        <v>302</v>
      </c>
      <c r="F52" s="27" t="s">
        <v>147</v>
      </c>
      <c r="G52" s="27" t="s">
        <v>383</v>
      </c>
      <c r="H52" s="27"/>
      <c r="I52" s="27" t="s">
        <v>20</v>
      </c>
      <c r="J52" s="30" t="s">
        <v>33</v>
      </c>
      <c r="K52" s="27" t="s">
        <v>20</v>
      </c>
      <c r="L52" s="27" t="s">
        <v>384</v>
      </c>
      <c r="M52" s="30" t="s">
        <v>20</v>
      </c>
      <c r="N52" s="30" t="s">
        <v>385</v>
      </c>
      <c r="O52" s="30">
        <v>4492.5</v>
      </c>
      <c r="P52" s="30">
        <v>1</v>
      </c>
      <c r="Q52" s="8">
        <f>O:O*P:P</f>
        <v>4492.5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ht="12.75" customHeight="1" x14ac:dyDescent="0.45">
      <c r="A53" s="35" t="s">
        <v>376</v>
      </c>
      <c r="B53" s="35">
        <v>614302059</v>
      </c>
      <c r="C53" s="23">
        <v>42244</v>
      </c>
      <c r="D53" s="10" t="s">
        <v>301</v>
      </c>
      <c r="E53" s="10" t="s">
        <v>302</v>
      </c>
      <c r="F53" s="35" t="s">
        <v>3</v>
      </c>
      <c r="G53" s="35" t="s">
        <v>15</v>
      </c>
      <c r="H53" s="35"/>
      <c r="I53" s="35" t="s">
        <v>20</v>
      </c>
      <c r="J53" s="30" t="s">
        <v>33</v>
      </c>
      <c r="K53" s="30" t="s">
        <v>33</v>
      </c>
      <c r="L53" s="35" t="s">
        <v>305</v>
      </c>
      <c r="M53" s="30" t="s">
        <v>20</v>
      </c>
      <c r="N53" s="30" t="s">
        <v>386</v>
      </c>
      <c r="O53" s="30">
        <v>954.63</v>
      </c>
      <c r="P53" s="30">
        <v>1</v>
      </c>
      <c r="Q53" s="8">
        <f>O:O*P:P</f>
        <v>954.63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1:27" ht="12.75" customHeight="1" x14ac:dyDescent="0.45">
      <c r="A54" s="167" t="s">
        <v>330</v>
      </c>
      <c r="B54" s="168">
        <v>930999</v>
      </c>
      <c r="C54" s="170">
        <v>42248</v>
      </c>
      <c r="D54" s="167" t="s">
        <v>301</v>
      </c>
      <c r="E54" s="167" t="s">
        <v>302</v>
      </c>
      <c r="F54" s="167" t="s">
        <v>2</v>
      </c>
      <c r="G54" s="167" t="s">
        <v>330</v>
      </c>
      <c r="H54" s="167"/>
      <c r="I54" s="167" t="s">
        <v>20</v>
      </c>
      <c r="J54" s="118" t="s">
        <v>20</v>
      </c>
      <c r="K54" s="167" t="s">
        <v>20</v>
      </c>
      <c r="L54" s="167" t="s">
        <v>332</v>
      </c>
      <c r="M54" s="119" t="s">
        <v>20</v>
      </c>
      <c r="N54" s="35" t="s">
        <v>387</v>
      </c>
      <c r="O54" s="35">
        <v>308</v>
      </c>
      <c r="P54" s="35">
        <v>1</v>
      </c>
      <c r="Q54" s="12">
        <f>O:O*P:P</f>
        <v>308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27" ht="12.75" customHeight="1" x14ac:dyDescent="0.45">
      <c r="A55" s="90" t="s">
        <v>383</v>
      </c>
      <c r="B55" s="90"/>
      <c r="C55" s="91">
        <v>42244</v>
      </c>
      <c r="D55" s="92" t="s">
        <v>301</v>
      </c>
      <c r="E55" s="92"/>
      <c r="F55" s="90" t="s">
        <v>147</v>
      </c>
      <c r="G55" s="90" t="s">
        <v>383</v>
      </c>
      <c r="H55" s="90"/>
      <c r="I55" s="90" t="s">
        <v>20</v>
      </c>
      <c r="J55" s="90" t="s">
        <v>33</v>
      </c>
      <c r="K55" s="90" t="s">
        <v>33</v>
      </c>
      <c r="L55" s="90" t="s">
        <v>25</v>
      </c>
      <c r="M55" s="90" t="s">
        <v>20</v>
      </c>
      <c r="N55" s="90" t="s">
        <v>122</v>
      </c>
      <c r="O55" s="90">
        <v>1520.95</v>
      </c>
      <c r="P55" s="90">
        <v>1</v>
      </c>
      <c r="Q55" s="12">
        <f>O:O*P:P</f>
        <v>1520.95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1:27" ht="12.75" customHeight="1" x14ac:dyDescent="0.45">
      <c r="A56" s="167" t="s">
        <v>193</v>
      </c>
      <c r="B56" s="168"/>
      <c r="C56" s="170">
        <v>42250</v>
      </c>
      <c r="D56" s="167" t="s">
        <v>388</v>
      </c>
      <c r="E56" s="167" t="s">
        <v>302</v>
      </c>
      <c r="F56" s="167" t="s">
        <v>2</v>
      </c>
      <c r="G56" s="167" t="s">
        <v>193</v>
      </c>
      <c r="H56" s="167"/>
      <c r="I56" s="167" t="s">
        <v>20</v>
      </c>
      <c r="J56" s="93" t="s">
        <v>20</v>
      </c>
      <c r="K56" s="167" t="s">
        <v>33</v>
      </c>
      <c r="L56" s="167" t="s">
        <v>32</v>
      </c>
      <c r="M56" s="25" t="s">
        <v>33</v>
      </c>
      <c r="N56" s="93"/>
      <c r="O56" s="25">
        <v>949.05</v>
      </c>
      <c r="P56" s="25">
        <v>1</v>
      </c>
      <c r="Q56" s="94" t="s">
        <v>389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1:27" ht="12.75" customHeight="1" x14ac:dyDescent="0.45">
      <c r="A57" s="32" t="s">
        <v>376</v>
      </c>
      <c r="B57" s="146">
        <v>6.1430245161430197E+26</v>
      </c>
      <c r="C57" s="32" t="s">
        <v>390</v>
      </c>
      <c r="D57" s="32" t="s">
        <v>391</v>
      </c>
      <c r="E57" s="24"/>
      <c r="F57" s="32" t="s">
        <v>3</v>
      </c>
      <c r="G57" s="32" t="s">
        <v>392</v>
      </c>
      <c r="H57" s="32"/>
      <c r="I57" s="32" t="s">
        <v>20</v>
      </c>
      <c r="J57" s="95" t="s">
        <v>33</v>
      </c>
      <c r="K57" s="95" t="s">
        <v>33</v>
      </c>
      <c r="L57" s="32" t="s">
        <v>19</v>
      </c>
      <c r="M57" s="30" t="s">
        <v>20</v>
      </c>
      <c r="N57" s="27" t="s">
        <v>21</v>
      </c>
      <c r="O57" s="30">
        <f>453.53+147.31+718.53</f>
        <v>1319.37</v>
      </c>
      <c r="P57" s="30">
        <v>1</v>
      </c>
      <c r="Q57" s="27">
        <f>O:O*P:P</f>
        <v>1319.37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7" ht="12.75" customHeight="1" x14ac:dyDescent="0.45">
      <c r="A58" s="167" t="s">
        <v>330</v>
      </c>
      <c r="B58" s="168">
        <v>931146</v>
      </c>
      <c r="C58" s="170">
        <v>42255</v>
      </c>
      <c r="D58" s="167" t="s">
        <v>391</v>
      </c>
      <c r="E58" s="167" t="s">
        <v>302</v>
      </c>
      <c r="F58" s="167" t="s">
        <v>2</v>
      </c>
      <c r="G58" s="167" t="s">
        <v>393</v>
      </c>
      <c r="H58" s="167"/>
      <c r="I58" s="167" t="s">
        <v>20</v>
      </c>
      <c r="J58" s="120" t="s">
        <v>20</v>
      </c>
      <c r="K58" s="167" t="s">
        <v>59</v>
      </c>
      <c r="L58" s="167" t="s">
        <v>332</v>
      </c>
      <c r="M58" s="117" t="s">
        <v>20</v>
      </c>
      <c r="N58" s="27" t="s">
        <v>333</v>
      </c>
      <c r="O58" s="30">
        <v>493.75</v>
      </c>
      <c r="P58" s="30">
        <v>1</v>
      </c>
      <c r="Q58" s="27">
        <f>O:O*P:P</f>
        <v>493.75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1:27" ht="12.75" customHeight="1" x14ac:dyDescent="0.45">
      <c r="A59" s="167" t="s">
        <v>193</v>
      </c>
      <c r="B59" s="168">
        <v>1541</v>
      </c>
      <c r="C59" s="170">
        <v>41890</v>
      </c>
      <c r="D59" s="167" t="s">
        <v>391</v>
      </c>
      <c r="E59" s="167" t="s">
        <v>302</v>
      </c>
      <c r="F59" s="167" t="s">
        <v>2</v>
      </c>
      <c r="G59" s="167" t="s">
        <v>193</v>
      </c>
      <c r="H59" s="167"/>
      <c r="I59" s="167" t="s">
        <v>20</v>
      </c>
      <c r="J59" s="120" t="s">
        <v>20</v>
      </c>
      <c r="K59" s="167" t="s">
        <v>33</v>
      </c>
      <c r="L59" s="167" t="str">
        <f>IF(K59="No","N/A")</f>
        <v>N/A</v>
      </c>
      <c r="M59" s="117" t="s">
        <v>33</v>
      </c>
      <c r="N59" s="27" t="str">
        <f t="shared" ref="N59:N61" si="0">IF(M59="No","N/A",IF(G59="Springer Mountain","Emory Local&amp; raised w/o antibiotics)"))</f>
        <v>N/A</v>
      </c>
      <c r="O59" s="30">
        <v>1147.5999999999999</v>
      </c>
      <c r="P59" s="30">
        <v>1</v>
      </c>
      <c r="Q59" s="27">
        <f>O:O*P:P</f>
        <v>1147.5999999999999</v>
      </c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1:27" ht="12.75" customHeight="1" x14ac:dyDescent="0.45">
      <c r="A60" s="167" t="s">
        <v>27</v>
      </c>
      <c r="B60" s="168">
        <v>7988626</v>
      </c>
      <c r="C60" s="170">
        <v>42257</v>
      </c>
      <c r="D60" s="167" t="s">
        <v>391</v>
      </c>
      <c r="E60" s="167" t="s">
        <v>302</v>
      </c>
      <c r="F60" s="167" t="s">
        <v>54</v>
      </c>
      <c r="G60" s="167" t="s">
        <v>27</v>
      </c>
      <c r="H60" s="167" t="s">
        <v>394</v>
      </c>
      <c r="I60" s="167" t="s">
        <v>33</v>
      </c>
      <c r="J60" s="120" t="s">
        <v>33</v>
      </c>
      <c r="K60" s="167" t="s">
        <v>20</v>
      </c>
      <c r="L60" s="167" t="s">
        <v>145</v>
      </c>
      <c r="M60" s="117" t="s">
        <v>33</v>
      </c>
      <c r="N60" s="27" t="str">
        <f t="shared" si="0"/>
        <v>N/A</v>
      </c>
      <c r="O60" s="30">
        <v>4.2300000000000004</v>
      </c>
      <c r="P60" s="30">
        <v>40.9</v>
      </c>
      <c r="Q60" s="27">
        <f>O:O*P:P</f>
        <v>173.00700000000001</v>
      </c>
      <c r="R60" s="2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ht="12.75" customHeight="1" x14ac:dyDescent="0.45">
      <c r="A61" s="167" t="s">
        <v>395</v>
      </c>
      <c r="B61" s="168">
        <v>3423804</v>
      </c>
      <c r="C61" s="170">
        <v>42256</v>
      </c>
      <c r="D61" s="167" t="s">
        <v>391</v>
      </c>
      <c r="E61" s="167" t="s">
        <v>302</v>
      </c>
      <c r="F61" s="167" t="s">
        <v>70</v>
      </c>
      <c r="G61" s="167" t="s">
        <v>396</v>
      </c>
      <c r="H61" s="167" t="s">
        <v>397</v>
      </c>
      <c r="I61" s="167" t="s">
        <v>33</v>
      </c>
      <c r="J61" s="120" t="s">
        <v>33</v>
      </c>
      <c r="K61" s="167" t="s">
        <v>20</v>
      </c>
      <c r="L61" s="167" t="s">
        <v>398</v>
      </c>
      <c r="M61" s="117" t="s">
        <v>33</v>
      </c>
      <c r="N61" s="27" t="str">
        <f t="shared" si="0"/>
        <v>N/A</v>
      </c>
      <c r="O61" s="30"/>
      <c r="P61" s="30"/>
      <c r="Q61" s="27">
        <f>O:O*P:P</f>
        <v>0</v>
      </c>
      <c r="R61" s="2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ht="12.75" customHeight="1" x14ac:dyDescent="0.45">
      <c r="A62" s="167" t="s">
        <v>66</v>
      </c>
      <c r="B62" s="168">
        <v>791731</v>
      </c>
      <c r="C62" s="170">
        <v>42251</v>
      </c>
      <c r="D62" s="167" t="s">
        <v>391</v>
      </c>
      <c r="E62" s="167" t="s">
        <v>302</v>
      </c>
      <c r="F62" s="167" t="s">
        <v>1</v>
      </c>
      <c r="G62" s="167" t="s">
        <v>371</v>
      </c>
      <c r="H62" s="167" t="s">
        <v>399</v>
      </c>
      <c r="I62" s="167" t="str">
        <f t="shared" ref="I62:I68" si="1">IF(G62="Mayfield","Yes",IF(G62="Royal Local","Yes",IF(G62="Sysco","No",IF(G62="H&amp;F Bread","Yes",IF(G62="Springer Mountain","Yes",IF(G62="white oak Pastures","Yes",IF(G62="Southern Swiss", "Yes")))))))</f>
        <v>Yes</v>
      </c>
      <c r="J62" s="121" t="str">
        <f t="shared" ref="J62:J68" si="2">IF(G62="Mayfield","No",IF(G62="Royal Local","No",IF(G62="H&amp;F Bread","No",IF(G62="Springer Mountain","No",IF(G62="white oak pastures","Yes",IF(G62="Southern Swiss","Yes"))))))</f>
        <v>Yes</v>
      </c>
      <c r="K62" s="167" t="str">
        <f t="shared" ref="K62:K68" si="3">IF(G62="Mayfield","Yes", IF(G62="Royal Local","No",IF(G62="H&amp;F Bread", "No",IF(G62="Springer Mountain","Yes",IF(G62="white oak pastures","Yes",IF(G62="Southern Swiss", "Yes"))))))</f>
        <v>Yes</v>
      </c>
      <c r="L62" s="167" t="s">
        <v>491</v>
      </c>
      <c r="M62" s="117" t="s">
        <v>20</v>
      </c>
      <c r="N62" s="27" t="s">
        <v>400</v>
      </c>
      <c r="O62" s="30">
        <v>6.54</v>
      </c>
      <c r="P62" s="30">
        <v>240</v>
      </c>
      <c r="Q62" s="27">
        <f>O:O*P:P</f>
        <v>1569.6</v>
      </c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ht="12.75" customHeight="1" x14ac:dyDescent="0.45">
      <c r="A63" s="167" t="s">
        <v>66</v>
      </c>
      <c r="B63" s="168">
        <v>793668</v>
      </c>
      <c r="C63" s="170">
        <v>42256</v>
      </c>
      <c r="D63" s="167" t="s">
        <v>391</v>
      </c>
      <c r="E63" s="167" t="s">
        <v>302</v>
      </c>
      <c r="F63" s="167" t="s">
        <v>1</v>
      </c>
      <c r="G63" s="167" t="s">
        <v>371</v>
      </c>
      <c r="H63" s="167" t="s">
        <v>401</v>
      </c>
      <c r="I63" s="167" t="str">
        <f t="shared" si="1"/>
        <v>Yes</v>
      </c>
      <c r="J63" s="121" t="str">
        <f t="shared" si="2"/>
        <v>Yes</v>
      </c>
      <c r="K63" s="167" t="str">
        <f t="shared" si="3"/>
        <v>Yes</v>
      </c>
      <c r="L63" s="167" t="s">
        <v>491</v>
      </c>
      <c r="M63" s="117" t="s">
        <v>20</v>
      </c>
      <c r="N63" s="27" t="s">
        <v>400</v>
      </c>
      <c r="O63" s="30">
        <v>6.21</v>
      </c>
      <c r="P63" s="30">
        <v>300</v>
      </c>
      <c r="Q63" s="27">
        <f>O:O*P:P</f>
        <v>1863</v>
      </c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ht="12.75" customHeight="1" x14ac:dyDescent="0.45">
      <c r="A64" s="27" t="s">
        <v>28</v>
      </c>
      <c r="B64" s="27" t="s">
        <v>402</v>
      </c>
      <c r="C64" s="33">
        <v>42252</v>
      </c>
      <c r="D64" s="27" t="s">
        <v>391</v>
      </c>
      <c r="E64" s="27"/>
      <c r="F64" s="27" t="s">
        <v>2</v>
      </c>
      <c r="G64" s="27" t="s">
        <v>347</v>
      </c>
      <c r="H64" s="27" t="s">
        <v>403</v>
      </c>
      <c r="I64" s="27" t="str">
        <f t="shared" si="1"/>
        <v>Yes</v>
      </c>
      <c r="J64" s="96" t="str">
        <f t="shared" si="2"/>
        <v>No</v>
      </c>
      <c r="K64" s="27" t="str">
        <f t="shared" si="3"/>
        <v>No</v>
      </c>
      <c r="L64" s="27" t="str">
        <f>IF(K64="No","N/A")</f>
        <v>N/A</v>
      </c>
      <c r="M64" s="30" t="s">
        <v>33</v>
      </c>
      <c r="N64" s="27" t="str">
        <f>IF(M64="No","N/A",IF(G64="Springer Mountain","Emory Local&amp; raised w/o antibiotics)"))</f>
        <v>N/A</v>
      </c>
      <c r="O64" s="30">
        <v>12.86</v>
      </c>
      <c r="P64" s="30">
        <v>10</v>
      </c>
      <c r="Q64" s="27">
        <f>O:O*P:P</f>
        <v>128.6</v>
      </c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ht="12.75" customHeight="1" x14ac:dyDescent="0.45">
      <c r="A65" s="30" t="s">
        <v>28</v>
      </c>
      <c r="B65" s="30" t="s">
        <v>404</v>
      </c>
      <c r="C65" s="20">
        <v>42252</v>
      </c>
      <c r="D65" s="27" t="s">
        <v>391</v>
      </c>
      <c r="E65" s="30"/>
      <c r="F65" s="30" t="s">
        <v>2</v>
      </c>
      <c r="G65" s="30" t="s">
        <v>347</v>
      </c>
      <c r="H65" s="30" t="s">
        <v>405</v>
      </c>
      <c r="I65" s="27" t="str">
        <f t="shared" si="1"/>
        <v>Yes</v>
      </c>
      <c r="J65" s="96" t="str">
        <f t="shared" si="2"/>
        <v>No</v>
      </c>
      <c r="K65" s="27" t="str">
        <f t="shared" si="3"/>
        <v>No</v>
      </c>
      <c r="L65" s="27" t="str">
        <f>IF(K65="No","N/A")</f>
        <v>N/A</v>
      </c>
      <c r="M65" s="30" t="s">
        <v>33</v>
      </c>
      <c r="N65" s="27" t="str">
        <f>IF(M65="No","N/A",IF(G65="Springer Mountain","Emory Local&amp; raised w/o antibiotics)"))</f>
        <v>N/A</v>
      </c>
      <c r="O65" s="30">
        <v>22.68</v>
      </c>
      <c r="P65" s="30">
        <v>10</v>
      </c>
      <c r="Q65" s="27">
        <f>O:O*P:P</f>
        <v>226.8</v>
      </c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ht="12.75" customHeight="1" x14ac:dyDescent="0.45">
      <c r="A66" s="30" t="s">
        <v>28</v>
      </c>
      <c r="B66" s="30" t="s">
        <v>406</v>
      </c>
      <c r="C66" s="20">
        <v>42251</v>
      </c>
      <c r="D66" s="30" t="s">
        <v>391</v>
      </c>
      <c r="E66" s="30"/>
      <c r="F66" s="30" t="s">
        <v>2</v>
      </c>
      <c r="G66" s="30" t="s">
        <v>347</v>
      </c>
      <c r="H66" s="30" t="s">
        <v>407</v>
      </c>
      <c r="I66" s="27" t="str">
        <f t="shared" si="1"/>
        <v>Yes</v>
      </c>
      <c r="J66" s="96" t="str">
        <f t="shared" si="2"/>
        <v>No</v>
      </c>
      <c r="K66" s="27" t="str">
        <f t="shared" si="3"/>
        <v>No</v>
      </c>
      <c r="L66" s="27" t="str">
        <f>IF(K66="No","N/A")</f>
        <v>N/A</v>
      </c>
      <c r="M66" s="30" t="s">
        <v>33</v>
      </c>
      <c r="N66" s="27" t="str">
        <f>IF(M66="No","N/A",IF(G66="Springer Mountain","Emory Local&amp; raised w/o antibiotics)"))</f>
        <v>N/A</v>
      </c>
      <c r="O66" s="30">
        <f>45.36+154.32+146.75+95.84</f>
        <v>442.27</v>
      </c>
      <c r="P66" s="30">
        <v>1</v>
      </c>
      <c r="Q66" s="27">
        <f>O:O*P:P</f>
        <v>442.27</v>
      </c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1:27" ht="12.75" customHeight="1" x14ac:dyDescent="0.45">
      <c r="A67" s="30" t="s">
        <v>28</v>
      </c>
      <c r="B67" s="30" t="s">
        <v>408</v>
      </c>
      <c r="C67" s="20">
        <v>42256</v>
      </c>
      <c r="D67" s="27" t="s">
        <v>391</v>
      </c>
      <c r="E67" s="30"/>
      <c r="F67" s="30" t="s">
        <v>2</v>
      </c>
      <c r="G67" s="30" t="s">
        <v>347</v>
      </c>
      <c r="H67" s="30" t="s">
        <v>409</v>
      </c>
      <c r="I67" s="27" t="str">
        <f t="shared" si="1"/>
        <v>Yes</v>
      </c>
      <c r="J67" s="96" t="str">
        <f t="shared" si="2"/>
        <v>No</v>
      </c>
      <c r="K67" s="27" t="str">
        <f t="shared" si="3"/>
        <v>No</v>
      </c>
      <c r="L67" s="27" t="str">
        <f>IF(K67="No","N/A")</f>
        <v>N/A</v>
      </c>
      <c r="M67" s="30" t="s">
        <v>33</v>
      </c>
      <c r="N67" s="27" t="str">
        <f>IF(M67="No","N/A",IF(G67="Springer Mountain","Emory Local&amp; raised w/o antibiotics)"))</f>
        <v>N/A</v>
      </c>
      <c r="O67" s="30">
        <f>65.24+90.72+128.6+84.56+68.56+80.55</f>
        <v>518.2299999999999</v>
      </c>
      <c r="P67" s="30">
        <v>1</v>
      </c>
      <c r="Q67" s="27">
        <f>O:O*P:P</f>
        <v>518.2299999999999</v>
      </c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1:27" ht="12.75" customHeight="1" x14ac:dyDescent="0.45">
      <c r="A68" s="35" t="s">
        <v>28</v>
      </c>
      <c r="B68" s="35" t="s">
        <v>410</v>
      </c>
      <c r="C68" s="23">
        <v>42257</v>
      </c>
      <c r="D68" s="35" t="s">
        <v>391</v>
      </c>
      <c r="E68" s="35"/>
      <c r="F68" s="35" t="s">
        <v>2</v>
      </c>
      <c r="G68" s="35" t="s">
        <v>347</v>
      </c>
      <c r="H68" s="35" t="s">
        <v>411</v>
      </c>
      <c r="I68" s="32" t="str">
        <f t="shared" si="1"/>
        <v>Yes</v>
      </c>
      <c r="J68" s="96" t="str">
        <f t="shared" si="2"/>
        <v>No</v>
      </c>
      <c r="K68" s="32" t="str">
        <f t="shared" si="3"/>
        <v>No</v>
      </c>
      <c r="L68" s="32" t="str">
        <f>IF(K68="No","N/A")</f>
        <v>N/A</v>
      </c>
      <c r="M68" s="30" t="s">
        <v>33</v>
      </c>
      <c r="N68" s="27" t="str">
        <f>IF(M68="No","N/A",IF(G68="Springer Mountain","Emory Local&amp; raised w/o antibiotics)"))</f>
        <v>N/A</v>
      </c>
      <c r="O68" s="30">
        <f>113.4+154.32+56.55+105.7+85.7+114.55</f>
        <v>630.22</v>
      </c>
      <c r="P68" s="30">
        <v>1</v>
      </c>
      <c r="Q68" s="27">
        <f>O:O*P:P</f>
        <v>630.22</v>
      </c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1:27" ht="12.75" customHeight="1" x14ac:dyDescent="0.45">
      <c r="A69" s="167" t="s">
        <v>28</v>
      </c>
      <c r="B69" s="168" t="s">
        <v>410</v>
      </c>
      <c r="C69" s="170">
        <v>42257</v>
      </c>
      <c r="D69" s="167" t="s">
        <v>391</v>
      </c>
      <c r="E69" s="167" t="s">
        <v>302</v>
      </c>
      <c r="F69" s="167" t="s">
        <v>3</v>
      </c>
      <c r="G69" s="167" t="s">
        <v>412</v>
      </c>
      <c r="H69" s="167" t="s">
        <v>413</v>
      </c>
      <c r="I69" s="167" t="s">
        <v>20</v>
      </c>
      <c r="J69" s="120" t="s">
        <v>20</v>
      </c>
      <c r="K69" s="167" t="s">
        <v>33</v>
      </c>
      <c r="L69" s="167" t="s">
        <v>32</v>
      </c>
      <c r="M69" s="117" t="s">
        <v>20</v>
      </c>
      <c r="N69" s="27" t="s">
        <v>414</v>
      </c>
      <c r="O69" s="30">
        <f>146.76+366.9+11.94</f>
        <v>525.6</v>
      </c>
      <c r="P69" s="30">
        <v>1</v>
      </c>
      <c r="Q69" s="27">
        <f>O:O*P:P</f>
        <v>525.6</v>
      </c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 x14ac:dyDescent="0.45">
      <c r="A70" s="32" t="s">
        <v>28</v>
      </c>
      <c r="B70" s="32" t="s">
        <v>415</v>
      </c>
      <c r="C70" s="108">
        <v>42255</v>
      </c>
      <c r="D70" s="32" t="s">
        <v>391</v>
      </c>
      <c r="E70" s="32"/>
      <c r="F70" s="32" t="s">
        <v>2</v>
      </c>
      <c r="G70" s="32" t="s">
        <v>347</v>
      </c>
      <c r="H70" s="32" t="s">
        <v>416</v>
      </c>
      <c r="I70" s="32" t="str">
        <f>IF(G70="Mayfield","Yes",IF(G70="Royal Local","Yes",IF(G70="Sysco","No",IF(G70="H&amp;F Bread","Yes",IF(G70="Springer Mountain","Yes",IF(G70="white oak Pastures","Yes",IF(G70="Southern Swiss", "Yes")))))))</f>
        <v>Yes</v>
      </c>
      <c r="J70" s="96" t="str">
        <f>IF(G70="Mayfield","No",IF(G70="Royal Local","No",IF(G70="H&amp;F Bread","No",IF(G70="Springer Mountain","No",IF(G70="white oak pastures","Yes",IF(G70="Southern Swiss","Yes"))))))</f>
        <v>No</v>
      </c>
      <c r="K70" s="32" t="str">
        <f>IF(G70="Mayfield","Yes", IF(G70="Royal Local","No",IF(G70="H&amp;F Bread", "No",IF(G70="Springer Mountain","Yes",IF(G70="white oak pastures","Yes",IF(G70="Southern Swiss", "Yes"))))))</f>
        <v>No</v>
      </c>
      <c r="L70" s="32" t="str">
        <f>IF(K70="No","N/A")</f>
        <v>N/A</v>
      </c>
      <c r="M70" s="30" t="s">
        <v>33</v>
      </c>
      <c r="N70" s="27" t="str">
        <f>IF(M70="No","N/A",IF(G70="Springer Mountain","Emory Local&amp; raised w/o antibiotics)"))</f>
        <v>N/A</v>
      </c>
      <c r="O70" s="30">
        <f>90.72+57.7+42.28+82.23+46.62</f>
        <v>319.55</v>
      </c>
      <c r="P70" s="30">
        <v>1</v>
      </c>
      <c r="Q70" s="27">
        <f>O:O*P:P</f>
        <v>319.55</v>
      </c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customHeight="1" x14ac:dyDescent="0.45">
      <c r="A71" s="167" t="s">
        <v>28</v>
      </c>
      <c r="B71" s="168" t="s">
        <v>415</v>
      </c>
      <c r="C71" s="170">
        <v>42255</v>
      </c>
      <c r="D71" s="167" t="s">
        <v>391</v>
      </c>
      <c r="E71" s="167" t="s">
        <v>302</v>
      </c>
      <c r="F71" s="167" t="s">
        <v>3</v>
      </c>
      <c r="G71" s="167" t="s">
        <v>412</v>
      </c>
      <c r="H71" s="167" t="s">
        <v>417</v>
      </c>
      <c r="I71" s="167" t="s">
        <v>20</v>
      </c>
      <c r="J71" s="120" t="s">
        <v>20</v>
      </c>
      <c r="K71" s="167" t="s">
        <v>33</v>
      </c>
      <c r="L71" s="167" t="s">
        <v>32</v>
      </c>
      <c r="M71" s="117" t="s">
        <v>20</v>
      </c>
      <c r="N71" s="27" t="s">
        <v>414</v>
      </c>
      <c r="O71" s="30">
        <v>110.5</v>
      </c>
      <c r="P71" s="30">
        <v>1</v>
      </c>
      <c r="Q71" s="27">
        <f>O:O*P:P</f>
        <v>110.5</v>
      </c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customHeight="1" x14ac:dyDescent="0.45">
      <c r="A72" s="167" t="s">
        <v>52</v>
      </c>
      <c r="B72" s="168"/>
      <c r="C72" s="168" t="s">
        <v>53</v>
      </c>
      <c r="D72" s="167" t="s">
        <v>391</v>
      </c>
      <c r="E72" s="167" t="s">
        <v>302</v>
      </c>
      <c r="F72" s="167" t="s">
        <v>54</v>
      </c>
      <c r="G72" s="167" t="s">
        <v>303</v>
      </c>
      <c r="H72" s="167" t="s">
        <v>418</v>
      </c>
      <c r="I72" s="167" t="s">
        <v>33</v>
      </c>
      <c r="J72" s="120" t="s">
        <v>33</v>
      </c>
      <c r="K72" s="167" t="s">
        <v>20</v>
      </c>
      <c r="L72" s="167" t="s">
        <v>145</v>
      </c>
      <c r="M72" s="117" t="s">
        <v>33</v>
      </c>
      <c r="N72" s="27" t="str">
        <f>IF(M72="No","N/A",IF(G72="Springer Mountain","Emory Local&amp; raised w/o antibiotics)"))</f>
        <v>N/A</v>
      </c>
      <c r="O72" s="30">
        <v>61.77</v>
      </c>
      <c r="P72" s="30">
        <v>7</v>
      </c>
      <c r="Q72" s="27">
        <f>O:O*P:P</f>
        <v>432.39000000000004</v>
      </c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 x14ac:dyDescent="0.45">
      <c r="A73" s="167" t="s">
        <v>193</v>
      </c>
      <c r="B73" s="168"/>
      <c r="C73" s="170"/>
      <c r="D73" s="167" t="s">
        <v>419</v>
      </c>
      <c r="E73" s="167" t="s">
        <v>302</v>
      </c>
      <c r="F73" s="167" t="s">
        <v>2</v>
      </c>
      <c r="G73" s="167" t="s">
        <v>193</v>
      </c>
      <c r="H73" s="167" t="s">
        <v>289</v>
      </c>
      <c r="I73" s="167" t="s">
        <v>20</v>
      </c>
      <c r="J73" s="98" t="s">
        <v>20</v>
      </c>
      <c r="K73" s="167" t="s">
        <v>33</v>
      </c>
      <c r="L73" s="167" t="s">
        <v>32</v>
      </c>
      <c r="M73" s="97" t="s">
        <v>33</v>
      </c>
      <c r="N73" s="97"/>
      <c r="O73" s="97">
        <v>773.35</v>
      </c>
      <c r="P73" s="97">
        <v>1</v>
      </c>
      <c r="Q73" s="90">
        <v>773.35</v>
      </c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 x14ac:dyDescent="0.45">
      <c r="A74" s="167" t="s">
        <v>52</v>
      </c>
      <c r="B74" s="168"/>
      <c r="C74" s="168" t="s">
        <v>53</v>
      </c>
      <c r="D74" s="167" t="s">
        <v>420</v>
      </c>
      <c r="E74" s="167" t="s">
        <v>302</v>
      </c>
      <c r="F74" s="167" t="s">
        <v>54</v>
      </c>
      <c r="G74" s="167" t="s">
        <v>55</v>
      </c>
      <c r="H74" s="167" t="s">
        <v>421</v>
      </c>
      <c r="I74" s="167" t="s">
        <v>33</v>
      </c>
      <c r="J74" s="122" t="s">
        <v>194</v>
      </c>
      <c r="K74" s="167" t="s">
        <v>20</v>
      </c>
      <c r="L74" s="167" t="s">
        <v>422</v>
      </c>
      <c r="M74" s="123" t="s">
        <v>33</v>
      </c>
      <c r="N74" s="27" t="str">
        <f>IF(M74="No","N/A",IF(G74="Springer Mountain","Emory Local&amp; raised w/o antibiotics)"))</f>
        <v>N/A</v>
      </c>
      <c r="O74" s="27">
        <v>61.77</v>
      </c>
      <c r="P74" s="27">
        <v>3</v>
      </c>
      <c r="Q74" s="27">
        <f>O:O*P:P</f>
        <v>185.31</v>
      </c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 x14ac:dyDescent="0.45">
      <c r="A75" s="167" t="s">
        <v>52</v>
      </c>
      <c r="B75" s="168"/>
      <c r="C75" s="168" t="s">
        <v>53</v>
      </c>
      <c r="D75" s="167" t="s">
        <v>420</v>
      </c>
      <c r="E75" s="167" t="s">
        <v>302</v>
      </c>
      <c r="F75" s="167" t="s">
        <v>54</v>
      </c>
      <c r="G75" s="167" t="s">
        <v>58</v>
      </c>
      <c r="H75" s="167" t="s">
        <v>173</v>
      </c>
      <c r="I75" s="167" t="s">
        <v>33</v>
      </c>
      <c r="J75" s="120" t="s">
        <v>33</v>
      </c>
      <c r="K75" s="167" t="s">
        <v>20</v>
      </c>
      <c r="L75" s="167" t="s">
        <v>422</v>
      </c>
      <c r="M75" s="117" t="s">
        <v>33</v>
      </c>
      <c r="N75" s="27" t="str">
        <f>IF(M75="No","N/A",IF(G75="Springer Mountain","Emory Local&amp; raised w/o antibiotics)"))</f>
        <v>N/A</v>
      </c>
      <c r="O75" s="30">
        <v>456.5</v>
      </c>
      <c r="P75" s="30">
        <v>1</v>
      </c>
      <c r="Q75" s="27">
        <f>O:O*P:P</f>
        <v>456.5</v>
      </c>
      <c r="R75" s="34"/>
      <c r="S75" s="34"/>
      <c r="T75" s="34"/>
      <c r="U75" s="34"/>
      <c r="V75" s="34"/>
      <c r="W75" s="34"/>
      <c r="X75" s="34"/>
      <c r="Y75" s="34"/>
      <c r="Z75" s="34"/>
      <c r="AA75" s="34"/>
    </row>
    <row r="76" spans="1:27" ht="12.75" customHeight="1" x14ac:dyDescent="0.45">
      <c r="A76" s="27" t="s">
        <v>339</v>
      </c>
      <c r="B76" s="27" t="s">
        <v>424</v>
      </c>
      <c r="C76" s="33">
        <v>42261</v>
      </c>
      <c r="D76" s="27" t="s">
        <v>420</v>
      </c>
      <c r="E76" s="27"/>
      <c r="F76" s="27" t="s">
        <v>2</v>
      </c>
      <c r="G76" s="27" t="s">
        <v>149</v>
      </c>
      <c r="H76" s="27" t="s">
        <v>425</v>
      </c>
      <c r="I76" s="27" t="s">
        <v>20</v>
      </c>
      <c r="J76" s="95" t="s">
        <v>33</v>
      </c>
      <c r="K76" s="27" t="s">
        <v>33</v>
      </c>
      <c r="L76" s="27" t="str">
        <f>IF(K76="No","N/A")</f>
        <v>N/A</v>
      </c>
      <c r="M76" s="30" t="s">
        <v>33</v>
      </c>
      <c r="N76" s="27" t="str">
        <f>IF(M76="No","N/A",IF(G76="Springer Mountain","Emory Local&amp; raised w/o antibiotics)"))</f>
        <v>N/A</v>
      </c>
      <c r="O76" s="30">
        <f>136.08+39.3+115.4+56.55+64.05+87.84+87.84+93.24</f>
        <v>680.30000000000007</v>
      </c>
      <c r="P76" s="30">
        <v>1</v>
      </c>
      <c r="Q76" s="27">
        <f>O:O*P:P</f>
        <v>680.30000000000007</v>
      </c>
      <c r="R76" s="34"/>
      <c r="S76" s="34"/>
      <c r="T76" s="34"/>
      <c r="U76" s="34"/>
      <c r="V76" s="34"/>
      <c r="W76" s="34"/>
      <c r="X76" s="34"/>
      <c r="Y76" s="34"/>
      <c r="Z76" s="34"/>
      <c r="AA76" s="34"/>
    </row>
    <row r="77" spans="1:27" ht="12.75" customHeight="1" x14ac:dyDescent="0.45">
      <c r="A77" s="30" t="s">
        <v>339</v>
      </c>
      <c r="B77" s="30" t="s">
        <v>426</v>
      </c>
      <c r="C77" s="20">
        <v>42262</v>
      </c>
      <c r="D77" s="27" t="s">
        <v>420</v>
      </c>
      <c r="E77" s="30"/>
      <c r="F77" s="30" t="s">
        <v>3</v>
      </c>
      <c r="G77" s="30" t="s">
        <v>149</v>
      </c>
      <c r="H77" s="30" t="s">
        <v>427</v>
      </c>
      <c r="I77" s="27" t="s">
        <v>20</v>
      </c>
      <c r="J77" s="95" t="s">
        <v>20</v>
      </c>
      <c r="K77" s="27" t="s">
        <v>33</v>
      </c>
      <c r="L77" s="27" t="s">
        <v>19</v>
      </c>
      <c r="M77" s="30" t="s">
        <v>20</v>
      </c>
      <c r="N77" s="27" t="s">
        <v>414</v>
      </c>
      <c r="O77" s="30">
        <v>23.19</v>
      </c>
      <c r="P77" s="30">
        <v>2</v>
      </c>
      <c r="Q77" s="27">
        <f>O:O*P:P</f>
        <v>46.38</v>
      </c>
      <c r="R77" s="34"/>
      <c r="S77" s="34"/>
      <c r="T77" s="34"/>
      <c r="U77" s="34"/>
      <c r="V77" s="34"/>
      <c r="W77" s="34"/>
      <c r="X77" s="34"/>
      <c r="Y77" s="34"/>
      <c r="Z77" s="34"/>
      <c r="AA77" s="34"/>
    </row>
    <row r="78" spans="1:27" ht="12.75" customHeight="1" x14ac:dyDescent="0.45">
      <c r="A78" s="30" t="s">
        <v>339</v>
      </c>
      <c r="B78" s="30" t="s">
        <v>428</v>
      </c>
      <c r="C78" s="20">
        <v>42262</v>
      </c>
      <c r="D78" s="27" t="s">
        <v>420</v>
      </c>
      <c r="E78" s="30"/>
      <c r="F78" s="30" t="s">
        <v>2</v>
      </c>
      <c r="G78" s="30" t="s">
        <v>149</v>
      </c>
      <c r="H78" s="30" t="s">
        <v>429</v>
      </c>
      <c r="I78" s="27" t="s">
        <v>20</v>
      </c>
      <c r="J78" s="95" t="s">
        <v>33</v>
      </c>
      <c r="K78" s="27" t="s">
        <v>33</v>
      </c>
      <c r="L78" s="27" t="str">
        <f>IF(K78="No","N/A")</f>
        <v>N/A</v>
      </c>
      <c r="M78" s="30" t="s">
        <v>33</v>
      </c>
      <c r="N78" s="27" t="str">
        <f>IF(M78="No","N/A",IF(G78="Springer Mountain","Emory Local&amp; raised w/o antibiotics)"))</f>
        <v>N/A</v>
      </c>
      <c r="O78" s="30">
        <f>136.08+128.6+43.16+75.4+177.87</f>
        <v>561.11</v>
      </c>
      <c r="P78" s="30">
        <v>1</v>
      </c>
      <c r="Q78" s="27">
        <f>O:O*P:P</f>
        <v>561.11</v>
      </c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 x14ac:dyDescent="0.45">
      <c r="A79" s="30" t="s">
        <v>339</v>
      </c>
      <c r="B79" s="30" t="s">
        <v>428</v>
      </c>
      <c r="C79" s="20">
        <v>42262</v>
      </c>
      <c r="D79" s="27" t="s">
        <v>420</v>
      </c>
      <c r="E79" s="30"/>
      <c r="F79" s="30" t="s">
        <v>3</v>
      </c>
      <c r="G79" s="30" t="s">
        <v>149</v>
      </c>
      <c r="H79" s="30" t="s">
        <v>430</v>
      </c>
      <c r="I79" s="27" t="s">
        <v>20</v>
      </c>
      <c r="J79" s="95" t="s">
        <v>20</v>
      </c>
      <c r="K79" s="27" t="s">
        <v>33</v>
      </c>
      <c r="L79" s="27" t="s">
        <v>19</v>
      </c>
      <c r="M79" s="30" t="s">
        <v>20</v>
      </c>
      <c r="N79" s="27" t="s">
        <v>414</v>
      </c>
      <c r="O79" s="30">
        <v>19.73</v>
      </c>
      <c r="P79" s="30">
        <v>2</v>
      </c>
      <c r="Q79" s="27">
        <f>O:O*P:P</f>
        <v>39.46</v>
      </c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 x14ac:dyDescent="0.45">
      <c r="A80" s="30" t="s">
        <v>339</v>
      </c>
      <c r="B80" s="30" t="s">
        <v>431</v>
      </c>
      <c r="C80" s="20">
        <v>42263</v>
      </c>
      <c r="D80" s="27" t="s">
        <v>420</v>
      </c>
      <c r="E80" s="30"/>
      <c r="F80" s="30" t="s">
        <v>2</v>
      </c>
      <c r="G80" s="30" t="s">
        <v>149</v>
      </c>
      <c r="H80" s="30" t="s">
        <v>432</v>
      </c>
      <c r="I80" s="27" t="s">
        <v>20</v>
      </c>
      <c r="J80" s="95" t="s">
        <v>33</v>
      </c>
      <c r="K80" s="27" t="s">
        <v>33</v>
      </c>
      <c r="L80" s="27" t="str">
        <f>IF(K80="No","N/A")</f>
        <v>N/A</v>
      </c>
      <c r="M80" s="30" t="s">
        <v>33</v>
      </c>
      <c r="N80" s="27" t="str">
        <f>IF(M80="No","N/A",IF(G80="Springer Mountain","Emory Local&amp; raised w/o antibiotics)"))</f>
        <v>N/A</v>
      </c>
      <c r="O80" s="30">
        <f>65.7+65.24+154.32+94.25+82.2</f>
        <v>461.71</v>
      </c>
      <c r="P80" s="30">
        <v>1</v>
      </c>
      <c r="Q80" s="27">
        <f>O:O*P:P</f>
        <v>461.71</v>
      </c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 x14ac:dyDescent="0.45">
      <c r="A81" s="30" t="s">
        <v>339</v>
      </c>
      <c r="B81" s="30" t="s">
        <v>431</v>
      </c>
      <c r="C81" s="20">
        <v>42263</v>
      </c>
      <c r="D81" s="27" t="s">
        <v>420</v>
      </c>
      <c r="E81" s="30"/>
      <c r="F81" s="30" t="s">
        <v>3</v>
      </c>
      <c r="G81" s="30" t="s">
        <v>149</v>
      </c>
      <c r="H81" s="30" t="s">
        <v>430</v>
      </c>
      <c r="I81" s="27" t="s">
        <v>20</v>
      </c>
      <c r="J81" s="95" t="s">
        <v>20</v>
      </c>
      <c r="K81" s="27" t="s">
        <v>33</v>
      </c>
      <c r="L81" s="27" t="s">
        <v>423</v>
      </c>
      <c r="M81" s="30" t="s">
        <v>20</v>
      </c>
      <c r="N81" s="27" t="s">
        <v>414</v>
      </c>
      <c r="O81" s="30">
        <v>19.73</v>
      </c>
      <c r="P81" s="30">
        <v>2</v>
      </c>
      <c r="Q81" s="27">
        <f>O:O*P:P</f>
        <v>39.46</v>
      </c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 x14ac:dyDescent="0.45">
      <c r="A82" s="30" t="s">
        <v>339</v>
      </c>
      <c r="B82" s="30" t="s">
        <v>433</v>
      </c>
      <c r="C82" s="20">
        <v>42258</v>
      </c>
      <c r="D82" s="27" t="s">
        <v>420</v>
      </c>
      <c r="E82" s="30"/>
      <c r="F82" s="30" t="s">
        <v>2</v>
      </c>
      <c r="G82" s="30" t="s">
        <v>149</v>
      </c>
      <c r="H82" s="30" t="s">
        <v>434</v>
      </c>
      <c r="I82" s="27" t="s">
        <v>20</v>
      </c>
      <c r="J82" s="95" t="s">
        <v>33</v>
      </c>
      <c r="K82" s="27" t="s">
        <v>33</v>
      </c>
      <c r="L82" s="27" t="str">
        <f>IF(K82="No","N/A")</f>
        <v>N/A</v>
      </c>
      <c r="M82" s="30" t="s">
        <v>33</v>
      </c>
      <c r="N82" s="27" t="str">
        <f>IF(M82="No","N/A",IF(G82="Springer Mountain","Emory Local&amp; raised w/o antibiotics)"))</f>
        <v>N/A</v>
      </c>
      <c r="O82" s="30">
        <f>226.8+128.6+37.7+84.56+68.56+114.55</f>
        <v>660.77</v>
      </c>
      <c r="P82" s="30">
        <v>1</v>
      </c>
      <c r="Q82" s="27">
        <f>O:O*P:P</f>
        <v>660.77</v>
      </c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 x14ac:dyDescent="0.45">
      <c r="A83" s="30" t="s">
        <v>339</v>
      </c>
      <c r="B83" s="30" t="s">
        <v>433</v>
      </c>
      <c r="C83" s="20">
        <v>42258</v>
      </c>
      <c r="D83" s="27" t="s">
        <v>420</v>
      </c>
      <c r="E83" s="30"/>
      <c r="F83" s="30" t="s">
        <v>3</v>
      </c>
      <c r="G83" s="30" t="s">
        <v>149</v>
      </c>
      <c r="H83" s="30" t="s">
        <v>45</v>
      </c>
      <c r="I83" s="27" t="s">
        <v>20</v>
      </c>
      <c r="J83" s="95" t="s">
        <v>20</v>
      </c>
      <c r="K83" s="27" t="s">
        <v>33</v>
      </c>
      <c r="L83" s="27" t="s">
        <v>19</v>
      </c>
      <c r="M83" s="30" t="s">
        <v>20</v>
      </c>
      <c r="N83" s="27" t="s">
        <v>414</v>
      </c>
      <c r="O83" s="30">
        <f>147.4+220.14</f>
        <v>367.53999999999996</v>
      </c>
      <c r="P83" s="30">
        <v>1</v>
      </c>
      <c r="Q83" s="27">
        <f>O:O*P:P</f>
        <v>367.53999999999996</v>
      </c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 x14ac:dyDescent="0.45">
      <c r="A84" s="30" t="s">
        <v>339</v>
      </c>
      <c r="B84" s="30" t="s">
        <v>435</v>
      </c>
      <c r="C84" s="20">
        <v>42259</v>
      </c>
      <c r="D84" s="27" t="s">
        <v>420</v>
      </c>
      <c r="E84" s="30"/>
      <c r="F84" s="30" t="s">
        <v>2</v>
      </c>
      <c r="G84" s="30" t="s">
        <v>149</v>
      </c>
      <c r="H84" s="30" t="s">
        <v>436</v>
      </c>
      <c r="I84" s="27" t="s">
        <v>20</v>
      </c>
      <c r="J84" s="95" t="s">
        <v>33</v>
      </c>
      <c r="K84" s="27" t="s">
        <v>33</v>
      </c>
      <c r="L84" s="27" t="str">
        <f>IF(K84="No","N/A")</f>
        <v>N/A</v>
      </c>
      <c r="M84" s="30" t="s">
        <v>33</v>
      </c>
      <c r="N84" s="27" t="str">
        <f>IF(M84="No","N/A",IF(G84="Springer Mountain","Emory Local&amp; raised w/o antibiotics)"))</f>
        <v>N/A</v>
      </c>
      <c r="O84" s="30">
        <f>66.24+136.08+231.48+97.9+56.55+169.12+137.12+229.1+69.93+29.98</f>
        <v>1223.5</v>
      </c>
      <c r="P84" s="30">
        <v>1</v>
      </c>
      <c r="Q84" s="27">
        <f>O:O*P:P</f>
        <v>1223.5</v>
      </c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 x14ac:dyDescent="0.45">
      <c r="A85" s="35" t="s">
        <v>339</v>
      </c>
      <c r="B85" s="35" t="s">
        <v>435</v>
      </c>
      <c r="C85" s="23">
        <v>42259</v>
      </c>
      <c r="D85" s="32" t="s">
        <v>420</v>
      </c>
      <c r="E85" s="35"/>
      <c r="F85" s="35" t="s">
        <v>3</v>
      </c>
      <c r="G85" s="35" t="s">
        <v>149</v>
      </c>
      <c r="H85" s="35" t="s">
        <v>437</v>
      </c>
      <c r="I85" s="32" t="s">
        <v>20</v>
      </c>
      <c r="J85" s="95" t="s">
        <v>20</v>
      </c>
      <c r="K85" s="32" t="s">
        <v>33</v>
      </c>
      <c r="L85" s="32" t="s">
        <v>19</v>
      </c>
      <c r="M85" s="30" t="s">
        <v>20</v>
      </c>
      <c r="N85" s="27" t="s">
        <v>414</v>
      </c>
      <c r="O85" s="30">
        <f>73.7+366.9</f>
        <v>440.59999999999997</v>
      </c>
      <c r="P85" s="30">
        <v>1</v>
      </c>
      <c r="Q85" s="27">
        <f>O:O*P:P</f>
        <v>440.59999999999997</v>
      </c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customHeight="1" x14ac:dyDescent="0.45">
      <c r="A86" s="167" t="s">
        <v>152</v>
      </c>
      <c r="B86" s="168">
        <v>23496</v>
      </c>
      <c r="C86" s="170">
        <v>42262</v>
      </c>
      <c r="D86" s="167" t="s">
        <v>420</v>
      </c>
      <c r="E86" s="167" t="s">
        <v>302</v>
      </c>
      <c r="F86" s="167" t="s">
        <v>4</v>
      </c>
      <c r="G86" s="167" t="s">
        <v>152</v>
      </c>
      <c r="H86" s="167" t="s">
        <v>438</v>
      </c>
      <c r="I86" s="167" t="s">
        <v>471</v>
      </c>
      <c r="J86" s="120" t="s">
        <v>33</v>
      </c>
      <c r="K86" s="167" t="s">
        <v>20</v>
      </c>
      <c r="L86" s="167" t="s">
        <v>63</v>
      </c>
      <c r="M86" s="117" t="s">
        <v>471</v>
      </c>
      <c r="N86" s="27" t="s">
        <v>439</v>
      </c>
      <c r="O86" s="30">
        <f>871.25</f>
        <v>871.25</v>
      </c>
      <c r="P86" s="30">
        <v>1</v>
      </c>
      <c r="Q86" s="27">
        <f>O:O*P:P</f>
        <v>871.25</v>
      </c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customHeight="1" x14ac:dyDescent="0.45">
      <c r="A87" s="167" t="s">
        <v>27</v>
      </c>
      <c r="B87" s="168">
        <v>7998635</v>
      </c>
      <c r="C87" s="170">
        <v>42263</v>
      </c>
      <c r="D87" s="167" t="s">
        <v>420</v>
      </c>
      <c r="E87" s="167" t="s">
        <v>302</v>
      </c>
      <c r="F87" s="167" t="s">
        <v>54</v>
      </c>
      <c r="G87" s="167" t="s">
        <v>97</v>
      </c>
      <c r="H87" s="167" t="s">
        <v>493</v>
      </c>
      <c r="I87" s="167" t="s">
        <v>33</v>
      </c>
      <c r="J87" s="120" t="s">
        <v>33</v>
      </c>
      <c r="K87" s="167" t="s">
        <v>20</v>
      </c>
      <c r="L87" s="167" t="s">
        <v>422</v>
      </c>
      <c r="M87" s="117" t="s">
        <v>33</v>
      </c>
      <c r="N87" s="27" t="str">
        <f t="shared" ref="N87" si="4">IF(M87="No","N/A",IF(G87="Springer Mountain","Emory Local&amp; raised w/o antibiotics)"))</f>
        <v>N/A</v>
      </c>
      <c r="O87" s="30">
        <v>296.61</v>
      </c>
      <c r="P87" s="30">
        <v>1</v>
      </c>
      <c r="Q87" s="27">
        <f>O:O*P:P</f>
        <v>296.61</v>
      </c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 x14ac:dyDescent="0.45">
      <c r="A88" s="167" t="s">
        <v>66</v>
      </c>
      <c r="B88" s="168">
        <v>795066</v>
      </c>
      <c r="C88" s="170">
        <v>42261</v>
      </c>
      <c r="D88" s="167" t="s">
        <v>420</v>
      </c>
      <c r="E88" s="167" t="s">
        <v>302</v>
      </c>
      <c r="F88" s="167" t="s">
        <v>1</v>
      </c>
      <c r="G88" s="167" t="s">
        <v>23</v>
      </c>
      <c r="H88" s="167" t="s">
        <v>399</v>
      </c>
      <c r="I88" s="167" t="str">
        <f>IF(G88="Mayfield","Yes",IF(G88="Royal Local","Yes",IF(G88="Sysco","No",IF(G88="H&amp;F Bread","Yes",IF(G88="Springer Mountain","Yes",IF(G88="white oak Pastures","Yes",IF(G88="Southern Swiss", "Yes")))))))</f>
        <v>Yes</v>
      </c>
      <c r="J88" s="121" t="str">
        <f>IF(G88="Mayfield","No",IF(G88="Royal Local","No",IF(G88="H&amp;F Bread","No",IF(G88="Springer Mountain","No",IF(G88="white oak pastures","Yes",IF(G88="Southern Swiss","Yes"))))))</f>
        <v>Yes</v>
      </c>
      <c r="K88" s="167" t="str">
        <f>IF(G88="Mayfield","Yes", IF(G88="Royal Local","No",IF(G88="H&amp;F Bread", "No",IF(G88="Springer Mountain","Yes",IF(G88="white oak pastures","Yes",IF(G88="Southern Swiss", "Yes"))))))</f>
        <v>Yes</v>
      </c>
      <c r="L88" s="167" t="s">
        <v>491</v>
      </c>
      <c r="M88" s="117" t="s">
        <v>20</v>
      </c>
      <c r="N88" s="27" t="s">
        <v>440</v>
      </c>
      <c r="O88" s="30">
        <v>2608.1999999999998</v>
      </c>
      <c r="P88" s="30">
        <v>1</v>
      </c>
      <c r="Q88" s="27">
        <f>O:O*P:P</f>
        <v>2608.1999999999998</v>
      </c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45">
      <c r="A89" s="30" t="s">
        <v>380</v>
      </c>
      <c r="B89" s="30"/>
      <c r="C89" s="20">
        <v>42263</v>
      </c>
      <c r="D89" s="27" t="s">
        <v>420</v>
      </c>
      <c r="E89" s="30"/>
      <c r="F89" s="30" t="s">
        <v>2</v>
      </c>
      <c r="G89" s="30" t="s">
        <v>441</v>
      </c>
      <c r="H89" s="30"/>
      <c r="I89" s="27" t="s">
        <v>20</v>
      </c>
      <c r="J89" s="99" t="s">
        <v>33</v>
      </c>
      <c r="K89" s="27" t="s">
        <v>33</v>
      </c>
      <c r="L89" s="27" t="str">
        <f>IF(K89="No","N/A")</f>
        <v>N/A</v>
      </c>
      <c r="M89" s="30" t="s">
        <v>33</v>
      </c>
      <c r="N89" s="27" t="str">
        <f>IF(M89="No","N/A",IF(G89="Springer Mountain","Emory Local&amp; raised w/o antibiotics)"))</f>
        <v>N/A</v>
      </c>
      <c r="O89" s="30">
        <v>5262</v>
      </c>
      <c r="P89" s="30">
        <v>1</v>
      </c>
      <c r="Q89" s="32">
        <f>O:O*P:P</f>
        <v>5262</v>
      </c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45">
      <c r="A90" s="30" t="s">
        <v>383</v>
      </c>
      <c r="B90" s="30">
        <v>1002714</v>
      </c>
      <c r="C90" s="20">
        <v>42258</v>
      </c>
      <c r="D90" s="32" t="s">
        <v>420</v>
      </c>
      <c r="E90" s="30"/>
      <c r="F90" s="30" t="s">
        <v>1</v>
      </c>
      <c r="G90" s="30" t="s">
        <v>383</v>
      </c>
      <c r="H90" s="30"/>
      <c r="I90" s="27" t="s">
        <v>20</v>
      </c>
      <c r="J90" s="99" t="s">
        <v>33</v>
      </c>
      <c r="K90" s="27" t="s">
        <v>20</v>
      </c>
      <c r="L90" s="27" t="s">
        <v>25</v>
      </c>
      <c r="M90" s="30" t="s">
        <v>20</v>
      </c>
      <c r="N90" s="27" t="s">
        <v>122</v>
      </c>
      <c r="O90" s="30">
        <v>2994.55</v>
      </c>
      <c r="P90" s="30">
        <v>1</v>
      </c>
      <c r="Q90" s="32">
        <f>O:O*P:P</f>
        <v>2994.55</v>
      </c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45">
      <c r="A91" s="27" t="s">
        <v>442</v>
      </c>
      <c r="B91" s="27">
        <v>614302558</v>
      </c>
      <c r="C91" s="33">
        <v>42258</v>
      </c>
      <c r="D91" s="27" t="s">
        <v>420</v>
      </c>
      <c r="E91" s="27"/>
      <c r="F91" s="27" t="s">
        <v>3</v>
      </c>
      <c r="G91" s="27" t="s">
        <v>15</v>
      </c>
      <c r="H91" s="27"/>
      <c r="I91" s="27" t="str">
        <f>IF(G91="Mayfield","Yes",IF(G91="Royal Local","Yes",IF(G91="Sysco","No",IF(G91="H&amp;F Bread","Yes",IF(G91="Springer Mountain","Yes",IF(G91="white oak Pastures","Yes",IF(G91="Southern Swiss", "Yes")))))))</f>
        <v>Yes</v>
      </c>
      <c r="J91" s="100" t="str">
        <f>IF(G91="Mayfield","No",IF(G91="Royal Local","No",IF(G91="H&amp;F Bread","No",IF(G91="Springer Mountain","No",IF(G91="white oak pastures","Yes",IF(G91="Southern Swiss","Yes"))))))</f>
        <v>No</v>
      </c>
      <c r="K91" s="27" t="s">
        <v>33</v>
      </c>
      <c r="L91" s="27" t="s">
        <v>19</v>
      </c>
      <c r="M91" s="27" t="s">
        <v>20</v>
      </c>
      <c r="N91" s="27" t="s">
        <v>21</v>
      </c>
      <c r="O91" s="27">
        <v>1176.3</v>
      </c>
      <c r="P91" s="27">
        <v>1</v>
      </c>
      <c r="Q91" s="27">
        <f>O:O*P:P</f>
        <v>1176.3</v>
      </c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45">
      <c r="A92" s="27" t="s">
        <v>442</v>
      </c>
      <c r="B92" s="30">
        <v>614302637</v>
      </c>
      <c r="C92" s="20">
        <v>42261</v>
      </c>
      <c r="D92" s="27" t="s">
        <v>420</v>
      </c>
      <c r="E92" s="30"/>
      <c r="F92" s="30" t="s">
        <v>3</v>
      </c>
      <c r="G92" s="30" t="s">
        <v>15</v>
      </c>
      <c r="H92" s="30"/>
      <c r="I92" s="27" t="str">
        <f>IF(G92="Mayfield","Yes",IF(G92="Royal Local","Yes",IF(G92="Sysco","No",IF(G92="H&amp;F Bread","Yes",IF(G92="Springer Mountain","Yes",IF(G92="white oak Pastures","Yes",IF(G92="Southern Swiss", "Yes")))))))</f>
        <v>Yes</v>
      </c>
      <c r="J92" s="96" t="str">
        <f>IF(G92="Mayfield","No",IF(G92="Royal Local","No",IF(G92="H&amp;F Bread","No",IF(G92="Springer Mountain","No",IF(G92="white oak pastures","Yes",IF(G92="Southern Swiss","Yes"))))))</f>
        <v>No</v>
      </c>
      <c r="K92" s="27" t="s">
        <v>33</v>
      </c>
      <c r="L92" s="27" t="s">
        <v>19</v>
      </c>
      <c r="M92" s="30" t="s">
        <v>20</v>
      </c>
      <c r="N92" s="27" t="s">
        <v>21</v>
      </c>
      <c r="O92" s="30">
        <v>303.62</v>
      </c>
      <c r="P92" s="30">
        <v>1</v>
      </c>
      <c r="Q92" s="27">
        <f>O:O*P:P</f>
        <v>303.62</v>
      </c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45">
      <c r="A93" s="27" t="s">
        <v>442</v>
      </c>
      <c r="B93" s="30">
        <v>614301657</v>
      </c>
      <c r="C93" s="20">
        <v>42262</v>
      </c>
      <c r="D93" s="27" t="s">
        <v>420</v>
      </c>
      <c r="E93" s="30"/>
      <c r="F93" s="30" t="s">
        <v>3</v>
      </c>
      <c r="G93" s="30" t="s">
        <v>15</v>
      </c>
      <c r="H93" s="30"/>
      <c r="I93" s="27" t="str">
        <f>IF(G93="Mayfield","Yes",IF(G93="Royal Local","Yes",IF(G93="Sysco","No",IF(G93="H&amp;F Bread","Yes",IF(G93="Springer Mountain","Yes",IF(G93="white oak Pastures","Yes",IF(G93="Southern Swiss", "Yes")))))))</f>
        <v>Yes</v>
      </c>
      <c r="J93" s="96" t="str">
        <f>IF(G93="Mayfield","No",IF(G93="Royal Local","No",IF(G93="H&amp;F Bread","No",IF(G93="Springer Mountain","No",IF(G93="white oak pastures","Yes",IF(G93="Southern Swiss","Yes"))))))</f>
        <v>No</v>
      </c>
      <c r="K93" s="27" t="s">
        <v>33</v>
      </c>
      <c r="L93" s="27" t="s">
        <v>19</v>
      </c>
      <c r="M93" s="30" t="s">
        <v>20</v>
      </c>
      <c r="N93" s="27" t="s">
        <v>21</v>
      </c>
      <c r="O93" s="30">
        <v>466.09</v>
      </c>
      <c r="P93" s="30">
        <v>1</v>
      </c>
      <c r="Q93" s="27">
        <f>O:O*P:P</f>
        <v>466.09</v>
      </c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45">
      <c r="A94" s="32" t="s">
        <v>442</v>
      </c>
      <c r="B94" s="35">
        <v>614302704</v>
      </c>
      <c r="C94" s="23">
        <v>42263</v>
      </c>
      <c r="D94" s="32" t="s">
        <v>420</v>
      </c>
      <c r="E94" s="35"/>
      <c r="F94" s="35" t="s">
        <v>3</v>
      </c>
      <c r="G94" s="35" t="s">
        <v>15</v>
      </c>
      <c r="H94" s="35"/>
      <c r="I94" s="32" t="str">
        <f>IF(G94="Mayfield","Yes",IF(G94="Royal Local","Yes",IF(G94="Sysco","No",IF(G94="H&amp;F Bread","Yes",IF(G94="Springer Mountain","Yes",IF(G94="white oak Pastures","Yes",IF(G94="Southern Swiss", "Yes")))))))</f>
        <v>Yes</v>
      </c>
      <c r="J94" s="96" t="str">
        <f>IF(G94="Mayfield","No",IF(G94="Royal Local","No",IF(G94="H&amp;F Bread","No",IF(G94="Springer Mountain","No",IF(G94="white oak pastures","Yes",IF(G94="Southern Swiss","Yes"))))))</f>
        <v>No</v>
      </c>
      <c r="K94" s="32" t="s">
        <v>33</v>
      </c>
      <c r="L94" s="32" t="s">
        <v>19</v>
      </c>
      <c r="M94" s="30" t="s">
        <v>20</v>
      </c>
      <c r="N94" s="27" t="s">
        <v>21</v>
      </c>
      <c r="O94" s="30">
        <v>1051.82</v>
      </c>
      <c r="P94" s="30">
        <v>1</v>
      </c>
      <c r="Q94" s="27">
        <f>O:O*P:P</f>
        <v>1051.82</v>
      </c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45">
      <c r="A95" s="167" t="s">
        <v>443</v>
      </c>
      <c r="B95" s="168"/>
      <c r="C95" s="170">
        <v>42262</v>
      </c>
      <c r="D95" s="167" t="s">
        <v>420</v>
      </c>
      <c r="E95" s="167" t="s">
        <v>302</v>
      </c>
      <c r="F95" s="167" t="s">
        <v>2</v>
      </c>
      <c r="G95" s="167" t="s">
        <v>444</v>
      </c>
      <c r="H95" s="167" t="s">
        <v>289</v>
      </c>
      <c r="I95" s="167" t="s">
        <v>20</v>
      </c>
      <c r="J95" s="120" t="s">
        <v>20</v>
      </c>
      <c r="K95" s="167" t="s">
        <v>20</v>
      </c>
      <c r="L95" s="167" t="s">
        <v>332</v>
      </c>
      <c r="M95" s="117" t="s">
        <v>20</v>
      </c>
      <c r="N95" s="27" t="s">
        <v>445</v>
      </c>
      <c r="O95" s="30">
        <v>155</v>
      </c>
      <c r="P95" s="30">
        <v>1</v>
      </c>
      <c r="Q95" s="27">
        <f>O:O*P:P</f>
        <v>155</v>
      </c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45">
      <c r="A96" s="167" t="s">
        <v>311</v>
      </c>
      <c r="B96" s="168"/>
      <c r="C96" s="170">
        <v>42263</v>
      </c>
      <c r="D96" s="167" t="s">
        <v>420</v>
      </c>
      <c r="E96" s="167" t="s">
        <v>302</v>
      </c>
      <c r="F96" s="167" t="s">
        <v>70</v>
      </c>
      <c r="G96" s="167" t="s">
        <v>446</v>
      </c>
      <c r="H96" s="167" t="s">
        <v>497</v>
      </c>
      <c r="I96" s="167" t="s">
        <v>20</v>
      </c>
      <c r="J96" s="120" t="s">
        <v>20</v>
      </c>
      <c r="K96" s="167" t="s">
        <v>20</v>
      </c>
      <c r="L96" s="167" t="s">
        <v>398</v>
      </c>
      <c r="M96" s="117" t="s">
        <v>33</v>
      </c>
      <c r="N96" s="27" t="str">
        <f>IF(M96="No","N/A",IF(G96="Springer Mountain","Emory Local&amp; raised w/o antibiotics)"))</f>
        <v>N/A</v>
      </c>
      <c r="O96" s="30">
        <v>660</v>
      </c>
      <c r="P96" s="30">
        <v>1</v>
      </c>
      <c r="Q96" s="27">
        <f>O:O*P:P</f>
        <v>660</v>
      </c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45">
      <c r="A97" s="167" t="s">
        <v>193</v>
      </c>
      <c r="B97" s="168"/>
      <c r="C97" s="170">
        <v>42262</v>
      </c>
      <c r="D97" s="167" t="s">
        <v>420</v>
      </c>
      <c r="E97" s="167" t="s">
        <v>302</v>
      </c>
      <c r="F97" s="167" t="s">
        <v>2</v>
      </c>
      <c r="G97" s="167" t="s">
        <v>447</v>
      </c>
      <c r="H97" s="167"/>
      <c r="I97" s="167" t="s">
        <v>20</v>
      </c>
      <c r="J97" s="124" t="s">
        <v>20</v>
      </c>
      <c r="K97" s="167" t="s">
        <v>33</v>
      </c>
      <c r="L97" s="167" t="str">
        <f>IF(K97="No","N/A")</f>
        <v>N/A</v>
      </c>
      <c r="M97" s="119" t="s">
        <v>33</v>
      </c>
      <c r="N97" s="32" t="str">
        <f>IF(M97="No","N/A",IF(G97="Springer Mountain","Emory Local&amp; raised w/o antibiotics)"))</f>
        <v>N/A</v>
      </c>
      <c r="O97" s="35">
        <f>1475.35+896.8+872</f>
        <v>3244.1499999999996</v>
      </c>
      <c r="P97" s="35">
        <v>1</v>
      </c>
      <c r="Q97" s="32">
        <f>O:O*P:P</f>
        <v>3244.1499999999996</v>
      </c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45">
      <c r="A98" s="167" t="s">
        <v>259</v>
      </c>
      <c r="B98" s="168">
        <v>97885095</v>
      </c>
      <c r="C98" s="170">
        <v>42270</v>
      </c>
      <c r="D98" s="167" t="s">
        <v>448</v>
      </c>
      <c r="E98" s="167" t="s">
        <v>302</v>
      </c>
      <c r="F98" s="167" t="s">
        <v>4</v>
      </c>
      <c r="G98" s="167" t="s">
        <v>449</v>
      </c>
      <c r="H98" s="167" t="s">
        <v>494</v>
      </c>
      <c r="I98" s="167" t="s">
        <v>33</v>
      </c>
      <c r="J98" s="122" t="s">
        <v>33</v>
      </c>
      <c r="K98" s="167" t="s">
        <v>20</v>
      </c>
      <c r="L98" s="167" t="s">
        <v>450</v>
      </c>
      <c r="M98" s="123" t="s">
        <v>33</v>
      </c>
      <c r="N98" s="27" t="str">
        <f>IF(M98="No","N/A",IF(G98="Springer Mountain","Emory Local&amp; raised w/o antibiotics)"))</f>
        <v>N/A</v>
      </c>
      <c r="O98" s="27">
        <f>80.32+40.16+60.24+80.32+40.16</f>
        <v>301.19999999999993</v>
      </c>
      <c r="P98" s="27">
        <v>1</v>
      </c>
      <c r="Q98" s="27">
        <f>O:O*P:P</f>
        <v>301.19999999999993</v>
      </c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45">
      <c r="A99" s="32" t="s">
        <v>28</v>
      </c>
      <c r="B99" s="32" t="s">
        <v>451</v>
      </c>
      <c r="C99" s="108">
        <v>42265</v>
      </c>
      <c r="D99" s="32" t="s">
        <v>448</v>
      </c>
      <c r="E99" s="32"/>
      <c r="F99" s="32" t="s">
        <v>2</v>
      </c>
      <c r="G99" s="32" t="s">
        <v>30</v>
      </c>
      <c r="H99" s="32" t="s">
        <v>452</v>
      </c>
      <c r="I99" s="32" t="str">
        <f>IF(G99="Mayfield","Yes",IF(G99="Royal Local","Yes",IF(G99="Sysco","No",IF(G99="H&amp;F Bread","Yes",IF(G99="Springer Mountain","Yes",IF(G99="white oak Pastures","Yes",IF(G99="Southern Swiss", "Yes")))))))</f>
        <v>Yes</v>
      </c>
      <c r="J99" s="96" t="str">
        <f>IF(G99="Mayfield","No",IF(G99="Royal Local","No",IF(G99="H&amp;F Bread","No",IF(G99="Springer Mountain","No",IF(G99="white oak pastures","Yes",IF(G99="Southern Swiss","Yes"))))))</f>
        <v>No</v>
      </c>
      <c r="K99" s="32" t="str">
        <f>IF(G99="Mayfield","Yes", IF(G99="Royal Local","No",IF(G99="H&amp;F Bread", "No",IF(G99="Springer Mountain","Yes",IF(G99="white oak pastures","Yes",IF(G99="Southern Swiss", "Yes"))))))</f>
        <v>No</v>
      </c>
      <c r="L99" s="32" t="str">
        <f t="shared" ref="L99:L108" si="5">IF(K99="No","N/A")</f>
        <v>N/A</v>
      </c>
      <c r="M99" s="30" t="s">
        <v>33</v>
      </c>
      <c r="N99" s="27" t="str">
        <f>IF(M99="No","N/A",IF(G99="Springer Mountain","Emory Local&amp; raised w/o antibiotics)"))</f>
        <v>N/A</v>
      </c>
      <c r="O99" s="30">
        <f>154.32+18.85+29.28</f>
        <v>202.45</v>
      </c>
      <c r="P99" s="30">
        <v>1</v>
      </c>
      <c r="Q99" s="27">
        <f>O:O*P:P</f>
        <v>202.45</v>
      </c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45">
      <c r="A100" s="167" t="s">
        <v>28</v>
      </c>
      <c r="B100" s="168" t="s">
        <v>451</v>
      </c>
      <c r="C100" s="170">
        <v>42265</v>
      </c>
      <c r="D100" s="167" t="s">
        <v>448</v>
      </c>
      <c r="E100" s="167" t="s">
        <v>302</v>
      </c>
      <c r="F100" s="167" t="s">
        <v>3</v>
      </c>
      <c r="G100" s="167" t="s">
        <v>34</v>
      </c>
      <c r="H100" s="167" t="s">
        <v>453</v>
      </c>
      <c r="I100" s="167" t="s">
        <v>20</v>
      </c>
      <c r="J100" s="120" t="s">
        <v>20</v>
      </c>
      <c r="K100" s="167" t="s">
        <v>33</v>
      </c>
      <c r="L100" s="167" t="str">
        <f t="shared" si="5"/>
        <v>N/A</v>
      </c>
      <c r="M100" s="117" t="s">
        <v>20</v>
      </c>
      <c r="N100" s="27" t="s">
        <v>454</v>
      </c>
      <c r="O100" s="30">
        <v>220.14</v>
      </c>
      <c r="P100" s="30">
        <v>1</v>
      </c>
      <c r="Q100" s="27">
        <f>O:O*P:P</f>
        <v>220.14</v>
      </c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45">
      <c r="A101" s="27" t="s">
        <v>28</v>
      </c>
      <c r="B101" s="27" t="s">
        <v>455</v>
      </c>
      <c r="C101" s="33">
        <v>42266</v>
      </c>
      <c r="D101" s="27" t="s">
        <v>448</v>
      </c>
      <c r="E101" s="27"/>
      <c r="F101" s="27" t="s">
        <v>2</v>
      </c>
      <c r="G101" s="27" t="s">
        <v>30</v>
      </c>
      <c r="H101" s="27" t="s">
        <v>456</v>
      </c>
      <c r="I101" s="27" t="str">
        <f>IF(G101="Mayfield","Yes",IF(G101="Royal Local","Yes",IF(G101="Sysco","No",IF(G101="H&amp;F Bread","Yes",IF(G101="Springer Mountain","Yes",IF(G101="white oak Pastures","Yes",IF(G101="Southern Swiss", "Yes")))))))</f>
        <v>Yes</v>
      </c>
      <c r="J101" s="96" t="str">
        <f>IF(G101="Mayfield","No",IF(G101="Royal Local","No",IF(G101="H&amp;F Bread","No",IF(G101="Springer Mountain","No",IF(G101="white oak pastures","Yes",IF(G101="Southern Swiss","Yes"))))))</f>
        <v>No</v>
      </c>
      <c r="K101" s="27" t="str">
        <f>IF(G101="Mayfield","Yes", IF(G101="Royal Local","No",IF(G101="H&amp;F Bread", "No",IF(G101="Springer Mountain","Yes",IF(G101="white oak pastures","Yes",IF(G101="Southern Swiss", "Yes"))))))</f>
        <v>No</v>
      </c>
      <c r="L101" s="27" t="str">
        <f t="shared" si="5"/>
        <v>N/A</v>
      </c>
      <c r="M101" s="30" t="s">
        <v>33</v>
      </c>
      <c r="N101" s="27" t="str">
        <f>IF(M101="No","N/A",IF(G101="Springer Mountain","Emory Local&amp; raised w/o antibiotics)"))</f>
        <v>N/A</v>
      </c>
      <c r="O101" s="30">
        <f>32.85+12.86+55.22</f>
        <v>100.93</v>
      </c>
      <c r="P101" s="30">
        <v>1</v>
      </c>
      <c r="Q101" s="27">
        <f>O:O*P:P</f>
        <v>100.93</v>
      </c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45">
      <c r="A102" s="30" t="s">
        <v>28</v>
      </c>
      <c r="B102" s="30" t="s">
        <v>457</v>
      </c>
      <c r="C102" s="20">
        <v>42266</v>
      </c>
      <c r="D102" s="27" t="s">
        <v>448</v>
      </c>
      <c r="E102" s="30"/>
      <c r="F102" s="30" t="s">
        <v>2</v>
      </c>
      <c r="G102" s="30" t="s">
        <v>30</v>
      </c>
      <c r="H102" s="30" t="s">
        <v>458</v>
      </c>
      <c r="I102" s="27" t="str">
        <f>IF(G102="Mayfield","Yes",IF(G102="Royal Local","Yes",IF(G102="Sysco","No",IF(G102="H&amp;F Bread","Yes",IF(G102="Springer Mountain","Yes",IF(G102="white oak Pastures","Yes",IF(G102="Southern Swiss", "Yes")))))))</f>
        <v>Yes</v>
      </c>
      <c r="J102" s="96" t="str">
        <f>IF(G102="Mayfield","No",IF(G102="Royal Local","No",IF(G102="H&amp;F Bread","No",IF(G102="Springer Mountain","No",IF(G102="white oak pastures","Yes",IF(G102="Southern Swiss","Yes"))))))</f>
        <v>No</v>
      </c>
      <c r="K102" s="27" t="str">
        <f>IF(G102="Mayfield","Yes", IF(G102="Royal Local","No",IF(G102="H&amp;F Bread", "No",IF(G102="Springer Mountain","Yes",IF(G102="white oak pastures","Yes",IF(G102="Southern Swiss", "Yes"))))))</f>
        <v>No</v>
      </c>
      <c r="L102" s="27" t="str">
        <f t="shared" si="5"/>
        <v>N/A</v>
      </c>
      <c r="M102" s="30" t="s">
        <v>33</v>
      </c>
      <c r="N102" s="27" t="str">
        <f>IF(M102="No","N/A",IF(G102="Springer Mountain","Emory Local&amp; raised w/o antibiotics)"))</f>
        <v>N/A</v>
      </c>
      <c r="O102" s="30">
        <f>181.44+192.2+58.56+87.84</f>
        <v>520.04</v>
      </c>
      <c r="P102" s="30">
        <v>1</v>
      </c>
      <c r="Q102" s="27">
        <f>O:O*P:P</f>
        <v>520.04</v>
      </c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s="38" customFormat="1" ht="12.75" customHeight="1" x14ac:dyDescent="0.45">
      <c r="A103" s="35" t="s">
        <v>28</v>
      </c>
      <c r="B103" s="35" t="s">
        <v>459</v>
      </c>
      <c r="C103" s="23">
        <v>42268</v>
      </c>
      <c r="D103" s="35" t="s">
        <v>448</v>
      </c>
      <c r="E103" s="35"/>
      <c r="F103" s="35" t="s">
        <v>2</v>
      </c>
      <c r="G103" s="35" t="s">
        <v>30</v>
      </c>
      <c r="H103" s="35" t="s">
        <v>460</v>
      </c>
      <c r="I103" s="32" t="str">
        <f>IF(G103="Mayfield","Yes",IF(G103="Royal Local","Yes",IF(G103="Sysco","No",IF(G103="H&amp;F Bread","Yes",IF(G103="Springer Mountain","Yes",IF(G103="white oak Pastures","Yes",IF(G103="Southern Swiss", "Yes")))))))</f>
        <v>Yes</v>
      </c>
      <c r="J103" s="96" t="str">
        <f>IF(G103="Mayfield","No",IF(G103="Royal Local","No",IF(G103="H&amp;F Bread","No",IF(G103="Springer Mountain","No",IF(G103="white oak pastures","Yes",IF(G103="Southern Swiss","Yes"))))))</f>
        <v>No</v>
      </c>
      <c r="K103" s="32" t="str">
        <f>IF(G103="Mayfield","Yes", IF(G103="Royal Local","No",IF(G103="H&amp;F Bread", "No",IF(G103="Springer Mountain","Yes",IF(G103="white oak pastures","Yes",IF(G103="Southern Swiss", "Yes"))))))</f>
        <v>No</v>
      </c>
      <c r="L103" s="32" t="str">
        <f t="shared" si="5"/>
        <v>N/A</v>
      </c>
      <c r="M103" s="30" t="s">
        <v>33</v>
      </c>
      <c r="N103" s="27" t="str">
        <f>IF(M103="No","N/A",IF(G103="Springer Mountain","Emory Local&amp; raised w/o antibiotics)"))</f>
        <v>N/A</v>
      </c>
      <c r="O103" s="30">
        <f>65.24+65.24+98.55+65.24+226.8+154.32+352.2+14.99</f>
        <v>1042.58</v>
      </c>
      <c r="P103" s="30">
        <v>1</v>
      </c>
      <c r="Q103" s="27">
        <f>O:O*P:P</f>
        <v>1042.58</v>
      </c>
      <c r="R103" s="47"/>
      <c r="S103" s="37"/>
      <c r="T103" s="37"/>
      <c r="U103" s="37"/>
      <c r="V103" s="37"/>
      <c r="W103" s="37"/>
      <c r="X103" s="37"/>
      <c r="Y103" s="37"/>
      <c r="Z103" s="37"/>
      <c r="AA103" s="37"/>
    </row>
    <row r="104" spans="1:27" s="38" customFormat="1" ht="12.75" customHeight="1" x14ac:dyDescent="0.45">
      <c r="A104" s="167" t="s">
        <v>28</v>
      </c>
      <c r="B104" s="168" t="s">
        <v>459</v>
      </c>
      <c r="C104" s="170">
        <v>42268</v>
      </c>
      <c r="D104" s="167" t="s">
        <v>448</v>
      </c>
      <c r="E104" s="167" t="s">
        <v>302</v>
      </c>
      <c r="F104" s="167" t="s">
        <v>3</v>
      </c>
      <c r="G104" s="167" t="s">
        <v>34</v>
      </c>
      <c r="H104" s="167" t="s">
        <v>461</v>
      </c>
      <c r="I104" s="167" t="s">
        <v>20</v>
      </c>
      <c r="J104" s="120" t="s">
        <v>20</v>
      </c>
      <c r="K104" s="167" t="s">
        <v>33</v>
      </c>
      <c r="L104" s="167" t="str">
        <f t="shared" si="5"/>
        <v>N/A</v>
      </c>
      <c r="M104" s="117" t="s">
        <v>20</v>
      </c>
      <c r="N104" s="27" t="s">
        <v>454</v>
      </c>
      <c r="O104" s="30">
        <f>110.55+293.52</f>
        <v>404.07</v>
      </c>
      <c r="P104" s="30">
        <v>1</v>
      </c>
      <c r="Q104" s="27">
        <f>O:O*P:P</f>
        <v>404.07</v>
      </c>
      <c r="R104" s="47"/>
      <c r="S104" s="37"/>
      <c r="T104" s="37"/>
      <c r="U104" s="37"/>
      <c r="V104" s="37"/>
      <c r="W104" s="37"/>
      <c r="X104" s="37"/>
      <c r="Y104" s="37"/>
      <c r="Z104" s="37"/>
      <c r="AA104" s="37"/>
    </row>
    <row r="105" spans="1:27" ht="12.75" customHeight="1" x14ac:dyDescent="0.45">
      <c r="A105" s="27" t="s">
        <v>28</v>
      </c>
      <c r="B105" s="27" t="s">
        <v>462</v>
      </c>
      <c r="C105" s="33">
        <v>42269</v>
      </c>
      <c r="D105" s="27" t="s">
        <v>448</v>
      </c>
      <c r="E105" s="27"/>
      <c r="F105" s="27" t="s">
        <v>2</v>
      </c>
      <c r="G105" s="27" t="s">
        <v>30</v>
      </c>
      <c r="H105" s="27" t="s">
        <v>463</v>
      </c>
      <c r="I105" s="27" t="str">
        <f>IF(G105="Mayfield","Yes",IF(G105="Royal Local","Yes",IF(G105="Sysco","No",IF(G105="H&amp;F Bread","Yes",IF(G105="Springer Mountain","Yes",IF(G105="white oak Pastures","Yes",IF(G105="Southern Swiss", "Yes")))))))</f>
        <v>Yes</v>
      </c>
      <c r="J105" s="96" t="str">
        <f>IF(G105="Mayfield","No",IF(G105="Royal Local","No",IF(G105="H&amp;F Bread","No",IF(G105="Springer Mountain","No",IF(G105="white oak pastures","Yes",IF(G105="Southern Swiss","Yes"))))))</f>
        <v>No</v>
      </c>
      <c r="K105" s="27" t="str">
        <f>IF(G105="Mayfield","Yes", IF(G105="Royal Local","No",IF(G105="H&amp;F Bread", "No",IF(G105="Springer Mountain","Yes",IF(G105="white oak pastures","Yes",IF(G105="Southern Swiss", "Yes"))))))</f>
        <v>No</v>
      </c>
      <c r="L105" s="27" t="str">
        <f t="shared" si="5"/>
        <v>N/A</v>
      </c>
      <c r="M105" s="30" t="s">
        <v>33</v>
      </c>
      <c r="N105" s="27" t="str">
        <f>IF(M105="No","N/A",IF(G105="Springer Mountain","Emory Local&amp; raised w/o antibiotics)"))</f>
        <v>N/A</v>
      </c>
      <c r="O105" s="30">
        <f>113.4+154.32+75.24+37.7</f>
        <v>380.66</v>
      </c>
      <c r="P105" s="30">
        <v>1</v>
      </c>
      <c r="Q105" s="27">
        <f>O:O*P:P</f>
        <v>380.66</v>
      </c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45">
      <c r="A106" s="30" t="s">
        <v>28</v>
      </c>
      <c r="B106" s="30" t="s">
        <v>464</v>
      </c>
      <c r="C106" s="20">
        <v>42270</v>
      </c>
      <c r="D106" s="27" t="s">
        <v>448</v>
      </c>
      <c r="E106" s="30"/>
      <c r="F106" s="30" t="s">
        <v>2</v>
      </c>
      <c r="G106" s="30" t="s">
        <v>30</v>
      </c>
      <c r="H106" s="30" t="s">
        <v>114</v>
      </c>
      <c r="I106" s="27" t="str">
        <f>IF(G106="Mayfield","Yes",IF(G106="Royal Local","Yes",IF(G106="Sysco","No",IF(G106="H&amp;F Bread","Yes",IF(G106="Springer Mountain","Yes",IF(G106="white oak Pastures","Yes",IF(G106="Southern Swiss", "Yes")))))))</f>
        <v>Yes</v>
      </c>
      <c r="J106" s="96" t="str">
        <f>IF(G106="Mayfield","No",IF(G106="Royal Local","No",IF(G106="H&amp;F Bread","No",IF(G106="Springer Mountain","No",IF(G106="white oak pastures","Yes",IF(G106="Southern Swiss","Yes"))))))</f>
        <v>No</v>
      </c>
      <c r="K106" s="27" t="str">
        <f>IF(G106="Mayfield","Yes", IF(G106="Royal Local","No",IF(G106="H&amp;F Bread", "No",IF(G106="Springer Mountain","Yes",IF(G106="white oak pastures","Yes",IF(G106="Southern Swiss", "Yes"))))))</f>
        <v>No</v>
      </c>
      <c r="L106" s="27" t="str">
        <f t="shared" si="5"/>
        <v>N/A</v>
      </c>
      <c r="M106" s="30" t="s">
        <v>33</v>
      </c>
      <c r="N106" s="27" t="str">
        <f>IF(M106="No","N/A",IF(G106="Springer Mountain","Emory Local&amp; raised w/o antibiotics)"))</f>
        <v>N/A</v>
      </c>
      <c r="O106" s="30">
        <f>90.72+154.32</f>
        <v>245.04</v>
      </c>
      <c r="P106" s="30">
        <v>1</v>
      </c>
      <c r="Q106" s="27">
        <f>O:O*P:P</f>
        <v>245.04</v>
      </c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45">
      <c r="A107" s="35" t="s">
        <v>28</v>
      </c>
      <c r="B107" s="35" t="s">
        <v>465</v>
      </c>
      <c r="C107" s="23">
        <v>42264</v>
      </c>
      <c r="D107" s="35" t="s">
        <v>448</v>
      </c>
      <c r="E107" s="35"/>
      <c r="F107" s="35" t="s">
        <v>2</v>
      </c>
      <c r="G107" s="35" t="s">
        <v>30</v>
      </c>
      <c r="H107" s="35" t="s">
        <v>466</v>
      </c>
      <c r="I107" s="32" t="str">
        <f>IF(G107="Mayfield","Yes",IF(G107="Royal Local","Yes",IF(G107="Sysco","No",IF(G107="H&amp;F Bread","Yes",IF(G107="Springer Mountain","Yes",IF(G107="white oak Pastures","Yes",IF(G107="Southern Swiss", "Yes")))))))</f>
        <v>Yes</v>
      </c>
      <c r="J107" s="96" t="str">
        <f>IF(G107="Mayfield","No",IF(G107="Royal Local","No",IF(G107="H&amp;F Bread","No",IF(G107="Springer Mountain","No",IF(G107="white oak pastures","Yes",IF(G107="Southern Swiss","Yes"))))))</f>
        <v>No</v>
      </c>
      <c r="K107" s="32" t="str">
        <f>IF(G107="Mayfield","Yes", IF(G107="Royal Local","No",IF(G107="H&amp;F Bread", "No",IF(G107="Springer Mountain","Yes",IF(G107="white oak pastures","Yes",IF(G107="Southern Swiss", "Yes"))))))</f>
        <v>No</v>
      </c>
      <c r="L107" s="32" t="str">
        <f t="shared" si="5"/>
        <v>N/A</v>
      </c>
      <c r="M107" s="30" t="s">
        <v>33</v>
      </c>
      <c r="N107" s="27" t="str">
        <f>IF(M107="No","N/A",IF(G107="Springer Mountain","Emory Local&amp; raised w/o antibiotics)"))</f>
        <v>N/A</v>
      </c>
      <c r="O107" s="30">
        <f>97.86+97.86+91.86+567+192.9+144.25+37.7+82.2</f>
        <v>1311.63</v>
      </c>
      <c r="P107" s="30">
        <v>1</v>
      </c>
      <c r="Q107" s="27">
        <f>O:O*P:P</f>
        <v>1311.63</v>
      </c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45">
      <c r="A108" s="167" t="s">
        <v>28</v>
      </c>
      <c r="B108" s="168" t="s">
        <v>465</v>
      </c>
      <c r="C108" s="170">
        <v>42264</v>
      </c>
      <c r="D108" s="167" t="s">
        <v>448</v>
      </c>
      <c r="E108" s="167" t="s">
        <v>302</v>
      </c>
      <c r="F108" s="167" t="s">
        <v>3</v>
      </c>
      <c r="G108" s="167" t="s">
        <v>34</v>
      </c>
      <c r="H108" s="167" t="s">
        <v>467</v>
      </c>
      <c r="I108" s="167" t="s">
        <v>20</v>
      </c>
      <c r="J108" s="120" t="s">
        <v>20</v>
      </c>
      <c r="K108" s="167" t="s">
        <v>33</v>
      </c>
      <c r="L108" s="167" t="str">
        <f t="shared" si="5"/>
        <v>N/A</v>
      </c>
      <c r="M108" s="117" t="s">
        <v>20</v>
      </c>
      <c r="N108" s="27" t="s">
        <v>454</v>
      </c>
      <c r="O108" s="30">
        <v>368.5</v>
      </c>
      <c r="P108" s="30">
        <v>1</v>
      </c>
      <c r="Q108" s="27">
        <f>O:O*P:P</f>
        <v>368.5</v>
      </c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45">
      <c r="A109" s="167" t="s">
        <v>28</v>
      </c>
      <c r="B109" s="168" t="s">
        <v>468</v>
      </c>
      <c r="C109" s="170">
        <v>42271</v>
      </c>
      <c r="D109" s="167" t="s">
        <v>448</v>
      </c>
      <c r="E109" s="167" t="s">
        <v>302</v>
      </c>
      <c r="F109" s="167" t="s">
        <v>3</v>
      </c>
      <c r="G109" s="167" t="s">
        <v>34</v>
      </c>
      <c r="H109" s="167" t="s">
        <v>427</v>
      </c>
      <c r="I109" s="167" t="s">
        <v>20</v>
      </c>
      <c r="J109" s="120" t="s">
        <v>20</v>
      </c>
      <c r="K109" s="167" t="s">
        <v>33</v>
      </c>
      <c r="L109" s="167" t="str">
        <f t="shared" ref="L109" si="6">IF(K109="No","N/A",IF(G109="mayfield","raised w/o hormones",IF(G109="springer mountain","raised w/o antibiotics",IF(G109="white oak pastures","grassfed",IF(G109="inland","seafood watch",IF(G109="atlanta fresh","raised w/o hormones",IF(G109="southern swiss","raised w/o hormones)))))))")))))))</f>
        <v>N/A</v>
      </c>
      <c r="M109" s="117" t="s">
        <v>20</v>
      </c>
      <c r="N109" s="27" t="s">
        <v>454</v>
      </c>
      <c r="O109" s="30">
        <v>46.38</v>
      </c>
      <c r="P109" s="30">
        <v>1</v>
      </c>
      <c r="Q109" s="27">
        <f>O:O*P:P</f>
        <v>46.38</v>
      </c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45">
      <c r="A110" s="167" t="s">
        <v>28</v>
      </c>
      <c r="B110" s="168" t="s">
        <v>468</v>
      </c>
      <c r="C110" s="170">
        <v>42271</v>
      </c>
      <c r="D110" s="167" t="s">
        <v>448</v>
      </c>
      <c r="E110" s="167" t="s">
        <v>302</v>
      </c>
      <c r="F110" s="167" t="s">
        <v>70</v>
      </c>
      <c r="G110" s="167" t="s">
        <v>469</v>
      </c>
      <c r="H110" s="167" t="s">
        <v>470</v>
      </c>
      <c r="I110" s="167" t="s">
        <v>20</v>
      </c>
      <c r="J110" s="120" t="s">
        <v>471</v>
      </c>
      <c r="K110" s="167" t="s">
        <v>33</v>
      </c>
      <c r="L110" s="167" t="str">
        <f>IF(K110="No","N/A")</f>
        <v>N/A</v>
      </c>
      <c r="M110" s="117" t="s">
        <v>33</v>
      </c>
      <c r="N110" s="27" t="str">
        <f>IF(M110="No","N/A",IF(G110="Springer Mountain","Emory Local&amp; raised w/o antibiotics)"))</f>
        <v>N/A</v>
      </c>
      <c r="O110" s="30">
        <v>96</v>
      </c>
      <c r="P110" s="30">
        <v>1</v>
      </c>
      <c r="Q110" s="27">
        <f>O:O*P:P</f>
        <v>96</v>
      </c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45">
      <c r="A111" s="167" t="s">
        <v>28</v>
      </c>
      <c r="B111" s="168" t="s">
        <v>472</v>
      </c>
      <c r="C111" s="170">
        <v>42271</v>
      </c>
      <c r="D111" s="167" t="s">
        <v>448</v>
      </c>
      <c r="E111" s="167" t="s">
        <v>302</v>
      </c>
      <c r="F111" s="167" t="s">
        <v>3</v>
      </c>
      <c r="G111" s="167" t="s">
        <v>34</v>
      </c>
      <c r="H111" s="167" t="s">
        <v>473</v>
      </c>
      <c r="I111" s="167" t="s">
        <v>20</v>
      </c>
      <c r="J111" s="120" t="s">
        <v>20</v>
      </c>
      <c r="K111" s="167" t="s">
        <v>33</v>
      </c>
      <c r="L111" s="167" t="str">
        <f t="shared" ref="L111" si="7">IF(K111="No","N/A",IF(G111="mayfield","raised w/o hormones",IF(G111="springer mountain","raised w/o antibiotics",IF(G111="white oak pastures","grassfed",IF(G111="inland","seafood watch",IF(G111="atlanta fresh","raised w/o hormones",IF(G111="southern swiss","raised w/o hormones)))))))")))))))</f>
        <v>N/A</v>
      </c>
      <c r="M111" s="117" t="s">
        <v>20</v>
      </c>
      <c r="N111" s="27" t="s">
        <v>454</v>
      </c>
      <c r="O111" s="30">
        <f>183.45+366.9</f>
        <v>550.34999999999991</v>
      </c>
      <c r="P111" s="30">
        <v>1</v>
      </c>
      <c r="Q111" s="27">
        <f>O:O*P:P</f>
        <v>550.34999999999991</v>
      </c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45">
      <c r="A112" s="32" t="s">
        <v>28</v>
      </c>
      <c r="B112" s="32" t="s">
        <v>472</v>
      </c>
      <c r="C112" s="108">
        <v>42271</v>
      </c>
      <c r="D112" s="32" t="s">
        <v>448</v>
      </c>
      <c r="E112" s="32"/>
      <c r="F112" s="32" t="s">
        <v>2</v>
      </c>
      <c r="G112" s="32" t="s">
        <v>30</v>
      </c>
      <c r="H112" s="32" t="s">
        <v>474</v>
      </c>
      <c r="I112" s="32" t="str">
        <f t="shared" ref="I112:I113" si="8">IF(G112="Mayfield","Yes",IF(G112="Royal Local","Yes",IF(G112="Sysco","No",IF(G112="H&amp;F Bread","Yes",IF(G112="Springer Mountain","Yes",IF(G112="white oak Pastures","Yes",IF(G112="Southern Swiss", "Yes")))))))</f>
        <v>Yes</v>
      </c>
      <c r="J112" s="96" t="str">
        <f t="shared" ref="J112:J113" si="9">IF(G112="Mayfield","No",IF(G112="Royal Local","No",IF(G112="H&amp;F Bread","No",IF(G112="Springer Mountain","No",IF(G112="white oak pastures","Yes",IF(G112="Southern Swiss","Yes"))))))</f>
        <v>No</v>
      </c>
      <c r="K112" s="32" t="str">
        <f t="shared" ref="K112:K113" si="10">IF(G112="Mayfield","Yes", IF(G112="Royal Local","No",IF(G112="H&amp;F Bread", "No",IF(G112="Springer Mountain","Yes",IF(G112="white oak pastures","Yes",IF(G112="Southern Swiss", "Yes"))))))</f>
        <v>No</v>
      </c>
      <c r="L112" s="32" t="str">
        <f>IF(K112="No","N/A")</f>
        <v>N/A</v>
      </c>
      <c r="M112" s="30" t="s">
        <v>33</v>
      </c>
      <c r="N112" s="27" t="str">
        <f>IF(M112="No","N/A",IF(G112="Springer Mountain","Emory Local&amp; raised w/o antibiotics)"))</f>
        <v>N/A</v>
      </c>
      <c r="O112" s="30">
        <v>128.6</v>
      </c>
      <c r="P112" s="30">
        <v>1</v>
      </c>
      <c r="Q112" s="27">
        <f>O:O*P:P</f>
        <v>128.6</v>
      </c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45">
      <c r="A113" s="167" t="s">
        <v>66</v>
      </c>
      <c r="B113" s="168">
        <v>797963</v>
      </c>
      <c r="C113" s="170">
        <v>42268</v>
      </c>
      <c r="D113" s="167" t="s">
        <v>448</v>
      </c>
      <c r="E113" s="167" t="s">
        <v>302</v>
      </c>
      <c r="F113" s="167" t="s">
        <v>1</v>
      </c>
      <c r="G113" s="167" t="s">
        <v>23</v>
      </c>
      <c r="H113" s="167" t="s">
        <v>399</v>
      </c>
      <c r="I113" s="167" t="str">
        <f t="shared" si="8"/>
        <v>Yes</v>
      </c>
      <c r="J113" s="121" t="str">
        <f t="shared" si="9"/>
        <v>Yes</v>
      </c>
      <c r="K113" s="167" t="str">
        <f t="shared" si="10"/>
        <v>Yes</v>
      </c>
      <c r="L113" s="167" t="s">
        <v>491</v>
      </c>
      <c r="M113" s="117" t="s">
        <v>20</v>
      </c>
      <c r="N113" s="27" t="s">
        <v>440</v>
      </c>
      <c r="O113" s="30">
        <v>2608.1999999999998</v>
      </c>
      <c r="P113" s="30">
        <v>1</v>
      </c>
      <c r="Q113" s="27">
        <f>O:O*P:P</f>
        <v>2608.1999999999998</v>
      </c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45">
      <c r="A114" s="167" t="s">
        <v>27</v>
      </c>
      <c r="B114" s="168">
        <v>8007126</v>
      </c>
      <c r="C114" s="170">
        <v>42268</v>
      </c>
      <c r="D114" s="167" t="s">
        <v>448</v>
      </c>
      <c r="E114" s="167" t="s">
        <v>302</v>
      </c>
      <c r="F114" s="167" t="s">
        <v>54</v>
      </c>
      <c r="G114" s="167" t="s">
        <v>97</v>
      </c>
      <c r="H114" s="167" t="s">
        <v>475</v>
      </c>
      <c r="I114" s="167" t="s">
        <v>33</v>
      </c>
      <c r="J114" s="120" t="s">
        <v>33</v>
      </c>
      <c r="K114" s="167" t="s">
        <v>20</v>
      </c>
      <c r="L114" s="167" t="s">
        <v>57</v>
      </c>
      <c r="M114" s="117" t="s">
        <v>33</v>
      </c>
      <c r="N114" s="27" t="str">
        <f t="shared" ref="N114:N115" si="11">IF(M114="No","N/A",IF(G114="Springer Mountain","Emory Local&amp; raised w/o antibiotics)"))</f>
        <v>N/A</v>
      </c>
      <c r="O114" s="30">
        <v>1094</v>
      </c>
      <c r="P114" s="30">
        <v>1</v>
      </c>
      <c r="Q114" s="27">
        <f>O:O*P:P</f>
        <v>1094</v>
      </c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45">
      <c r="A115" s="167" t="s">
        <v>27</v>
      </c>
      <c r="B115" s="168">
        <v>8013730</v>
      </c>
      <c r="C115" s="170">
        <v>42271</v>
      </c>
      <c r="D115" s="167" t="s">
        <v>448</v>
      </c>
      <c r="E115" s="167" t="s">
        <v>302</v>
      </c>
      <c r="F115" s="167" t="s">
        <v>54</v>
      </c>
      <c r="G115" s="167" t="s">
        <v>97</v>
      </c>
      <c r="H115" s="167" t="s">
        <v>476</v>
      </c>
      <c r="I115" s="167" t="s">
        <v>33</v>
      </c>
      <c r="J115" s="120" t="s">
        <v>33</v>
      </c>
      <c r="K115" s="167" t="s">
        <v>20</v>
      </c>
      <c r="L115" s="167" t="s">
        <v>422</v>
      </c>
      <c r="M115" s="117" t="s">
        <v>33</v>
      </c>
      <c r="N115" s="27" t="str">
        <f t="shared" si="11"/>
        <v>N/A</v>
      </c>
      <c r="O115" s="30">
        <v>447.13</v>
      </c>
      <c r="P115" s="30">
        <v>1</v>
      </c>
      <c r="Q115" s="27">
        <f>O:O*P:P</f>
        <v>447.13</v>
      </c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45">
      <c r="A116" s="27" t="s">
        <v>15</v>
      </c>
      <c r="B116" s="27">
        <v>614302855</v>
      </c>
      <c r="C116" s="33">
        <v>42265</v>
      </c>
      <c r="D116" s="27" t="s">
        <v>448</v>
      </c>
      <c r="E116" s="27"/>
      <c r="F116" s="27" t="s">
        <v>3</v>
      </c>
      <c r="G116" s="27" t="s">
        <v>18</v>
      </c>
      <c r="H116" s="27" t="s">
        <v>477</v>
      </c>
      <c r="I116" s="27" t="str">
        <f>IF(G116="Mayfield","Yes",IF(G116="Royal Local","Yes",IF(G116="Sysco","No",IF(G116="H&amp;F Bread","Yes",IF(G116="Springer Mountain","Yes",IF(G116="white oak Pastures","Yes",IF(G116="Southern Swiss", "Yes")))))))</f>
        <v>Yes</v>
      </c>
      <c r="J116" s="96" t="str">
        <f>IF(G116="Mayfield","No",IF(G116="Royal Local","No",IF(G116="H&amp;F Bread","No",IF(G116="Springer Mountain","No",IF(G116="white oak pastures","Yes",IF(G116="Southern Swiss","Yes"))))))</f>
        <v>No</v>
      </c>
      <c r="K116" s="27" t="s">
        <v>33</v>
      </c>
      <c r="L116" s="27" t="s">
        <v>19</v>
      </c>
      <c r="M116" s="30" t="s">
        <v>20</v>
      </c>
      <c r="N116" s="27" t="s">
        <v>21</v>
      </c>
      <c r="O116" s="30">
        <v>903.87</v>
      </c>
      <c r="P116" s="30">
        <v>1</v>
      </c>
      <c r="Q116" s="27">
        <f>O:O*P:P</f>
        <v>903.87</v>
      </c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45">
      <c r="A117" s="30" t="s">
        <v>15</v>
      </c>
      <c r="B117" s="30">
        <v>614302914</v>
      </c>
      <c r="C117" s="20">
        <v>42268</v>
      </c>
      <c r="D117" s="30" t="s">
        <v>448</v>
      </c>
      <c r="E117" s="30"/>
      <c r="F117" s="30" t="s">
        <v>3</v>
      </c>
      <c r="G117" s="30" t="s">
        <v>18</v>
      </c>
      <c r="H117" s="30" t="s">
        <v>478</v>
      </c>
      <c r="I117" s="27" t="str">
        <f>IF(G117="Mayfield","Yes",IF(G117="Royal Local","Yes",IF(G117="Sysco","No",IF(G117="H&amp;F Bread","Yes",IF(G117="Springer Mountain","Yes",IF(G117="white oak Pastures","Yes",IF(G117="Southern Swiss", "Yes")))))))</f>
        <v>Yes</v>
      </c>
      <c r="J117" s="96" t="str">
        <f>IF(G117="Mayfield","No",IF(G117="Royal Local","No",IF(G117="H&amp;F Bread","No",IF(G117="Springer Mountain","No",IF(G117="white oak pastures","Yes",IF(G117="Southern Swiss","Yes"))))))</f>
        <v>No</v>
      </c>
      <c r="K117" s="27" t="s">
        <v>33</v>
      </c>
      <c r="L117" s="27" t="s">
        <v>19</v>
      </c>
      <c r="M117" s="35" t="s">
        <v>20</v>
      </c>
      <c r="N117" s="27" t="s">
        <v>21</v>
      </c>
      <c r="O117" s="35">
        <v>416.6</v>
      </c>
      <c r="P117" s="35">
        <v>1</v>
      </c>
      <c r="Q117" s="27">
        <f>O:O*P:P</f>
        <v>416.6</v>
      </c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45">
      <c r="A118" s="90" t="s">
        <v>15</v>
      </c>
      <c r="B118" s="90">
        <v>614302990</v>
      </c>
      <c r="C118" s="91">
        <v>42270</v>
      </c>
      <c r="D118" s="32" t="s">
        <v>448</v>
      </c>
      <c r="E118" s="35"/>
      <c r="F118" s="35" t="s">
        <v>3</v>
      </c>
      <c r="G118" s="35" t="s">
        <v>18</v>
      </c>
      <c r="H118" s="90" t="s">
        <v>479</v>
      </c>
      <c r="I118" s="32" t="str">
        <f>IF(G118="Mayfield","Yes",IF(G118="Royal Local","Yes",IF(G118="Sysco","No",IF(G118="H&amp;F Bread","Yes",IF(G118="Springer Mountain","Yes",IF(G118="white oak Pastures","Yes",IF(G118="Southern Swiss", "Yes")))))))</f>
        <v>Yes</v>
      </c>
      <c r="J118" s="96" t="str">
        <f>IF(G118="Mayfield","No",IF(G118="Royal Local","No",IF(G118="H&amp;F Bread","No",IF(G118="Springer Mountain","No",IF(G118="white oak pastures","Yes",IF(G118="Southern Swiss","Yes"))))))</f>
        <v>No</v>
      </c>
      <c r="K118" s="32" t="s">
        <v>33</v>
      </c>
      <c r="L118" s="32" t="s">
        <v>19</v>
      </c>
      <c r="M118" s="90" t="s">
        <v>20</v>
      </c>
      <c r="N118" s="27" t="s">
        <v>21</v>
      </c>
      <c r="O118" s="90">
        <v>1202.1600000000001</v>
      </c>
      <c r="P118" s="90">
        <v>1</v>
      </c>
      <c r="Q118" s="27">
        <f>O:O*P:P</f>
        <v>1202.1600000000001</v>
      </c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45">
      <c r="A119" s="167" t="s">
        <v>52</v>
      </c>
      <c r="B119" s="168"/>
      <c r="C119" s="168"/>
      <c r="D119" s="167" t="s">
        <v>448</v>
      </c>
      <c r="E119" s="167" t="s">
        <v>302</v>
      </c>
      <c r="F119" s="167" t="s">
        <v>54</v>
      </c>
      <c r="G119" s="167" t="s">
        <v>480</v>
      </c>
      <c r="H119" s="167" t="s">
        <v>481</v>
      </c>
      <c r="I119" s="167" t="s">
        <v>33</v>
      </c>
      <c r="J119" s="120" t="s">
        <v>33</v>
      </c>
      <c r="K119" s="167" t="s">
        <v>20</v>
      </c>
      <c r="L119" s="167" t="s">
        <v>422</v>
      </c>
      <c r="M119" s="117" t="s">
        <v>33</v>
      </c>
      <c r="N119" s="30" t="str">
        <f>IF(M119="No","N/A",IF(G119="Springer Mountain","Emory Local&amp; raised w/o antibiotics)"))</f>
        <v>N/A</v>
      </c>
      <c r="O119" s="30">
        <v>123.54</v>
      </c>
      <c r="P119" s="30">
        <v>1</v>
      </c>
      <c r="Q119" s="30">
        <f>O:O*P:P</f>
        <v>123.54</v>
      </c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s="52" customFormat="1" ht="12.75" customHeight="1" x14ac:dyDescent="0.45">
      <c r="A120" s="167" t="s">
        <v>52</v>
      </c>
      <c r="B120" s="168"/>
      <c r="C120" s="168" t="s">
        <v>482</v>
      </c>
      <c r="D120" s="167" t="s">
        <v>448</v>
      </c>
      <c r="E120" s="167" t="s">
        <v>302</v>
      </c>
      <c r="F120" s="167" t="s">
        <v>54</v>
      </c>
      <c r="G120" s="167" t="s">
        <v>58</v>
      </c>
      <c r="H120" s="167" t="s">
        <v>173</v>
      </c>
      <c r="I120" s="167" t="s">
        <v>33</v>
      </c>
      <c r="J120" s="101" t="s">
        <v>33</v>
      </c>
      <c r="K120" s="167" t="s">
        <v>20</v>
      </c>
      <c r="L120" s="167" t="s">
        <v>422</v>
      </c>
      <c r="M120" s="90" t="s">
        <v>33</v>
      </c>
      <c r="N120" s="90" t="s">
        <v>32</v>
      </c>
      <c r="O120" s="90">
        <v>776.05</v>
      </c>
      <c r="P120" s="90">
        <v>1</v>
      </c>
      <c r="Q120" s="35">
        <f>O:O*P:P</f>
        <v>776.05</v>
      </c>
      <c r="R120" s="51"/>
      <c r="S120" s="51"/>
      <c r="T120" s="51"/>
      <c r="U120" s="51"/>
      <c r="V120" s="51"/>
      <c r="W120" s="51"/>
      <c r="X120" s="51"/>
      <c r="Y120" s="51"/>
      <c r="Z120" s="51"/>
      <c r="AA120" s="51"/>
    </row>
    <row r="121" spans="1:27" s="52" customFormat="1" ht="12.75" customHeight="1" x14ac:dyDescent="0.45">
      <c r="A121" s="167" t="s">
        <v>52</v>
      </c>
      <c r="B121" s="168"/>
      <c r="C121" s="168" t="s">
        <v>486</v>
      </c>
      <c r="D121" s="167" t="s">
        <v>448</v>
      </c>
      <c r="E121" s="167" t="s">
        <v>302</v>
      </c>
      <c r="F121" s="167" t="s">
        <v>3</v>
      </c>
      <c r="G121" s="167" t="s">
        <v>487</v>
      </c>
      <c r="H121" s="167" t="s">
        <v>488</v>
      </c>
      <c r="I121" s="167" t="s">
        <v>33</v>
      </c>
      <c r="J121" s="101" t="s">
        <v>33</v>
      </c>
      <c r="K121" s="167" t="s">
        <v>20</v>
      </c>
      <c r="L121" s="167" t="s">
        <v>495</v>
      </c>
      <c r="M121" s="90" t="s">
        <v>194</v>
      </c>
      <c r="N121" s="90"/>
      <c r="O121" s="90"/>
      <c r="P121" s="90"/>
      <c r="Q121" s="90">
        <f>665.15</f>
        <v>665.15</v>
      </c>
      <c r="R121" s="51"/>
      <c r="S121" s="51"/>
      <c r="T121" s="51"/>
      <c r="U121" s="51"/>
      <c r="V121" s="51"/>
      <c r="W121" s="51"/>
      <c r="X121" s="51"/>
      <c r="Y121" s="51"/>
      <c r="Z121" s="51"/>
      <c r="AA121" s="51"/>
    </row>
    <row r="122" spans="1:27" s="52" customFormat="1" ht="12.75" customHeight="1" x14ac:dyDescent="0.45">
      <c r="A122" s="167" t="s">
        <v>224</v>
      </c>
      <c r="B122" s="168"/>
      <c r="C122" s="168"/>
      <c r="D122" s="167" t="s">
        <v>448</v>
      </c>
      <c r="E122" s="167" t="s">
        <v>302</v>
      </c>
      <c r="F122" s="167" t="s">
        <v>483</v>
      </c>
      <c r="G122" s="167" t="s">
        <v>224</v>
      </c>
      <c r="H122" s="167" t="s">
        <v>124</v>
      </c>
      <c r="I122" s="167" t="s">
        <v>20</v>
      </c>
      <c r="J122" s="102" t="s">
        <v>33</v>
      </c>
      <c r="K122" s="167" t="s">
        <v>20</v>
      </c>
      <c r="L122" s="167" t="s">
        <v>492</v>
      </c>
      <c r="M122" s="93" t="s">
        <v>20</v>
      </c>
      <c r="N122" s="93" t="s">
        <v>21</v>
      </c>
      <c r="O122" s="93">
        <v>7997.48</v>
      </c>
      <c r="P122" s="93">
        <v>1</v>
      </c>
      <c r="Q122" s="93">
        <v>7997.48</v>
      </c>
      <c r="R122" s="51"/>
      <c r="S122" s="51"/>
      <c r="T122" s="51"/>
      <c r="U122" s="51"/>
      <c r="V122" s="51"/>
      <c r="W122" s="51"/>
      <c r="X122" s="51"/>
      <c r="Y122" s="51"/>
      <c r="Z122" s="51"/>
      <c r="AA122" s="51"/>
    </row>
    <row r="123" spans="1:27" ht="12.75" customHeight="1" x14ac:dyDescent="0.45">
      <c r="A123" s="167" t="s">
        <v>193</v>
      </c>
      <c r="B123" s="168"/>
      <c r="C123" s="168"/>
      <c r="D123" s="167" t="s">
        <v>484</v>
      </c>
      <c r="E123" s="167" t="s">
        <v>302</v>
      </c>
      <c r="F123" s="167" t="s">
        <v>289</v>
      </c>
      <c r="G123" s="167" t="s">
        <v>193</v>
      </c>
      <c r="H123" s="167" t="s">
        <v>289</v>
      </c>
      <c r="I123" s="167" t="s">
        <v>20</v>
      </c>
      <c r="J123" s="36" t="s">
        <v>20</v>
      </c>
      <c r="K123" s="167" t="s">
        <v>33</v>
      </c>
      <c r="L123" s="167" t="s">
        <v>32</v>
      </c>
      <c r="M123" s="25" t="s">
        <v>33</v>
      </c>
      <c r="N123" s="25"/>
      <c r="O123" s="25">
        <f>1280.6+1333.8</f>
        <v>2614.3999999999996</v>
      </c>
      <c r="P123" s="25">
        <v>1</v>
      </c>
      <c r="Q123" s="25">
        <f>2614.4</f>
        <v>2614.4</v>
      </c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45">
      <c r="A124" s="24" t="s">
        <v>15</v>
      </c>
      <c r="B124" s="24"/>
      <c r="C124" s="24" t="s">
        <v>16</v>
      </c>
      <c r="D124" s="24" t="s">
        <v>17</v>
      </c>
      <c r="E124" s="24"/>
      <c r="F124" s="24" t="s">
        <v>3</v>
      </c>
      <c r="G124" s="24" t="s">
        <v>18</v>
      </c>
      <c r="H124" s="24"/>
      <c r="I124" s="24" t="str">
        <f t="shared" ref="I124:I126" si="12">IF(G124="Mayfield","Yes",IF(G124="Royal Local","Yes",IF(G124="Sysco","No",IF(G124="H&amp;F Bread","Yes",IF(G124="Springer Mountain","Yes",IF(G124="white oak Pastures","Yes",IF(G124="Southern Swiss", "Yes")))))))</f>
        <v>Yes</v>
      </c>
      <c r="J124" s="7" t="str">
        <f t="shared" ref="J124:J126" si="13">IF(G124="Mayfield","No",IF(G124="Royal Local","No",IF(G124="H&amp;F Bread","No",IF(G124="Springer Mountain","No",IF(G124="white oak pastures","Yes",IF(G124="Southern Swiss","Yes"))))))</f>
        <v>No</v>
      </c>
      <c r="K124" s="24" t="s">
        <v>33</v>
      </c>
      <c r="L124" s="24" t="s">
        <v>19</v>
      </c>
      <c r="M124" s="6" t="s">
        <v>20</v>
      </c>
      <c r="N124" s="40" t="s">
        <v>21</v>
      </c>
      <c r="O124" s="6">
        <v>1162.72</v>
      </c>
      <c r="P124" s="6">
        <v>1</v>
      </c>
      <c r="Q124" s="8">
        <f>O:O*P:P</f>
        <v>1162.72</v>
      </c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45">
      <c r="A125" s="167" t="s">
        <v>22</v>
      </c>
      <c r="B125" s="168">
        <v>801409</v>
      </c>
      <c r="C125" s="169">
        <v>42276</v>
      </c>
      <c r="D125" s="167" t="s">
        <v>17</v>
      </c>
      <c r="E125" s="167" t="s">
        <v>302</v>
      </c>
      <c r="F125" s="167" t="s">
        <v>1</v>
      </c>
      <c r="G125" s="167" t="s">
        <v>23</v>
      </c>
      <c r="H125" s="167" t="s">
        <v>24</v>
      </c>
      <c r="I125" s="167" t="str">
        <f t="shared" si="12"/>
        <v>Yes</v>
      </c>
      <c r="J125" s="115" t="str">
        <f t="shared" si="13"/>
        <v>Yes</v>
      </c>
      <c r="K125" s="167" t="str">
        <f t="shared" ref="K125:K126" si="14">IF(G125="Mayfield","Yes", IF(G125="Royal Local","No",IF(G125="H&amp;F Bread", "No",IF(G125="Springer Mountain","Yes",IF(G125="white oak pastures","Yes",IF(G125="Southern Swiss", "Yes"))))))</f>
        <v>Yes</v>
      </c>
      <c r="L125" s="167" t="s">
        <v>491</v>
      </c>
      <c r="M125" s="116" t="s">
        <v>20</v>
      </c>
      <c r="N125" s="40" t="s">
        <v>26</v>
      </c>
      <c r="O125" s="6">
        <v>979.5</v>
      </c>
      <c r="P125" s="6">
        <v>1</v>
      </c>
      <c r="Q125" s="8">
        <f>O:O*P:P</f>
        <v>979.5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45">
      <c r="A126" s="5" t="s">
        <v>28</v>
      </c>
      <c r="B126" s="5" t="s">
        <v>29</v>
      </c>
      <c r="C126" s="9">
        <v>42276</v>
      </c>
      <c r="D126" s="5" t="s">
        <v>17</v>
      </c>
      <c r="E126" s="5"/>
      <c r="F126" s="5" t="s">
        <v>2</v>
      </c>
      <c r="G126" s="6" t="s">
        <v>30</v>
      </c>
      <c r="H126" s="6" t="s">
        <v>31</v>
      </c>
      <c r="I126" s="6" t="str">
        <f t="shared" si="12"/>
        <v>Yes</v>
      </c>
      <c r="J126" s="7" t="str">
        <f t="shared" si="13"/>
        <v>No</v>
      </c>
      <c r="K126" s="6" t="str">
        <f t="shared" si="14"/>
        <v>No</v>
      </c>
      <c r="L126" s="6" t="s">
        <v>32</v>
      </c>
      <c r="M126" s="6" t="s">
        <v>33</v>
      </c>
      <c r="N126" s="40" t="str">
        <f t="shared" ref="N126" si="15">IF(M126="No","N/A",IF(G126="Springer Mountain","Emory Local&amp; raised w/o antibiotics)"))</f>
        <v>N/A</v>
      </c>
      <c r="O126" s="6">
        <f>271.92+22.35+128.4+43.1</f>
        <v>465.7700000000001</v>
      </c>
      <c r="P126" s="6">
        <v>1</v>
      </c>
      <c r="Q126" s="8">
        <f>O:O*P:P</f>
        <v>465.7700000000001</v>
      </c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45">
      <c r="A127" s="167" t="s">
        <v>28</v>
      </c>
      <c r="B127" s="168" t="s">
        <v>29</v>
      </c>
      <c r="C127" s="170">
        <v>42276</v>
      </c>
      <c r="D127" s="167" t="s">
        <v>17</v>
      </c>
      <c r="E127" s="167" t="s">
        <v>302</v>
      </c>
      <c r="F127" s="167" t="s">
        <v>3</v>
      </c>
      <c r="G127" s="167" t="s">
        <v>34</v>
      </c>
      <c r="H127" s="167" t="s">
        <v>35</v>
      </c>
      <c r="I127" s="167" t="s">
        <v>20</v>
      </c>
      <c r="J127" s="115" t="s">
        <v>20</v>
      </c>
      <c r="K127" s="167" t="s">
        <v>33</v>
      </c>
      <c r="L127" s="167" t="s">
        <v>32</v>
      </c>
      <c r="M127" s="116" t="s">
        <v>20</v>
      </c>
      <c r="N127" s="40" t="s">
        <v>36</v>
      </c>
      <c r="O127" s="6">
        <f>110.55+220.14</f>
        <v>330.69</v>
      </c>
      <c r="P127" s="6">
        <v>1</v>
      </c>
      <c r="Q127" s="8">
        <f>O:O*P:P</f>
        <v>330.69</v>
      </c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45">
      <c r="A128" s="16" t="s">
        <v>28</v>
      </c>
      <c r="B128" s="16" t="s">
        <v>37</v>
      </c>
      <c r="C128" s="14">
        <v>42275</v>
      </c>
      <c r="D128" s="16" t="s">
        <v>17</v>
      </c>
      <c r="E128" s="16"/>
      <c r="F128" s="16" t="s">
        <v>2</v>
      </c>
      <c r="G128" s="16" t="s">
        <v>30</v>
      </c>
      <c r="H128" s="16" t="s">
        <v>38</v>
      </c>
      <c r="I128" s="16" t="str">
        <f>IF(G128="Mayfield","Yes",IF(G128="Royal Local","Yes",IF(G128="Sysco","No",IF(G128="H&amp;F Bread","Yes",IF(G128="Springer Mountain","Yes",IF(G128="white oak Pastures","Yes",IF(G128="Southern Swiss", "Yes")))))))</f>
        <v>Yes</v>
      </c>
      <c r="J128" s="7" t="str">
        <f>IF(G128="Mayfield","No",IF(G128="Royal Local","No",IF(G128="H&amp;F Bread","No",IF(G128="Springer Mountain","No",IF(G128="white oak pastures","Yes",IF(G128="Southern Swiss","Yes"))))))</f>
        <v>No</v>
      </c>
      <c r="K128" s="16" t="str">
        <f>IF(G128="Mayfield","Yes", IF(G128="Royal Local","No",IF(G128="H&amp;F Bread", "No",IF(G128="Springer Mountain","Yes",IF(G128="white oak pastures","Yes",IF(G128="Southern Swiss", "Yes"))))))</f>
        <v>No</v>
      </c>
      <c r="L128" s="16" t="s">
        <v>32</v>
      </c>
      <c r="M128" s="6" t="s">
        <v>33</v>
      </c>
      <c r="N128" s="40" t="str">
        <f>IF(M128="No","N/A",IF(G128="Springer Mountain","Emory Local&amp; raised w/o antibiotics)"))</f>
        <v>N/A</v>
      </c>
      <c r="O128" s="6">
        <f>94.65+43.08+234.8</f>
        <v>372.53000000000003</v>
      </c>
      <c r="P128" s="6">
        <v>1</v>
      </c>
      <c r="Q128" s="8">
        <f>O:O*P:P</f>
        <v>372.53000000000003</v>
      </c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45">
      <c r="A129" s="10" t="s">
        <v>28</v>
      </c>
      <c r="B129" s="10" t="s">
        <v>39</v>
      </c>
      <c r="C129" s="147">
        <v>42275</v>
      </c>
      <c r="D129" s="10" t="s">
        <v>17</v>
      </c>
      <c r="E129" s="10"/>
      <c r="F129" s="10" t="s">
        <v>2</v>
      </c>
      <c r="G129" s="10" t="s">
        <v>30</v>
      </c>
      <c r="H129" s="10" t="s">
        <v>40</v>
      </c>
      <c r="I129" s="10" t="str">
        <f>IF(G129="Mayfield","Yes",IF(G129="Royal Local","Yes",IF(G129="Sysco","No",IF(G129="H&amp;F Bread","Yes",IF(G129="Springer Mountain","Yes",IF(G129="white oak Pastures","Yes",IF(G129="Southern Swiss", "Yes")))))))</f>
        <v>Yes</v>
      </c>
      <c r="J129" s="7" t="str">
        <f>IF(G129="Mayfield","No",IF(G129="Royal Local","No",IF(G129="H&amp;F Bread","No",IF(G129="Springer Mountain","No",IF(G129="white oak pastures","Yes",IF(G129="Southern Swiss","Yes"))))))</f>
        <v>No</v>
      </c>
      <c r="K129" s="10" t="str">
        <f>IF(G129="Mayfield","Yes", IF(G129="Royal Local","No",IF(G129="H&amp;F Bread", "No",IF(G129="Springer Mountain","Yes",IF(G129="white oak pastures","Yes",IF(G129="Southern Swiss", "Yes"))))))</f>
        <v>No</v>
      </c>
      <c r="L129" s="10" t="s">
        <v>32</v>
      </c>
      <c r="M129" s="6" t="s">
        <v>33</v>
      </c>
      <c r="N129" s="40" t="str">
        <f>IF(M129="No","N/A",IF(G129="Springer Mountain","Emory Local&amp; raised w/o antibiotics)"))</f>
        <v>N/A</v>
      </c>
      <c r="O129" s="6">
        <v>65.099999999999994</v>
      </c>
      <c r="P129" s="6">
        <v>1</v>
      </c>
      <c r="Q129" s="8">
        <f>O:O*P:P</f>
        <v>65.099999999999994</v>
      </c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45">
      <c r="A130" s="167" t="s">
        <v>28</v>
      </c>
      <c r="B130" s="168" t="s">
        <v>39</v>
      </c>
      <c r="C130" s="170">
        <v>42275</v>
      </c>
      <c r="D130" s="167" t="s">
        <v>17</v>
      </c>
      <c r="E130" s="167" t="s">
        <v>302</v>
      </c>
      <c r="F130" s="167" t="s">
        <v>3</v>
      </c>
      <c r="G130" s="167" t="s">
        <v>34</v>
      </c>
      <c r="H130" s="167" t="s">
        <v>35</v>
      </c>
      <c r="I130" s="167" t="s">
        <v>20</v>
      </c>
      <c r="J130" s="115" t="s">
        <v>20</v>
      </c>
      <c r="K130" s="167" t="s">
        <v>33</v>
      </c>
      <c r="L130" s="167" t="s">
        <v>32</v>
      </c>
      <c r="M130" s="116" t="s">
        <v>20</v>
      </c>
      <c r="N130" s="40" t="s">
        <v>36</v>
      </c>
      <c r="O130" s="6">
        <f>183.45+366.9</f>
        <v>550.34999999999991</v>
      </c>
      <c r="P130" s="6">
        <v>1</v>
      </c>
      <c r="Q130" s="8">
        <f>O:O*P:P</f>
        <v>550.34999999999991</v>
      </c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45">
      <c r="A131" s="16" t="s">
        <v>28</v>
      </c>
      <c r="B131" s="16" t="s">
        <v>41</v>
      </c>
      <c r="C131" s="14">
        <v>42272</v>
      </c>
      <c r="D131" s="16" t="s">
        <v>17</v>
      </c>
      <c r="E131" s="16"/>
      <c r="F131" s="16" t="s">
        <v>2</v>
      </c>
      <c r="G131" s="16" t="s">
        <v>30</v>
      </c>
      <c r="H131" s="16" t="s">
        <v>42</v>
      </c>
      <c r="I131" s="16" t="str">
        <f>IF(G131="Mayfield","Yes",IF(G131="Royal Local","Yes",IF(G131="Sysco","No",IF(G131="H&amp;F Bread","Yes",IF(G131="Springer Mountain","Yes",IF(G131="white oak Pastures","Yes",IF(G131="Southern Swiss", "Yes")))))))</f>
        <v>Yes</v>
      </c>
      <c r="J131" s="7" t="str">
        <f>IF(G131="Mayfield","No",IF(G131="Royal Local","No",IF(G131="H&amp;F Bread","No",IF(G131="Springer Mountain","No",IF(G131="white oak pastures","Yes",IF(G131="Southern Swiss","Yes"))))))</f>
        <v>No</v>
      </c>
      <c r="K131" s="16" t="str">
        <f>IF(G131="Mayfield","Yes", IF(G131="Royal Local","No",IF(G131="H&amp;F Bread", "No",IF(G131="Springer Mountain","Yes",IF(G131="white oak pastures","Yes",IF(G131="Southern Swiss", "Yes"))))))</f>
        <v>No</v>
      </c>
      <c r="L131" s="16" t="s">
        <v>32</v>
      </c>
      <c r="M131" s="6" t="s">
        <v>33</v>
      </c>
      <c r="N131" s="40" t="str">
        <f>IF(M131="No","N/A",IF(G131="Springer Mountain","Emory Local&amp; raised w/o antibiotics)"))</f>
        <v>N/A</v>
      </c>
      <c r="O131" s="6">
        <f>113.4+39.3+154.32+58.56+262.32</f>
        <v>627.9</v>
      </c>
      <c r="P131" s="6">
        <v>1</v>
      </c>
      <c r="Q131" s="8">
        <f>O:O*P:P</f>
        <v>627.9</v>
      </c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45">
      <c r="A132" s="10" t="s">
        <v>28</v>
      </c>
      <c r="B132" s="10" t="s">
        <v>43</v>
      </c>
      <c r="C132" s="147">
        <v>42273</v>
      </c>
      <c r="D132" s="10" t="s">
        <v>17</v>
      </c>
      <c r="E132" s="10"/>
      <c r="F132" s="10" t="s">
        <v>2</v>
      </c>
      <c r="G132" s="10" t="s">
        <v>30</v>
      </c>
      <c r="H132" s="10" t="s">
        <v>44</v>
      </c>
      <c r="I132" s="10" t="str">
        <f>IF(G132="Mayfield","Yes",IF(G132="Royal Local","Yes",IF(G132="Sysco","No",IF(G132="H&amp;F Bread","Yes",IF(G132="Springer Mountain","Yes",IF(G132="white oak Pastures","Yes",IF(G132="Southern Swiss", "Yes")))))))</f>
        <v>Yes</v>
      </c>
      <c r="J132" s="7" t="str">
        <f>IF(G132="Mayfield","No",IF(G132="Royal Local","No",IF(G132="H&amp;F Bread","No",IF(G132="Springer Mountain","No",IF(G132="white oak pastures","Yes",IF(G132="Southern Swiss","Yes"))))))</f>
        <v>No</v>
      </c>
      <c r="K132" s="10" t="str">
        <f>IF(G132="Mayfield","Yes", IF(G132="Royal Local","No",IF(G132="H&amp;F Bread", "No",IF(G132="Springer Mountain","Yes",IF(G132="white oak pastures","Yes",IF(G132="Southern Swiss", "Yes"))))))</f>
        <v>No</v>
      </c>
      <c r="L132" s="10" t="s">
        <v>32</v>
      </c>
      <c r="M132" s="6" t="s">
        <v>33</v>
      </c>
      <c r="N132" s="40" t="str">
        <f>IF(M132="No","N/A",IF(G132="Springer Mountain","Emory Local&amp; raised w/o antibiotics)"))</f>
        <v>N/A</v>
      </c>
      <c r="O132" s="6">
        <f>65.24+61.24+226.8+57+192.9+75.24+86.55+73.2+102.48+88.05</f>
        <v>1028.7</v>
      </c>
      <c r="P132" s="6">
        <v>1</v>
      </c>
      <c r="Q132" s="8">
        <f>O:O*P:P</f>
        <v>1028.7</v>
      </c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45">
      <c r="A133" s="167" t="s">
        <v>28</v>
      </c>
      <c r="B133" s="168" t="s">
        <v>43</v>
      </c>
      <c r="C133" s="170">
        <v>42273</v>
      </c>
      <c r="D133" s="167" t="s">
        <v>17</v>
      </c>
      <c r="E133" s="167" t="s">
        <v>302</v>
      </c>
      <c r="F133" s="167" t="s">
        <v>3</v>
      </c>
      <c r="G133" s="167" t="s">
        <v>34</v>
      </c>
      <c r="H133" s="167" t="s">
        <v>45</v>
      </c>
      <c r="I133" s="167" t="s">
        <v>20</v>
      </c>
      <c r="J133" s="115" t="s">
        <v>20</v>
      </c>
      <c r="K133" s="167" t="s">
        <v>33</v>
      </c>
      <c r="L133" s="167" t="s">
        <v>32</v>
      </c>
      <c r="M133" s="116" t="s">
        <v>20</v>
      </c>
      <c r="N133" s="40" t="s">
        <v>36</v>
      </c>
      <c r="O133" s="6">
        <f>183.45+220.14</f>
        <v>403.59</v>
      </c>
      <c r="P133" s="6">
        <v>1</v>
      </c>
      <c r="Q133" s="8">
        <f>O:O*P:P</f>
        <v>403.59</v>
      </c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45">
      <c r="A134" s="24" t="s">
        <v>28</v>
      </c>
      <c r="B134" s="24" t="s">
        <v>46</v>
      </c>
      <c r="C134" s="148">
        <v>42277</v>
      </c>
      <c r="D134" s="24" t="s">
        <v>17</v>
      </c>
      <c r="E134" s="24"/>
      <c r="F134" s="24" t="s">
        <v>2</v>
      </c>
      <c r="G134" s="24" t="s">
        <v>30</v>
      </c>
      <c r="H134" s="24" t="s">
        <v>47</v>
      </c>
      <c r="I134" s="24" t="str">
        <f>IF(G134="Mayfield","Yes",IF(G134="Royal Local","Yes",IF(G134="Sysco","No",IF(G134="H&amp;F Bread","Yes",IF(G134="Springer Mountain","Yes",IF(G134="white oak Pastures","Yes",IF(G134="Southern Swiss", "Yes")))))))</f>
        <v>Yes</v>
      </c>
      <c r="J134" s="7" t="str">
        <f>IF(G134="Mayfield","No",IF(G134="Royal Local","No",IF(G134="H&amp;F Bread","No",IF(G134="Springer Mountain","No",IF(G134="white oak pastures","Yes",IF(G134="Southern Swiss","Yes"))))))</f>
        <v>No</v>
      </c>
      <c r="K134" s="24" t="str">
        <f>IF(G134="Mayfield","Yes", IF(G134="Royal Local","No",IF(G134="H&amp;F Bread", "No",IF(G134="Springer Mountain","Yes",IF(G134="white oak pastures","Yes",IF(G134="Southern Swiss", "Yes"))))))</f>
        <v>No</v>
      </c>
      <c r="L134" s="24" t="s">
        <v>32</v>
      </c>
      <c r="M134" s="6" t="s">
        <v>33</v>
      </c>
      <c r="N134" s="40" t="str">
        <f>IF(M134="No","N/A",IF(G134="Springer Mountain","Emory Local&amp; raised w/o antibiotics)"))</f>
        <v>N/A</v>
      </c>
      <c r="O134" s="6">
        <f>65.1+59.7+65.1+61.1+135.96+154.08+43.1</f>
        <v>584.14</v>
      </c>
      <c r="P134" s="6">
        <v>1</v>
      </c>
      <c r="Q134" s="8">
        <f>O:O*P:P</f>
        <v>584.14</v>
      </c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45">
      <c r="A135" s="167" t="s">
        <v>28</v>
      </c>
      <c r="B135" s="168" t="s">
        <v>46</v>
      </c>
      <c r="C135" s="170">
        <v>42277</v>
      </c>
      <c r="D135" s="167" t="s">
        <v>17</v>
      </c>
      <c r="E135" s="167" t="s">
        <v>302</v>
      </c>
      <c r="F135" s="167" t="s">
        <v>3</v>
      </c>
      <c r="G135" s="167" t="s">
        <v>34</v>
      </c>
      <c r="H135" s="167" t="s">
        <v>35</v>
      </c>
      <c r="I135" s="167" t="s">
        <v>20</v>
      </c>
      <c r="J135" s="115" t="s">
        <v>20</v>
      </c>
      <c r="K135" s="167" t="s">
        <v>33</v>
      </c>
      <c r="L135" s="167" t="s">
        <v>32</v>
      </c>
      <c r="M135" s="116" t="s">
        <v>20</v>
      </c>
      <c r="N135" s="40" t="s">
        <v>36</v>
      </c>
      <c r="O135" s="6">
        <v>59.88</v>
      </c>
      <c r="P135" s="6">
        <v>1</v>
      </c>
      <c r="Q135" s="8">
        <f>O:O*P:P</f>
        <v>59.88</v>
      </c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45">
      <c r="A136" s="167" t="s">
        <v>28</v>
      </c>
      <c r="B136" s="168" t="s">
        <v>48</v>
      </c>
      <c r="C136" s="170">
        <v>42278</v>
      </c>
      <c r="D136" s="167" t="s">
        <v>17</v>
      </c>
      <c r="E136" s="167" t="s">
        <v>302</v>
      </c>
      <c r="F136" s="167" t="s">
        <v>3</v>
      </c>
      <c r="G136" s="167" t="s">
        <v>34</v>
      </c>
      <c r="H136" s="167" t="s">
        <v>49</v>
      </c>
      <c r="I136" s="167" t="s">
        <v>20</v>
      </c>
      <c r="J136" s="115" t="s">
        <v>20</v>
      </c>
      <c r="K136" s="167" t="s">
        <v>33</v>
      </c>
      <c r="L136" s="167" t="s">
        <v>32</v>
      </c>
      <c r="M136" s="116" t="s">
        <v>20</v>
      </c>
      <c r="N136" s="40" t="s">
        <v>36</v>
      </c>
      <c r="O136" s="6">
        <v>23.19</v>
      </c>
      <c r="P136" s="6">
        <v>1</v>
      </c>
      <c r="Q136" s="8">
        <f>O:O*P:P</f>
        <v>23.19</v>
      </c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45">
      <c r="A137" s="24" t="s">
        <v>28</v>
      </c>
      <c r="B137" s="24" t="s">
        <v>50</v>
      </c>
      <c r="C137" s="148">
        <v>42278</v>
      </c>
      <c r="D137" s="24" t="s">
        <v>17</v>
      </c>
      <c r="E137" s="24"/>
      <c r="F137" s="24" t="s">
        <v>2</v>
      </c>
      <c r="G137" s="24" t="s">
        <v>30</v>
      </c>
      <c r="H137" s="24" t="s">
        <v>51</v>
      </c>
      <c r="I137" s="24" t="str">
        <f>IF(G137="Mayfield","Yes",IF(G137="Royal Local","Yes",IF(G137="Sysco","No",IF(G137="H&amp;F Bread","Yes",IF(G137="Springer Mountain","Yes",IF(G137="white oak Pastures","Yes",IF(G137="Southern Swiss", "Yes")))))))</f>
        <v>Yes</v>
      </c>
      <c r="J137" s="7" t="str">
        <f>IF(G137="Mayfield","No",IF(G137="Royal Local","No",IF(G137="H&amp;F Bread","No",IF(G137="Springer Mountain","No",IF(G137="white oak pastures","Yes",IF(G137="Southern Swiss","Yes"))))))</f>
        <v>No</v>
      </c>
      <c r="K137" s="24" t="str">
        <f>IF(G137="Mayfield","Yes", IF(G137="Royal Local","No",IF(G137="H&amp;F Bread", "No",IF(G137="Springer Mountain","Yes",IF(G137="white oak pastures","Yes",IF(G137="Southern Swiss", "Yes"))))))</f>
        <v>No</v>
      </c>
      <c r="L137" s="24" t="s">
        <v>32</v>
      </c>
      <c r="M137" s="6" t="s">
        <v>33</v>
      </c>
      <c r="N137" s="40" t="str">
        <f>IF(M137="No","N/A",IF(G137="Springer Mountain","Emory Local&amp; raised w/o antibiotics)"))</f>
        <v>N/A</v>
      </c>
      <c r="O137" s="6">
        <f>97.65+67.98+39.3+154.08+86.2+57.44+88.16+16.05</f>
        <v>606.8599999999999</v>
      </c>
      <c r="P137" s="6">
        <v>1</v>
      </c>
      <c r="Q137" s="8">
        <f>O:O*P:P</f>
        <v>606.8599999999999</v>
      </c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45">
      <c r="A138" s="167" t="s">
        <v>52</v>
      </c>
      <c r="B138" s="168"/>
      <c r="C138" s="168" t="s">
        <v>53</v>
      </c>
      <c r="D138" s="167" t="s">
        <v>17</v>
      </c>
      <c r="E138" s="167" t="s">
        <v>302</v>
      </c>
      <c r="F138" s="167" t="s">
        <v>54</v>
      </c>
      <c r="G138" s="167" t="s">
        <v>55</v>
      </c>
      <c r="H138" s="167" t="s">
        <v>56</v>
      </c>
      <c r="I138" s="167" t="s">
        <v>33</v>
      </c>
      <c r="J138" s="115" t="s">
        <v>33</v>
      </c>
      <c r="K138" s="167" t="s">
        <v>20</v>
      </c>
      <c r="L138" s="167" t="s">
        <v>57</v>
      </c>
      <c r="M138" s="116" t="s">
        <v>33</v>
      </c>
      <c r="N138" s="40" t="str">
        <f>IF(M138="No","N/A",IF(G138="Springer Mountain","Emory Local&amp; raised w/o antibiotics)"))</f>
        <v>N/A</v>
      </c>
      <c r="O138" s="6">
        <v>370.62</v>
      </c>
      <c r="P138" s="6">
        <v>1</v>
      </c>
      <c r="Q138" s="8">
        <f>O:O*P:P</f>
        <v>370.62</v>
      </c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45">
      <c r="A139" s="167" t="s">
        <v>52</v>
      </c>
      <c r="B139" s="168"/>
      <c r="C139" s="168" t="s">
        <v>53</v>
      </c>
      <c r="D139" s="167" t="s">
        <v>17</v>
      </c>
      <c r="E139" s="167" t="s">
        <v>302</v>
      </c>
      <c r="F139" s="167" t="s">
        <v>54</v>
      </c>
      <c r="G139" s="167" t="s">
        <v>58</v>
      </c>
      <c r="H139" s="167" t="s">
        <v>496</v>
      </c>
      <c r="I139" s="167" t="s">
        <v>33</v>
      </c>
      <c r="J139" s="118" t="s">
        <v>33</v>
      </c>
      <c r="K139" s="167" t="s">
        <v>59</v>
      </c>
      <c r="L139" s="167" t="s">
        <v>57</v>
      </c>
      <c r="M139" s="126" t="s">
        <v>33</v>
      </c>
      <c r="N139" s="41" t="str">
        <f>IF(M139="No","N/A",IF(G139="Springer Mountain","Emory Local&amp; raised w/o antibiotics)"))</f>
        <v>N/A</v>
      </c>
      <c r="O139" s="10">
        <v>530.19000000000005</v>
      </c>
      <c r="P139" s="10">
        <v>1</v>
      </c>
      <c r="Q139" s="12">
        <f>O:O*P:P</f>
        <v>530.19000000000005</v>
      </c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45">
      <c r="A140" s="167" t="s">
        <v>60</v>
      </c>
      <c r="B140" s="168">
        <v>25254</v>
      </c>
      <c r="C140" s="170">
        <v>42282</v>
      </c>
      <c r="D140" s="167" t="s">
        <v>61</v>
      </c>
      <c r="E140" s="167" t="s">
        <v>302</v>
      </c>
      <c r="F140" s="167" t="s">
        <v>4</v>
      </c>
      <c r="G140" s="167" t="s">
        <v>62</v>
      </c>
      <c r="H140" s="167"/>
      <c r="I140" s="167" t="s">
        <v>33</v>
      </c>
      <c r="J140" s="125" t="s">
        <v>33</v>
      </c>
      <c r="K140" s="167" t="s">
        <v>20</v>
      </c>
      <c r="L140" s="167" t="s">
        <v>63</v>
      </c>
      <c r="M140" s="127" t="s">
        <v>33</v>
      </c>
      <c r="N140" s="42" t="str">
        <f t="shared" ref="N140:N163" si="16">IF(M140="No","N/A",IF(G140="Springer Mountain","Emory Local&amp; raised w/o antibiotics)",IF(G140="mayfield","Emory local &amp; raised w/o hormones",IF(G140="white oak pastures","F2F &amp; grassfed",IF(G140="atlanta fresh","F2F &amp; raised w/o hormones",IF(G140="southern swiss", "yes", IF(G140="batdorf &amp; bronson", "Emory Local &amp; fair trade")))))))</f>
        <v>N/A</v>
      </c>
      <c r="O140" s="15">
        <v>351</v>
      </c>
      <c r="P140" s="15">
        <v>1</v>
      </c>
      <c r="Q140" s="17">
        <f>O:O*P:P</f>
        <v>351</v>
      </c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s="52" customFormat="1" ht="12.75" customHeight="1" x14ac:dyDescent="0.45">
      <c r="A141" s="167" t="s">
        <v>64</v>
      </c>
      <c r="B141" s="168">
        <v>1686</v>
      </c>
      <c r="C141" s="170">
        <v>42279</v>
      </c>
      <c r="D141" s="167" t="s">
        <v>61</v>
      </c>
      <c r="E141" s="167" t="s">
        <v>302</v>
      </c>
      <c r="F141" s="167" t="s">
        <v>2</v>
      </c>
      <c r="G141" s="167" t="s">
        <v>65</v>
      </c>
      <c r="H141" s="167" t="s">
        <v>289</v>
      </c>
      <c r="I141" s="167" t="s">
        <v>20</v>
      </c>
      <c r="J141" s="125" t="s">
        <v>20</v>
      </c>
      <c r="K141" s="167" t="s">
        <v>33</v>
      </c>
      <c r="L141" s="167" t="str">
        <f t="shared" ref="L141:L152" si="17">IF(K141="No","N/A",IF(G141="mayfield","raised w/o hormones",IF(G141="springer mountain","raised w/o antibiotics",IF(G141="white oak pastures","grassfed",IF(G141="inland","seafood watch",IF(G141="atlanta fresh","raised w/o hormones",IF(G141="southern swiss","raised w/o hormones)))))))")))))))</f>
        <v>N/A</v>
      </c>
      <c r="M141" s="127" t="str">
        <f t="shared" ref="M141:M150" si="18">IF(G141="white oak pastures", "Yes",IF(G141="mayfield","yes",IF(G141="oxford farm","yes",IF(K141="No","No", IF(I141="no", "no", IF(G141="springer mountain", "yes", IF(G141="atlanta fresh","yes)))))))")))))))</f>
        <v>No</v>
      </c>
      <c r="N141" s="42" t="str">
        <f t="shared" si="16"/>
        <v>N/A</v>
      </c>
      <c r="O141" s="7">
        <v>665</v>
      </c>
      <c r="P141" s="7">
        <v>1</v>
      </c>
      <c r="Q141" s="8">
        <f>O:O*P:P</f>
        <v>665</v>
      </c>
      <c r="R141" s="51"/>
      <c r="S141" s="51"/>
      <c r="T141" s="51"/>
      <c r="U141" s="51"/>
      <c r="V141" s="51"/>
      <c r="W141" s="51"/>
      <c r="X141" s="51"/>
      <c r="Y141" s="51"/>
      <c r="Z141" s="51"/>
      <c r="AA141" s="51"/>
    </row>
    <row r="142" spans="1:27" s="52" customFormat="1" ht="12.75" customHeight="1" x14ac:dyDescent="0.45">
      <c r="A142" s="24" t="s">
        <v>15</v>
      </c>
      <c r="B142" s="24"/>
      <c r="C142" s="148"/>
      <c r="D142" s="24" t="s">
        <v>61</v>
      </c>
      <c r="E142" s="24"/>
      <c r="F142" s="32" t="s">
        <v>3</v>
      </c>
      <c r="G142" s="32" t="s">
        <v>18</v>
      </c>
      <c r="H142" s="32"/>
      <c r="I142" s="24" t="str">
        <f>IF(G142="Mayfield","Yes",IF(G142="Royal Local","Yes",IF(A142="sysco","No",IF(G142="atlanta fresh","Yes",IF(G142="Springer Mountain","Yes",IF(G142="white oak Pastures","Yes",IF(G142="Southern Swiss", "Yes")))))))</f>
        <v>Yes</v>
      </c>
      <c r="J142" s="15" t="str">
        <f>IF(G142="Mayfield","No",IF(G142="Royal Local","No",IF(A142="sysco","No",IF(G142="Springer Mountain","No",IF(G142="white oak pastures","Yes",IF(G142="Southern Swiss","Yes"))))))</f>
        <v>No</v>
      </c>
      <c r="K142" s="24" t="s">
        <v>33</v>
      </c>
      <c r="L142" s="24" t="str">
        <f t="shared" si="17"/>
        <v>N/A</v>
      </c>
      <c r="M142" s="16" t="str">
        <f t="shared" si="18"/>
        <v>yes</v>
      </c>
      <c r="N142" s="42" t="str">
        <f t="shared" si="16"/>
        <v>Emory local &amp; raised w/o hormones</v>
      </c>
      <c r="O142" s="7">
        <v>2209.5300000000002</v>
      </c>
      <c r="P142" s="7">
        <v>1</v>
      </c>
      <c r="Q142" s="8">
        <f>O:O*P:P</f>
        <v>2209.5300000000002</v>
      </c>
      <c r="R142" s="51"/>
      <c r="S142" s="51"/>
      <c r="T142" s="51"/>
      <c r="U142" s="51"/>
      <c r="V142" s="51"/>
      <c r="W142" s="51"/>
      <c r="X142" s="51"/>
      <c r="Y142" s="51"/>
      <c r="Z142" s="51"/>
      <c r="AA142" s="51"/>
    </row>
    <row r="143" spans="1:27" ht="12.75" customHeight="1" x14ac:dyDescent="0.45">
      <c r="A143" s="167" t="s">
        <v>66</v>
      </c>
      <c r="B143" s="168">
        <v>804204</v>
      </c>
      <c r="C143" s="170">
        <v>42283</v>
      </c>
      <c r="D143" s="167" t="s">
        <v>61</v>
      </c>
      <c r="E143" s="167" t="s">
        <v>302</v>
      </c>
      <c r="F143" s="167" t="s">
        <v>1</v>
      </c>
      <c r="G143" s="167" t="s">
        <v>23</v>
      </c>
      <c r="H143" s="167" t="s">
        <v>153</v>
      </c>
      <c r="I143" s="167" t="str">
        <f>IF(G143="Mayfield","Yes",IF(G143="Royal Local","Yes",IF(A143="sysco","No",IF(G143="atlanta fresh","Yes",IF(G143="Springer Mountain","Yes",IF(G143="white oak Pastures","Yes",IF(G143="Southern Swiss", "Yes")))))))</f>
        <v>Yes</v>
      </c>
      <c r="J143" s="125" t="str">
        <f>IF(G143="Mayfield","No",IF(G143="Royal Local","No",IF(A143="sysco","No",IF(G143="Springer Mountain","No",IF(G143="white oak pastures","Yes",IF(G143="Southern Swiss","Yes"))))))</f>
        <v>Yes</v>
      </c>
      <c r="K143" s="167" t="str">
        <f>IF(G143="Mayfield","Yes", IF(G143="Royal Local","No",IF(G143="butterball", "yes",IF(G143="Springer Mountain","Yes",IF(G143="white oak pastures","Yes",IF(G143="Southern Swiss", "Yes", IF(G143="atlanta fresh", "yes")))))))</f>
        <v>Yes</v>
      </c>
      <c r="L143" s="167" t="s">
        <v>491</v>
      </c>
      <c r="M143" s="127" t="str">
        <f t="shared" si="18"/>
        <v>Yes</v>
      </c>
      <c r="N143" s="42" t="str">
        <f t="shared" si="16"/>
        <v>F2F &amp; grassfed</v>
      </c>
      <c r="O143" s="7">
        <v>685.8</v>
      </c>
      <c r="P143" s="7">
        <v>1</v>
      </c>
      <c r="Q143" s="8">
        <f>O:O*P:P</f>
        <v>685.8</v>
      </c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45">
      <c r="A144" s="167" t="s">
        <v>66</v>
      </c>
      <c r="B144" s="168">
        <v>802756</v>
      </c>
      <c r="C144" s="170">
        <v>42279</v>
      </c>
      <c r="D144" s="167" t="s">
        <v>61</v>
      </c>
      <c r="E144" s="167" t="s">
        <v>302</v>
      </c>
      <c r="F144" s="167" t="s">
        <v>1</v>
      </c>
      <c r="G144" s="167" t="s">
        <v>23</v>
      </c>
      <c r="H144" s="167" t="s">
        <v>67</v>
      </c>
      <c r="I144" s="167" t="str">
        <f>IF(G144="Mayfield","Yes",IF(G144="Royal Local","Yes",IF(A144="sysco","No",IF(G144="atlanta fresh","Yes",IF(G144="Springer Mountain","Yes",IF(G144="white oak Pastures","Yes",IF(G144="Southern Swiss", "Yes")))))))</f>
        <v>Yes</v>
      </c>
      <c r="J144" s="125" t="str">
        <f>IF(G144="Mayfield","No",IF(G144="Royal Local","No",IF(A144="sysco","No",IF(G144="Springer Mountain","No",IF(G144="white oak pastures","Yes",IF(G144="Southern Swiss","Yes"))))))</f>
        <v>Yes</v>
      </c>
      <c r="K144" s="167" t="str">
        <f>IF(G144="Mayfield","Yes", IF(G144="Royal Local","No",IF(G144="butterball", "yes",IF(G144="Springer Mountain","Yes",IF(G144="white oak pastures","Yes",IF(G144="Southern Swiss", "Yes", IF(G144="atlanta fresh", "yes")))))))</f>
        <v>Yes</v>
      </c>
      <c r="L144" s="167" t="s">
        <v>491</v>
      </c>
      <c r="M144" s="127" t="str">
        <f t="shared" si="18"/>
        <v>Yes</v>
      </c>
      <c r="N144" s="42" t="str">
        <f t="shared" si="16"/>
        <v>F2F &amp; grassfed</v>
      </c>
      <c r="O144" s="7">
        <v>2350.8000000000002</v>
      </c>
      <c r="P144" s="7">
        <v>1</v>
      </c>
      <c r="Q144" s="8">
        <f>O:O*P:P</f>
        <v>2350.8000000000002</v>
      </c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45">
      <c r="A145" s="167" t="s">
        <v>27</v>
      </c>
      <c r="B145" s="168">
        <v>8029267</v>
      </c>
      <c r="C145" s="170">
        <v>42279</v>
      </c>
      <c r="D145" s="167" t="s">
        <v>61</v>
      </c>
      <c r="E145" s="167" t="s">
        <v>302</v>
      </c>
      <c r="F145" s="167" t="s">
        <v>54</v>
      </c>
      <c r="G145" s="167" t="s">
        <v>27</v>
      </c>
      <c r="H145" s="167" t="s">
        <v>68</v>
      </c>
      <c r="I145" s="167" t="s">
        <v>33</v>
      </c>
      <c r="J145" s="125" t="s">
        <v>33</v>
      </c>
      <c r="K145" s="167" t="s">
        <v>20</v>
      </c>
      <c r="L145" s="167" t="str">
        <f t="shared" si="17"/>
        <v>seafood watch</v>
      </c>
      <c r="M145" s="127" t="str">
        <f t="shared" si="18"/>
        <v>no</v>
      </c>
      <c r="N145" s="42" t="str">
        <f t="shared" si="16"/>
        <v>N/A</v>
      </c>
      <c r="O145" s="7">
        <v>40.450000000000003</v>
      </c>
      <c r="P145" s="7">
        <v>3.81</v>
      </c>
      <c r="Q145" s="8">
        <f>O:O*P:P</f>
        <v>154.11450000000002</v>
      </c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45">
      <c r="A146" s="7" t="s">
        <v>28</v>
      </c>
      <c r="B146" s="7" t="s">
        <v>69</v>
      </c>
      <c r="C146" s="20">
        <v>42279</v>
      </c>
      <c r="D146" s="13" t="s">
        <v>61</v>
      </c>
      <c r="E146" s="6"/>
      <c r="F146" s="7" t="s">
        <v>70</v>
      </c>
      <c r="G146" s="7" t="s">
        <v>30</v>
      </c>
      <c r="H146" s="7" t="s">
        <v>71</v>
      </c>
      <c r="I146" s="16" t="str">
        <f t="shared" ref="I146:I163" si="19">IF(G146="Mayfield","Yes",IF(G146="Royal Local","Yes",IF(A146="sysco","No",IF(G146="atlanta fresh","Yes",IF(G146="Springer Mountain","Yes",IF(G146="white oak Pastures","Yes",IF(G146="Southern Swiss", "Yes")))))))</f>
        <v>Yes</v>
      </c>
      <c r="J146" s="15" t="str">
        <f t="shared" ref="J146:J149" si="20">IF(G146="Mayfield","No",IF(G146="Royal Local","No",IF(A146="sysco","No",IF(G146="Springer Mountain","No",IF(G146="white oak pastures","Yes",IF(G146="Southern Swiss","Yes"))))))</f>
        <v>No</v>
      </c>
      <c r="K146" s="16" t="str">
        <f t="shared" ref="K146:K152" si="21">IF(G146="Mayfield","Yes", IF(G146="Royal Local","No",IF(G146="butterball", "yes",IF(G146="Springer Mountain","Yes",IF(G146="white oak pastures","Yes",IF(G146="Southern Swiss", "Yes", IF(G146="atlanta fresh", "yes")))))))</f>
        <v>No</v>
      </c>
      <c r="L146" s="16" t="str">
        <f t="shared" si="17"/>
        <v>N/A</v>
      </c>
      <c r="M146" s="16" t="str">
        <f t="shared" si="18"/>
        <v>No</v>
      </c>
      <c r="N146" s="42" t="str">
        <f t="shared" si="16"/>
        <v>N/A</v>
      </c>
      <c r="O146" s="7">
        <v>334.1</v>
      </c>
      <c r="P146" s="7">
        <v>1</v>
      </c>
      <c r="Q146" s="8">
        <f>O:O*P:P</f>
        <v>334.1</v>
      </c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45">
      <c r="A147" s="7" t="s">
        <v>28</v>
      </c>
      <c r="B147" s="7" t="s">
        <v>72</v>
      </c>
      <c r="C147" s="20">
        <v>42279</v>
      </c>
      <c r="D147" s="5" t="s">
        <v>61</v>
      </c>
      <c r="E147" s="6"/>
      <c r="F147" s="7" t="s">
        <v>2</v>
      </c>
      <c r="G147" s="7" t="s">
        <v>30</v>
      </c>
      <c r="H147" s="7" t="s">
        <v>73</v>
      </c>
      <c r="I147" s="16" t="str">
        <f t="shared" si="19"/>
        <v>Yes</v>
      </c>
      <c r="J147" s="15" t="str">
        <f t="shared" si="20"/>
        <v>No</v>
      </c>
      <c r="K147" s="16" t="str">
        <f t="shared" si="21"/>
        <v>No</v>
      </c>
      <c r="L147" s="16" t="str">
        <f t="shared" si="17"/>
        <v>N/A</v>
      </c>
      <c r="M147" s="16" t="str">
        <f t="shared" si="18"/>
        <v>No</v>
      </c>
      <c r="N147" s="42" t="str">
        <f t="shared" si="16"/>
        <v>N/A</v>
      </c>
      <c r="O147" s="7">
        <f>71.8+71.8+29.92</f>
        <v>173.51999999999998</v>
      </c>
      <c r="P147" s="7">
        <v>1</v>
      </c>
      <c r="Q147" s="8">
        <f>O:O*P:P</f>
        <v>173.51999999999998</v>
      </c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45">
      <c r="A148" s="22" t="s">
        <v>28</v>
      </c>
      <c r="B148" s="7" t="s">
        <v>72</v>
      </c>
      <c r="C148" s="20">
        <v>42279</v>
      </c>
      <c r="D148" s="13" t="s">
        <v>61</v>
      </c>
      <c r="E148" s="6"/>
      <c r="F148" s="7" t="s">
        <v>2</v>
      </c>
      <c r="G148" s="7" t="s">
        <v>30</v>
      </c>
      <c r="H148" s="7" t="s">
        <v>74</v>
      </c>
      <c r="I148" s="16" t="str">
        <f t="shared" si="19"/>
        <v>Yes</v>
      </c>
      <c r="J148" s="15" t="str">
        <f t="shared" si="20"/>
        <v>No</v>
      </c>
      <c r="K148" s="16" t="str">
        <f t="shared" si="21"/>
        <v>No</v>
      </c>
      <c r="L148" s="16" t="str">
        <f t="shared" si="17"/>
        <v>N/A</v>
      </c>
      <c r="M148" s="16" t="str">
        <f t="shared" si="18"/>
        <v>No</v>
      </c>
      <c r="N148" s="42" t="str">
        <f t="shared" si="16"/>
        <v>N/A</v>
      </c>
      <c r="O148" s="7">
        <f>65.1+59.7+61.1+226.6+19.65+154.08+64.65</f>
        <v>650.88</v>
      </c>
      <c r="P148" s="7">
        <v>1</v>
      </c>
      <c r="Q148" s="8">
        <f>O:O*P:P</f>
        <v>650.88</v>
      </c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45">
      <c r="A149" s="7" t="s">
        <v>28</v>
      </c>
      <c r="B149" s="7" t="s">
        <v>75</v>
      </c>
      <c r="C149" s="20">
        <v>42282</v>
      </c>
      <c r="D149" s="5" t="s">
        <v>61</v>
      </c>
      <c r="E149" s="6"/>
      <c r="F149" s="7" t="s">
        <v>2</v>
      </c>
      <c r="G149" s="7" t="s">
        <v>30</v>
      </c>
      <c r="H149" s="7" t="s">
        <v>76</v>
      </c>
      <c r="I149" s="16" t="str">
        <f t="shared" si="19"/>
        <v>Yes</v>
      </c>
      <c r="J149" s="15" t="str">
        <f t="shared" si="20"/>
        <v>No</v>
      </c>
      <c r="K149" s="16" t="str">
        <f t="shared" si="21"/>
        <v>No</v>
      </c>
      <c r="L149" s="16" t="str">
        <f t="shared" si="17"/>
        <v>N/A</v>
      </c>
      <c r="M149" s="16" t="str">
        <f t="shared" si="18"/>
        <v>No</v>
      </c>
      <c r="N149" s="42" t="str">
        <f t="shared" si="16"/>
        <v>N/A</v>
      </c>
      <c r="O149" s="7">
        <f>111.75+19.65+56.79+154.08+64.65+56.55+51.7+90.66+90.66</f>
        <v>696.4899999999999</v>
      </c>
      <c r="P149" s="7">
        <v>1</v>
      </c>
      <c r="Q149" s="8">
        <f>O:O*P:P</f>
        <v>696.4899999999999</v>
      </c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45">
      <c r="A150" s="35" t="s">
        <v>28</v>
      </c>
      <c r="B150" s="35" t="s">
        <v>77</v>
      </c>
      <c r="C150" s="23">
        <v>42280</v>
      </c>
      <c r="D150" s="24" t="s">
        <v>61</v>
      </c>
      <c r="E150" s="10"/>
      <c r="F150" s="35" t="s">
        <v>2</v>
      </c>
      <c r="G150" s="35" t="s">
        <v>30</v>
      </c>
      <c r="H150" s="35" t="s">
        <v>78</v>
      </c>
      <c r="I150" s="24" t="str">
        <f t="shared" si="19"/>
        <v>Yes</v>
      </c>
      <c r="J150" s="15" t="str">
        <f>IF(G150="Mayfield","No",IF(G150="Royal Local","No",IF(A150="sysco","No",IF(G150="Springer Mountain","No",IF(G150="white oak pastures","Yes",IF(G150="Southern Swiss","Yes",IF(G150="atlanta fresh", "yes")))))))</f>
        <v>No</v>
      </c>
      <c r="K150" s="24" t="str">
        <f t="shared" si="21"/>
        <v>No</v>
      </c>
      <c r="L150" s="24" t="str">
        <f t="shared" si="17"/>
        <v>N/A</v>
      </c>
      <c r="M150" s="16" t="str">
        <f t="shared" si="18"/>
        <v>No</v>
      </c>
      <c r="N150" s="42" t="str">
        <f t="shared" si="16"/>
        <v>N/A</v>
      </c>
      <c r="O150" s="7">
        <f>97.65+97.65+91.65+90.64+19.65+18.93+154.08+64.65+25.85+43.08+43.08+343.35</f>
        <v>1090.2600000000002</v>
      </c>
      <c r="P150" s="7">
        <v>1</v>
      </c>
      <c r="Q150" s="8">
        <f>O:O*P:P</f>
        <v>1090.2600000000002</v>
      </c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45">
      <c r="A151" s="167" t="s">
        <v>28</v>
      </c>
      <c r="B151" s="168" t="s">
        <v>77</v>
      </c>
      <c r="C151" s="170">
        <v>42280</v>
      </c>
      <c r="D151" s="167" t="s">
        <v>61</v>
      </c>
      <c r="E151" s="167" t="s">
        <v>302</v>
      </c>
      <c r="F151" s="167" t="s">
        <v>3</v>
      </c>
      <c r="G151" s="167" t="s">
        <v>34</v>
      </c>
      <c r="H151" s="167" t="s">
        <v>79</v>
      </c>
      <c r="I151" s="167" t="str">
        <f t="shared" si="19"/>
        <v>Yes</v>
      </c>
      <c r="J151" s="125" t="s">
        <v>20</v>
      </c>
      <c r="K151" s="167" t="s">
        <v>33</v>
      </c>
      <c r="L151" s="167" t="str">
        <f t="shared" ref="L151" si="22">IF(K151="No","N/A",IF(G151="mayfield","raised w/o hormones",IF(G151="springer mountain","raised w/o antibiotics",IF(G151="white oak pastures","grassfed",IF(G151="inland","seafood watch",IF(G151="atlanta fresh","raised w/o hormones",IF(G151="southern swiss","raised w/o hormones)))))))")))))))</f>
        <v>N/A</v>
      </c>
      <c r="M151" s="127" t="str">
        <f>IF(G151="white oak pastures", "Yes",IF(G151="mayfield","yes",IF(G151="oxford farm","yes",IF(K151="No","No", IF(I151="no", "no", IF(G151="springer mountain", "yes", IF(G151="atlanta fresh","yes")))))))</f>
        <v>No</v>
      </c>
      <c r="N151" s="42" t="str">
        <f t="shared" si="16"/>
        <v>N/A</v>
      </c>
      <c r="O151" s="7">
        <f>146.76+256.83</f>
        <v>403.59</v>
      </c>
      <c r="P151" s="7">
        <v>1</v>
      </c>
      <c r="Q151" s="8">
        <f>O:O*P:P</f>
        <v>403.59</v>
      </c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45">
      <c r="A152" s="32" t="s">
        <v>28</v>
      </c>
      <c r="B152" s="32" t="s">
        <v>80</v>
      </c>
      <c r="C152" s="108">
        <v>42285</v>
      </c>
      <c r="D152" s="24" t="s">
        <v>61</v>
      </c>
      <c r="E152" s="24"/>
      <c r="F152" s="32" t="s">
        <v>2</v>
      </c>
      <c r="G152" s="32" t="s">
        <v>30</v>
      </c>
      <c r="H152" s="32" t="s">
        <v>81</v>
      </c>
      <c r="I152" s="24" t="str">
        <f t="shared" si="19"/>
        <v>Yes</v>
      </c>
      <c r="J152" s="15" t="str">
        <f>IF(G152="Mayfield","No",IF(G152="Royal Local","No",IF(A152="sysco","No",IF(G152="Springer Mountain","No",IF(G152="white oak pastures","Yes",IF(G152="Southern Swiss","Yes"))))))</f>
        <v>No</v>
      </c>
      <c r="K152" s="24" t="str">
        <f t="shared" si="21"/>
        <v>No</v>
      </c>
      <c r="L152" s="24" t="str">
        <f t="shared" si="17"/>
        <v>N/A</v>
      </c>
      <c r="M152" s="16" t="str">
        <f>IF(G152="white oak pastures", "Yes",IF(G152="mayfield","yes",IF(G152="oxford farm","yes",IF(K152="No","No", IF(I152="no", "no", IF(G152="springer mountain", "yes", IF(G152="atlanta fresh","yes)))))))")))))))</f>
        <v>No</v>
      </c>
      <c r="N152" s="42" t="str">
        <f t="shared" si="16"/>
        <v>N/A</v>
      </c>
      <c r="O152" s="7">
        <f>30.55+30.55+19.65+16.05+98.75+154.08+43.1+25.85+30.22+30.22</f>
        <v>479.0200000000001</v>
      </c>
      <c r="P152" s="7">
        <v>1</v>
      </c>
      <c r="Q152" s="8">
        <f>O:O*P:P</f>
        <v>479.0200000000001</v>
      </c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45">
      <c r="A153" s="167" t="s">
        <v>28</v>
      </c>
      <c r="B153" s="168" t="s">
        <v>80</v>
      </c>
      <c r="C153" s="170">
        <v>42285</v>
      </c>
      <c r="D153" s="167" t="s">
        <v>61</v>
      </c>
      <c r="E153" s="167" t="s">
        <v>302</v>
      </c>
      <c r="F153" s="167" t="s">
        <v>3</v>
      </c>
      <c r="G153" s="167" t="s">
        <v>34</v>
      </c>
      <c r="H153" s="167" t="s">
        <v>79</v>
      </c>
      <c r="I153" s="167" t="str">
        <f t="shared" si="19"/>
        <v>Yes</v>
      </c>
      <c r="J153" s="125" t="s">
        <v>20</v>
      </c>
      <c r="K153" s="167" t="s">
        <v>33</v>
      </c>
      <c r="L153" s="167" t="str">
        <f t="shared" ref="L153" si="23">IF(K153="No","N/A",IF(G153="mayfield","raised w/o hormones",IF(G153="springer mountain","raised w/o antibiotics",IF(G153="white oak pastures","grassfed",IF(G153="inland","seafood watch",IF(G153="atlanta fresh","raised w/o hormones",IF(G153="southern swiss","raised w/o hormones)))))))")))))))</f>
        <v>N/A</v>
      </c>
      <c r="M153" s="127" t="str">
        <f t="shared" ref="M153:M163" si="24">IF(G153="white oak pastures", "Yes",IF(G153="mayfield","yes",IF(G153="oxford farm","yes",IF(K153="No","No", IF(I153="no", "no", IF(G153="springer mountain", "yes", IF(G153="atlanta fresh","yes")))))))</f>
        <v>No</v>
      </c>
      <c r="N153" s="42" t="str">
        <f t="shared" si="16"/>
        <v>N/A</v>
      </c>
      <c r="O153" s="7">
        <v>183.45</v>
      </c>
      <c r="P153" s="7">
        <v>1</v>
      </c>
      <c r="Q153" s="8">
        <f>O:O*P:P</f>
        <v>183.45</v>
      </c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45">
      <c r="A154" s="167" t="s">
        <v>52</v>
      </c>
      <c r="B154" s="168"/>
      <c r="C154" s="168" t="s">
        <v>53</v>
      </c>
      <c r="D154" s="167" t="s">
        <v>61</v>
      </c>
      <c r="E154" s="167" t="s">
        <v>302</v>
      </c>
      <c r="F154" s="167" t="s">
        <v>54</v>
      </c>
      <c r="G154" s="167" t="s">
        <v>55</v>
      </c>
      <c r="H154" s="167" t="s">
        <v>82</v>
      </c>
      <c r="I154" s="167" t="str">
        <f t="shared" si="19"/>
        <v>No</v>
      </c>
      <c r="J154" s="125" t="str">
        <f>IF(G154="Mayfield","No",IF(G154="Royal Local","No",IF(A154="sysco","No",IF(G154="Springer Mountain","No",IF(G154="white oak pastures","Yes",IF(G154="Southern Swiss","Yes"))))))</f>
        <v>No</v>
      </c>
      <c r="K154" s="167" t="s">
        <v>20</v>
      </c>
      <c r="L154" s="167" t="s">
        <v>57</v>
      </c>
      <c r="M154" s="127" t="str">
        <f t="shared" si="24"/>
        <v>no</v>
      </c>
      <c r="N154" s="42" t="str">
        <f t="shared" si="16"/>
        <v>N/A</v>
      </c>
      <c r="O154" s="7">
        <v>308.85000000000002</v>
      </c>
      <c r="P154" s="7">
        <v>1</v>
      </c>
      <c r="Q154" s="8">
        <f>O:O*P:P</f>
        <v>308.85000000000002</v>
      </c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45">
      <c r="A155" s="167" t="s">
        <v>52</v>
      </c>
      <c r="B155" s="168"/>
      <c r="C155" s="168" t="s">
        <v>53</v>
      </c>
      <c r="D155" s="167" t="s">
        <v>61</v>
      </c>
      <c r="E155" s="167" t="s">
        <v>302</v>
      </c>
      <c r="F155" s="167" t="s">
        <v>54</v>
      </c>
      <c r="G155" s="167" t="s">
        <v>58</v>
      </c>
      <c r="H155" s="167" t="s">
        <v>83</v>
      </c>
      <c r="I155" s="167" t="str">
        <f t="shared" si="19"/>
        <v>No</v>
      </c>
      <c r="J155" s="125" t="str">
        <f>IF(G155="Mayfield","No",IF(G155="Royal Local","No",IF(A155="sysco","No",IF(G155="Springer Mountain","No",IF(G155="white oak pastures","Yes",IF(G155="Southern Swiss","Yes"))))))</f>
        <v>No</v>
      </c>
      <c r="K155" s="167" t="s">
        <v>20</v>
      </c>
      <c r="L155" s="167" t="s">
        <v>57</v>
      </c>
      <c r="M155" s="127" t="str">
        <f t="shared" si="24"/>
        <v>no</v>
      </c>
      <c r="N155" s="42" t="str">
        <f t="shared" si="16"/>
        <v>N/A</v>
      </c>
      <c r="O155" s="7">
        <v>289.36</v>
      </c>
      <c r="P155" s="7">
        <v>1</v>
      </c>
      <c r="Q155" s="8">
        <f>O:O*P:P</f>
        <v>289.36</v>
      </c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45">
      <c r="A156" s="32" t="s">
        <v>28</v>
      </c>
      <c r="B156" s="32" t="s">
        <v>84</v>
      </c>
      <c r="C156" s="108">
        <v>42284</v>
      </c>
      <c r="D156" s="24" t="s">
        <v>61</v>
      </c>
      <c r="E156" s="24"/>
      <c r="F156" s="32" t="s">
        <v>2</v>
      </c>
      <c r="G156" s="32" t="s">
        <v>30</v>
      </c>
      <c r="H156" s="32" t="s">
        <v>85</v>
      </c>
      <c r="I156" s="24" t="str">
        <f t="shared" si="19"/>
        <v>Yes</v>
      </c>
      <c r="J156" s="15" t="str">
        <f>IF(G156="Mayfield","No",IF(G156="Royal Local","No",IF(A156="sysco","No",IF(G156="Springer Mountain","No",IF(G156="white oak pastures","Yes",IF(G156="Southern Swiss","Yes"))))))</f>
        <v>No</v>
      </c>
      <c r="K156" s="24" t="str">
        <f t="shared" ref="K156:K161" si="25">IF(G156="Mayfield","Yes", IF(G156="Royal Local","No",IF(G156="butterball", "yes",IF(G156="Springer Mountain","Yes",IF(G156="white oak pastures","Yes",IF(G156="Southern Swiss", "Yes", IF(G156="atlanta fresh", "yes")))))))</f>
        <v>No</v>
      </c>
      <c r="L156" s="24" t="str">
        <f t="shared" ref="L156:L163" si="26">IF(K156="No","N/A",IF(G156="mayfield","raised w/o hormones",IF(G156="springer mountain","raised w/o antibiotics",IF(G156="white oak pastures","grassfed",IF(G156="inland","seafood watch",IF(G156="atlanta fresh","raised w/o hormones",IF(G156="southern swiss","raised w/o hormones)))))))")))))))</f>
        <v>N/A</v>
      </c>
      <c r="M156" s="16" t="str">
        <f t="shared" si="24"/>
        <v>No</v>
      </c>
      <c r="N156" s="42" t="str">
        <f t="shared" si="16"/>
        <v>N/A</v>
      </c>
      <c r="O156" s="7">
        <v>61.18</v>
      </c>
      <c r="P156" s="7">
        <v>1</v>
      </c>
      <c r="Q156" s="8">
        <f>O:O*P:P</f>
        <v>61.18</v>
      </c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45">
      <c r="A157" s="167" t="s">
        <v>28</v>
      </c>
      <c r="B157" s="168" t="s">
        <v>84</v>
      </c>
      <c r="C157" s="170">
        <v>42284</v>
      </c>
      <c r="D157" s="167" t="s">
        <v>61</v>
      </c>
      <c r="E157" s="167" t="s">
        <v>302</v>
      </c>
      <c r="F157" s="167" t="s">
        <v>3</v>
      </c>
      <c r="G157" s="167" t="s">
        <v>34</v>
      </c>
      <c r="H157" s="167" t="s">
        <v>86</v>
      </c>
      <c r="I157" s="167" t="str">
        <f t="shared" si="19"/>
        <v>Yes</v>
      </c>
      <c r="J157" s="125" t="s">
        <v>20</v>
      </c>
      <c r="K157" s="167" t="s">
        <v>33</v>
      </c>
      <c r="L157" s="167" t="str">
        <f t="shared" si="26"/>
        <v>N/A</v>
      </c>
      <c r="M157" s="127" t="str">
        <f t="shared" si="24"/>
        <v>No</v>
      </c>
      <c r="N157" s="42" t="str">
        <f t="shared" si="16"/>
        <v>N/A</v>
      </c>
      <c r="O157" s="7">
        <v>110.07</v>
      </c>
      <c r="P157" s="7">
        <v>1</v>
      </c>
      <c r="Q157" s="8">
        <f>O:O*P:P</f>
        <v>110.07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45">
      <c r="A158" s="27" t="s">
        <v>28</v>
      </c>
      <c r="B158" s="27" t="s">
        <v>87</v>
      </c>
      <c r="C158" s="33">
        <v>42285</v>
      </c>
      <c r="D158" s="16" t="s">
        <v>61</v>
      </c>
      <c r="E158" s="16"/>
      <c r="F158" s="27" t="s">
        <v>2</v>
      </c>
      <c r="G158" s="27" t="s">
        <v>30</v>
      </c>
      <c r="H158" s="27" t="s">
        <v>88</v>
      </c>
      <c r="I158" s="16" t="str">
        <f t="shared" si="19"/>
        <v>Yes</v>
      </c>
      <c r="J158" s="15" t="str">
        <f>IF(G158="Mayfield","No",IF(G158="Royal Local","No",IF(A158="sysco","No",IF(G158="Springer Mountain","No",IF(G158="white oak pastures","Yes",IF(G158="Southern Swiss","Yes"))))))</f>
        <v>No</v>
      </c>
      <c r="K158" s="16" t="str">
        <f t="shared" si="25"/>
        <v>No</v>
      </c>
      <c r="L158" s="16" t="str">
        <f t="shared" si="26"/>
        <v>N/A</v>
      </c>
      <c r="M158" s="16" t="str">
        <f t="shared" si="24"/>
        <v>No</v>
      </c>
      <c r="N158" s="42" t="str">
        <f t="shared" si="16"/>
        <v>N/A</v>
      </c>
      <c r="O158" s="7">
        <v>140</v>
      </c>
      <c r="P158" s="7">
        <v>1</v>
      </c>
      <c r="Q158" s="8">
        <f>O:O*P:P</f>
        <v>140</v>
      </c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45">
      <c r="A159" s="7" t="s">
        <v>28</v>
      </c>
      <c r="B159" s="7" t="s">
        <v>89</v>
      </c>
      <c r="C159" s="20">
        <v>42283</v>
      </c>
      <c r="D159" s="13" t="s">
        <v>61</v>
      </c>
      <c r="E159" s="6"/>
      <c r="F159" s="7" t="s">
        <v>2</v>
      </c>
      <c r="G159" s="7" t="s">
        <v>30</v>
      </c>
      <c r="H159" s="7" t="s">
        <v>90</v>
      </c>
      <c r="I159" s="16" t="str">
        <f t="shared" si="19"/>
        <v>Yes</v>
      </c>
      <c r="J159" s="15" t="str">
        <f>IF(G159="Mayfield","No",IF(G159="Royal Local","No",IF(A159="sysco","No",IF(G159="Springer Mountain","No",IF(G159="white oak pastures","Yes",IF(G159="Southern Swiss","Yes"))))))</f>
        <v>No</v>
      </c>
      <c r="K159" s="16" t="str">
        <f t="shared" si="25"/>
        <v>No</v>
      </c>
      <c r="L159" s="16" t="str">
        <f t="shared" si="26"/>
        <v>N/A</v>
      </c>
      <c r="M159" s="16" t="str">
        <f t="shared" si="24"/>
        <v>No</v>
      </c>
      <c r="N159" s="42" t="str">
        <f t="shared" si="16"/>
        <v>N/A</v>
      </c>
      <c r="O159" s="7">
        <f>61.1+61.1+271.92+48.15+39.3+192.6+43.1+37.7+45.33+228.9</f>
        <v>1029.2</v>
      </c>
      <c r="P159" s="7">
        <v>1</v>
      </c>
      <c r="Q159" s="8">
        <f>O:O*P:P</f>
        <v>1029.2</v>
      </c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45">
      <c r="A160" s="7" t="s">
        <v>28</v>
      </c>
      <c r="B160" s="7" t="s">
        <v>91</v>
      </c>
      <c r="C160" s="20">
        <v>42284</v>
      </c>
      <c r="D160" s="5" t="s">
        <v>61</v>
      </c>
      <c r="E160" s="6"/>
      <c r="F160" s="7" t="s">
        <v>2</v>
      </c>
      <c r="G160" s="7" t="s">
        <v>30</v>
      </c>
      <c r="H160" s="7" t="s">
        <v>92</v>
      </c>
      <c r="I160" s="16" t="str">
        <f t="shared" si="19"/>
        <v>Yes</v>
      </c>
      <c r="J160" s="15" t="str">
        <f>IF(G160="Mayfield","No",IF(G160="Royal Local","No",IF(A160="sysco","No",IF(G160="Springer Mountain","No",IF(G160="white oak pastures","Yes",IF(G160="Southern Swiss","Yes"))))))</f>
        <v>No</v>
      </c>
      <c r="K160" s="16" t="str">
        <f t="shared" si="25"/>
        <v>No</v>
      </c>
      <c r="L160" s="16" t="str">
        <f t="shared" si="26"/>
        <v>N/A</v>
      </c>
      <c r="M160" s="16" t="str">
        <f t="shared" si="24"/>
        <v>No</v>
      </c>
      <c r="N160" s="42" t="str">
        <f t="shared" si="16"/>
        <v>N/A</v>
      </c>
      <c r="O160" s="7">
        <f>179.76+64.65+31.35+37.7+60.44+60.44+228.9</f>
        <v>663.24</v>
      </c>
      <c r="P160" s="7">
        <v>1</v>
      </c>
      <c r="Q160" s="8">
        <f>O:O*P:P</f>
        <v>663.24</v>
      </c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45">
      <c r="A161" s="35" t="s">
        <v>28</v>
      </c>
      <c r="B161" s="35" t="s">
        <v>91</v>
      </c>
      <c r="C161" s="23">
        <v>42284</v>
      </c>
      <c r="D161" s="24" t="s">
        <v>61</v>
      </c>
      <c r="E161" s="10"/>
      <c r="F161" s="35" t="s">
        <v>2</v>
      </c>
      <c r="G161" s="35" t="s">
        <v>30</v>
      </c>
      <c r="H161" s="35" t="s">
        <v>93</v>
      </c>
      <c r="I161" s="24" t="str">
        <f t="shared" si="19"/>
        <v>Yes</v>
      </c>
      <c r="J161" s="15" t="str">
        <f>IF(G161="Mayfield","No",IF(G161="Royal Local","No",IF(A161="sysco","No",IF(G161="Springer Mountain","No",IF(G161="white oak pastures","Yes",IF(G161="Southern Swiss","Yes"))))))</f>
        <v>No</v>
      </c>
      <c r="K161" s="24" t="str">
        <f t="shared" si="25"/>
        <v>No</v>
      </c>
      <c r="L161" s="24" t="str">
        <f t="shared" si="26"/>
        <v>N/A</v>
      </c>
      <c r="M161" s="16" t="str">
        <f t="shared" si="24"/>
        <v>No</v>
      </c>
      <c r="N161" s="42" t="str">
        <f t="shared" si="16"/>
        <v>N/A</v>
      </c>
      <c r="O161" s="7">
        <f>91.65+45.32+16.05+19.65+56.79</f>
        <v>229.46</v>
      </c>
      <c r="P161" s="7">
        <v>1</v>
      </c>
      <c r="Q161" s="8">
        <f>O:O*P:P</f>
        <v>229.46</v>
      </c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45">
      <c r="A162" s="167" t="s">
        <v>28</v>
      </c>
      <c r="B162" s="168" t="s">
        <v>91</v>
      </c>
      <c r="C162" s="170">
        <v>42284</v>
      </c>
      <c r="D162" s="167" t="s">
        <v>61</v>
      </c>
      <c r="E162" s="167" t="s">
        <v>302</v>
      </c>
      <c r="F162" s="167" t="s">
        <v>3</v>
      </c>
      <c r="G162" s="167" t="s">
        <v>34</v>
      </c>
      <c r="H162" s="167" t="s">
        <v>86</v>
      </c>
      <c r="I162" s="167" t="str">
        <f t="shared" si="19"/>
        <v>Yes</v>
      </c>
      <c r="J162" s="125" t="s">
        <v>20</v>
      </c>
      <c r="K162" s="167" t="s">
        <v>33</v>
      </c>
      <c r="L162" s="167" t="str">
        <f t="shared" si="26"/>
        <v>N/A</v>
      </c>
      <c r="M162" s="127" t="str">
        <f t="shared" si="24"/>
        <v>No</v>
      </c>
      <c r="N162" s="42" t="str">
        <f t="shared" si="16"/>
        <v>N/A</v>
      </c>
      <c r="O162" s="7">
        <v>183.45</v>
      </c>
      <c r="P162" s="7">
        <v>1</v>
      </c>
      <c r="Q162" s="8">
        <f>O:O*P:P</f>
        <v>183.45</v>
      </c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45">
      <c r="A163" s="167" t="s">
        <v>28</v>
      </c>
      <c r="B163" s="168" t="s">
        <v>94</v>
      </c>
      <c r="C163" s="170">
        <v>42283</v>
      </c>
      <c r="D163" s="167" t="s">
        <v>61</v>
      </c>
      <c r="E163" s="167" t="s">
        <v>302</v>
      </c>
      <c r="F163" s="167" t="s">
        <v>3</v>
      </c>
      <c r="G163" s="167" t="s">
        <v>34</v>
      </c>
      <c r="H163" s="167" t="s">
        <v>86</v>
      </c>
      <c r="I163" s="167" t="str">
        <f t="shared" si="19"/>
        <v>Yes</v>
      </c>
      <c r="J163" s="90" t="s">
        <v>59</v>
      </c>
      <c r="K163" s="167" t="s">
        <v>33</v>
      </c>
      <c r="L163" s="167" t="str">
        <f t="shared" si="26"/>
        <v>N/A</v>
      </c>
      <c r="M163" s="128" t="str">
        <f t="shared" si="24"/>
        <v>No</v>
      </c>
      <c r="N163" s="43" t="str">
        <f t="shared" si="16"/>
        <v>N/A</v>
      </c>
      <c r="O163" s="11">
        <v>366.9</v>
      </c>
      <c r="P163" s="11">
        <v>1</v>
      </c>
      <c r="Q163" s="12">
        <f>O:O*P:P</f>
        <v>366.9</v>
      </c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s="52" customFormat="1" ht="12.75" customHeight="1" x14ac:dyDescent="0.45">
      <c r="A164" s="32" t="s">
        <v>15</v>
      </c>
      <c r="B164" s="146"/>
      <c r="C164" s="32" t="s">
        <v>53</v>
      </c>
      <c r="D164" s="32" t="s">
        <v>95</v>
      </c>
      <c r="E164" s="24"/>
      <c r="F164" s="32" t="s">
        <v>3</v>
      </c>
      <c r="G164" s="32" t="s">
        <v>18</v>
      </c>
      <c r="H164" s="32"/>
      <c r="I164" s="24" t="str">
        <f>IF(G164="Mayfield","Yes",IF(G164="Royal Local","Yes",IF(A164="sysco","No",IF(G164="atlanta fresh","Yes",IF(G164="Springer Mountain","Yes",IF(G164="white oak Pastures","Yes",IF(G164="Southern Swiss", "Yes")))))))</f>
        <v>Yes</v>
      </c>
      <c r="J164" s="15" t="str">
        <f>IF(G164="Mayfield","No",IF(G164="Royal Local","No",IF(A164="sysco","No",IF(G164="Springer Mountain","No",IF(G164="white oak pastures","Yes",IF(G164="Southern Swiss","Yes"))))))</f>
        <v>No</v>
      </c>
      <c r="K164" s="24" t="s">
        <v>33</v>
      </c>
      <c r="L164" s="24" t="str">
        <f>IF(K164="No","N/A",IF(G164="mayfield","raised w/o hormones",IF(G164="springer mountain","raised w/o antibiotics",IF(G164="white oak pastures","grassfed",IF(G164="inland","seafood watch",IF(G164="atlanta fresh","raised w/o hormones",IF(G164="southern swiss","raised w/o hormones)))))))")))))))</f>
        <v>N/A</v>
      </c>
      <c r="M164" s="16" t="str">
        <f t="shared" ref="M164:M181" si="27">IF(G164="white oak pastures", "Yes",IF(G164="mayfield","yes",IF(G164="oxford farm","yes",IF(K164="No","No", IF(I164="no", "no", IF(G164="springer mountain", "yes", IF(G164="atlanta fresh","yes")))))))</f>
        <v>yes</v>
      </c>
      <c r="N164" s="42" t="str">
        <f t="shared" ref="N164:N181" si="28">IF(M164="No","N/A",IF(G164="Springer Mountain","Emory Local&amp; raised w/o antibiotics)",IF(G164="mayfield","Emory local &amp; raised w/o hormones",IF(G164="white oak pastures","F2F &amp; grassfed",IF(G164="atlanta fresh","F2F &amp; raised w/o hormones",IF(G164="southern swiss", "yes", IF(G164="batdorf &amp; bronson", "Emory Local &amp; fair trade")))))))</f>
        <v>Emory local &amp; raised w/o hormones</v>
      </c>
      <c r="O164" s="7">
        <v>1846.49</v>
      </c>
      <c r="P164" s="7">
        <v>1</v>
      </c>
      <c r="Q164" s="27">
        <f>O:O*P:P</f>
        <v>1846.49</v>
      </c>
      <c r="R164" s="51"/>
      <c r="S164" s="51"/>
      <c r="T164" s="51"/>
      <c r="U164" s="51"/>
      <c r="V164" s="51"/>
      <c r="W164" s="51"/>
      <c r="X164" s="51"/>
      <c r="Y164" s="51"/>
      <c r="Z164" s="51"/>
      <c r="AA164" s="51"/>
    </row>
    <row r="165" spans="1:27" ht="12.75" customHeight="1" x14ac:dyDescent="0.45">
      <c r="A165" s="167" t="s">
        <v>60</v>
      </c>
      <c r="B165" s="168">
        <v>25716</v>
      </c>
      <c r="C165" s="170">
        <v>42289</v>
      </c>
      <c r="D165" s="167" t="s">
        <v>95</v>
      </c>
      <c r="E165" s="167" t="s">
        <v>302</v>
      </c>
      <c r="F165" s="167" t="s">
        <v>4</v>
      </c>
      <c r="G165" s="167" t="s">
        <v>62</v>
      </c>
      <c r="H165" s="167" t="s">
        <v>96</v>
      </c>
      <c r="I165" s="167" t="s">
        <v>33</v>
      </c>
      <c r="J165" s="125" t="s">
        <v>33</v>
      </c>
      <c r="K165" s="167" t="s">
        <v>59</v>
      </c>
      <c r="L165" s="167" t="s">
        <v>63</v>
      </c>
      <c r="M165" s="127" t="str">
        <f t="shared" si="27"/>
        <v>no</v>
      </c>
      <c r="N165" s="42" t="str">
        <f t="shared" si="28"/>
        <v>N/A</v>
      </c>
      <c r="O165" s="7">
        <v>351</v>
      </c>
      <c r="P165" s="7">
        <v>1</v>
      </c>
      <c r="Q165" s="27">
        <f>O:O*P:P</f>
        <v>351</v>
      </c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45">
      <c r="A166" s="167" t="s">
        <v>66</v>
      </c>
      <c r="B166" s="168">
        <v>805743</v>
      </c>
      <c r="C166" s="170">
        <v>42286</v>
      </c>
      <c r="D166" s="167" t="s">
        <v>95</v>
      </c>
      <c r="E166" s="167" t="s">
        <v>302</v>
      </c>
      <c r="F166" s="167" t="s">
        <v>1</v>
      </c>
      <c r="G166" s="167" t="s">
        <v>23</v>
      </c>
      <c r="H166" s="167" t="s">
        <v>67</v>
      </c>
      <c r="I166" s="167" t="str">
        <f>IF(G166="Mayfield","Yes",IF(G166="Royal Local","Yes",IF(A166="sysco","No",IF(G166="atlanta fresh","Yes",IF(G166="Springer Mountain","Yes",IF(G166="white oak Pastures","Yes",IF(G166="Southern Swiss", "Yes")))))))</f>
        <v>Yes</v>
      </c>
      <c r="J166" s="125" t="str">
        <f>IF(G166="Mayfield","No",IF(G166="Royal Local","No",IF(A166="sysco","No",IF(G166="Springer Mountain","No",IF(G166="white oak pastures","Yes",IF(G166="Southern Swiss","Yes"))))))</f>
        <v>Yes</v>
      </c>
      <c r="K166" s="167" t="str">
        <f>IF(G166="Mayfield","Yes", IF(G166="Royal Local","No",IF(G166="butterball", "yes",IF(G166="Springer Mountain","Yes",IF(G166="white oak pastures","Yes",IF(G166="Southern Swiss", "Yes", IF(G166="atlanta fresh", "yes")))))))</f>
        <v>Yes</v>
      </c>
      <c r="L166" s="167" t="s">
        <v>491</v>
      </c>
      <c r="M166" s="127" t="str">
        <f t="shared" si="27"/>
        <v>Yes</v>
      </c>
      <c r="N166" s="42" t="str">
        <f t="shared" si="28"/>
        <v>F2F &amp; grassfed</v>
      </c>
      <c r="O166" s="7">
        <v>2350.8000000000002</v>
      </c>
      <c r="P166" s="7">
        <v>1</v>
      </c>
      <c r="Q166" s="27">
        <f>O:O*P:P</f>
        <v>2350.8000000000002</v>
      </c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45">
      <c r="A167" s="167" t="s">
        <v>27</v>
      </c>
      <c r="B167" s="168">
        <v>8047255</v>
      </c>
      <c r="C167" s="170">
        <v>42290</v>
      </c>
      <c r="D167" s="167" t="s">
        <v>95</v>
      </c>
      <c r="E167" s="167" t="s">
        <v>302</v>
      </c>
      <c r="F167" s="167" t="s">
        <v>54</v>
      </c>
      <c r="G167" s="167" t="s">
        <v>97</v>
      </c>
      <c r="H167" s="167" t="s">
        <v>68</v>
      </c>
      <c r="I167" s="167" t="s">
        <v>33</v>
      </c>
      <c r="J167" s="125" t="s">
        <v>33</v>
      </c>
      <c r="K167" s="167" t="s">
        <v>20</v>
      </c>
      <c r="L167" s="167" t="str">
        <f t="shared" ref="L167:L179" si="29">IF(K167="No","N/A",IF(G167="mayfield","raised w/o hormones",IF(G167="springer mountain","raised w/o antibiotics",IF(G167="white oak pastures","grassfed",IF(G167="inland","seafood watch",IF(G167="atlanta fresh","raised w/o hormones",IF(G167="southern swiss","raised w/o hormones)))))))")))))))</f>
        <v>seafood watch</v>
      </c>
      <c r="M167" s="127" t="str">
        <f t="shared" si="27"/>
        <v>no</v>
      </c>
      <c r="N167" s="42" t="str">
        <f t="shared" si="28"/>
        <v>N/A</v>
      </c>
      <c r="O167" s="7">
        <v>475.3</v>
      </c>
      <c r="P167" s="7">
        <v>1</v>
      </c>
      <c r="Q167" s="27">
        <f>O:O*P:P</f>
        <v>475.3</v>
      </c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45">
      <c r="A168" s="7" t="s">
        <v>28</v>
      </c>
      <c r="B168" s="7" t="s">
        <v>98</v>
      </c>
      <c r="C168" s="20">
        <v>42289</v>
      </c>
      <c r="D168" s="15" t="s">
        <v>95</v>
      </c>
      <c r="E168" s="28"/>
      <c r="F168" s="7" t="s">
        <v>2</v>
      </c>
      <c r="G168" s="7" t="s">
        <v>30</v>
      </c>
      <c r="H168" s="7" t="s">
        <v>99</v>
      </c>
      <c r="I168" s="16" t="str">
        <f>IF(G168="Mayfield","Yes",IF(G168="Royal Local","Yes",IF(A168="sysco","No",IF(G168="atlanta fresh","Yes",IF(G168="Springer Mountain","Yes",IF(G168="white oak Pastures","Yes",IF(G168="Southern Swiss", "Yes")))))))</f>
        <v>Yes</v>
      </c>
      <c r="J168" s="15" t="str">
        <f>IF(G168="Mayfield","No",IF(G168="Royal Local","No",IF(A168="sysco","No",IF(G168="Springer Mountain","No",IF(G168="white oak pastures","Yes",IF(G168="Southern Swiss","Yes"))))))</f>
        <v>No</v>
      </c>
      <c r="K168" s="16" t="str">
        <f>IF(G168="Mayfield","Yes", IF(G168="Royal Local","No",IF(G168="butterball", "yes",IF(G168="Springer Mountain","Yes",IF(G168="white oak pastures","Yes",IF(G168="Southern Swiss", "Yes", IF(G168="atlanta fresh", "yes")))))))</f>
        <v>No</v>
      </c>
      <c r="L168" s="16" t="str">
        <f t="shared" si="29"/>
        <v>N/A</v>
      </c>
      <c r="M168" s="16" t="str">
        <f t="shared" si="27"/>
        <v>No</v>
      </c>
      <c r="N168" s="42" t="str">
        <f t="shared" si="28"/>
        <v>N/A</v>
      </c>
      <c r="O168" s="7">
        <f>67.98+72.3+19.65+102.72+64.65+37.7</f>
        <v>364.99999999999994</v>
      </c>
      <c r="P168" s="7">
        <v>1</v>
      </c>
      <c r="Q168" s="27">
        <f>O:O*P:P</f>
        <v>364.99999999999994</v>
      </c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45">
      <c r="A169" s="7" t="s">
        <v>28</v>
      </c>
      <c r="B169" s="7" t="s">
        <v>100</v>
      </c>
      <c r="C169" s="20">
        <v>42286</v>
      </c>
      <c r="D169" s="7" t="s">
        <v>95</v>
      </c>
      <c r="E169" s="28"/>
      <c r="F169" s="7" t="s">
        <v>2</v>
      </c>
      <c r="G169" s="7" t="s">
        <v>30</v>
      </c>
      <c r="H169" s="7" t="s">
        <v>88</v>
      </c>
      <c r="I169" s="16" t="str">
        <f>IF(G169="Mayfield","Yes",IF(G169="Royal Local","Yes",IF(A169="sysco","No",IF(G169="atlanta fresh","Yes",IF(G169="Springer Mountain","Yes",IF(G169="white oak Pastures","Yes",IF(G169="Southern Swiss", "Yes")))))))</f>
        <v>Yes</v>
      </c>
      <c r="J169" s="15" t="str">
        <f>IF(G169="Mayfield","No",IF(G169="Royal Local","No",IF(A169="sysco","No",IF(G169="Springer Mountain","No",IF(G169="white oak pastures","Yes",IF(G169="Southern Swiss","Yes"))))))</f>
        <v>No</v>
      </c>
      <c r="K169" s="16" t="str">
        <f>IF(G169="Mayfield","Yes", IF(G169="Royal Local","No",IF(G169="butterball", "yes",IF(G169="Springer Mountain","Yes",IF(G169="white oak pastures","Yes",IF(G169="Southern Swiss", "Yes", IF(G169="atlanta fresh", "yes")))))))</f>
        <v>No</v>
      </c>
      <c r="L169" s="16" t="str">
        <f t="shared" si="29"/>
        <v>N/A</v>
      </c>
      <c r="M169" s="16" t="str">
        <f t="shared" si="27"/>
        <v>No</v>
      </c>
      <c r="N169" s="42" t="str">
        <f t="shared" si="28"/>
        <v>N/A</v>
      </c>
      <c r="O169" s="7">
        <v>420</v>
      </c>
      <c r="P169" s="7">
        <v>1</v>
      </c>
      <c r="Q169" s="27">
        <f>O:O*P:P</f>
        <v>420</v>
      </c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45">
      <c r="A170" s="35" t="s">
        <v>28</v>
      </c>
      <c r="B170" s="35" t="s">
        <v>101</v>
      </c>
      <c r="C170" s="23">
        <v>42286</v>
      </c>
      <c r="D170" s="32" t="s">
        <v>95</v>
      </c>
      <c r="E170" s="35"/>
      <c r="F170" s="35" t="s">
        <v>2</v>
      </c>
      <c r="G170" s="35" t="s">
        <v>30</v>
      </c>
      <c r="H170" s="35" t="s">
        <v>102</v>
      </c>
      <c r="I170" s="24" t="str">
        <f>IF(G170="Mayfield","Yes",IF(G170="Royal Local","Yes",IF(A170="sysco","No",IF(G170="atlanta fresh","Yes",IF(G170="Springer Mountain","Yes",IF(G170="white oak Pastures","Yes",IF(G170="Southern Swiss", "Yes")))))))</f>
        <v>Yes</v>
      </c>
      <c r="J170" s="15" t="str">
        <f>IF(G170="Mayfield","No",IF(G170="Royal Local","No",IF(A170="sysco","No",IF(G170="Springer Mountain","No",IF(G170="white oak pastures","Yes",IF(G170="Southern Swiss","Yes"))))))</f>
        <v>No</v>
      </c>
      <c r="K170" s="24" t="str">
        <f>IF(G170="Mayfield","Yes", IF(G170="Royal Local","No",IF(G170="butterball", "yes",IF(G170="Springer Mountain","Yes",IF(G170="white oak pastures","Yes",IF(G170="Southern Swiss", "Yes", IF(G170="atlanta fresh", "yes")))))))</f>
        <v>No</v>
      </c>
      <c r="L170" s="24" t="str">
        <f t="shared" si="29"/>
        <v>N/A</v>
      </c>
      <c r="M170" s="16" t="str">
        <f t="shared" si="27"/>
        <v>No</v>
      </c>
      <c r="N170" s="42" t="str">
        <f t="shared" si="28"/>
        <v>N/A</v>
      </c>
      <c r="O170" s="7">
        <f>91.65+97.65+91.65+135.96+16.05+39.3+118.5+154.08+64.65+37.7+85.4+25.85+60.44+117.4</f>
        <v>1136.2800000000002</v>
      </c>
      <c r="P170" s="7">
        <v>1</v>
      </c>
      <c r="Q170" s="27">
        <f>O:O*P:P</f>
        <v>1136.2800000000002</v>
      </c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45">
      <c r="A171" s="167" t="s">
        <v>103</v>
      </c>
      <c r="B171" s="168"/>
      <c r="C171" s="170">
        <v>42286</v>
      </c>
      <c r="D171" s="167" t="s">
        <v>95</v>
      </c>
      <c r="E171" s="167" t="s">
        <v>302</v>
      </c>
      <c r="F171" s="167" t="s">
        <v>2</v>
      </c>
      <c r="G171" s="167" t="s">
        <v>65</v>
      </c>
      <c r="H171" s="167" t="s">
        <v>104</v>
      </c>
      <c r="I171" s="167" t="s">
        <v>20</v>
      </c>
      <c r="J171" s="125" t="s">
        <v>20</v>
      </c>
      <c r="K171" s="167" t="s">
        <v>33</v>
      </c>
      <c r="L171" s="167" t="str">
        <f t="shared" si="29"/>
        <v>N/A</v>
      </c>
      <c r="M171" s="127" t="str">
        <f t="shared" si="27"/>
        <v>No</v>
      </c>
      <c r="N171" s="42" t="str">
        <f t="shared" si="28"/>
        <v>N/A</v>
      </c>
      <c r="O171" s="7">
        <v>889.2</v>
      </c>
      <c r="P171" s="7">
        <v>1</v>
      </c>
      <c r="Q171" s="27">
        <f>O:O*P:P</f>
        <v>889.2</v>
      </c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45">
      <c r="A172" s="27" t="s">
        <v>28</v>
      </c>
      <c r="B172" s="27" t="s">
        <v>105</v>
      </c>
      <c r="C172" s="33">
        <v>42291</v>
      </c>
      <c r="D172" s="15" t="s">
        <v>95</v>
      </c>
      <c r="E172" s="27"/>
      <c r="F172" s="27" t="s">
        <v>2</v>
      </c>
      <c r="G172" s="27" t="s">
        <v>30</v>
      </c>
      <c r="H172" s="27" t="s">
        <v>106</v>
      </c>
      <c r="I172" s="16" t="str">
        <f t="shared" ref="I172:I181" si="30">IF(G172="Mayfield","Yes",IF(G172="Royal Local","Yes",IF(A172="sysco","No",IF(G172="atlanta fresh","Yes",IF(G172="Springer Mountain","Yes",IF(G172="white oak Pastures","Yes",IF(G172="Southern Swiss", "Yes")))))))</f>
        <v>Yes</v>
      </c>
      <c r="J172" s="15" t="str">
        <f>IF(G172="Mayfield","No",IF(G172="Royal Local","No",IF(A172="sysco","No",IF(G172="Springer Mountain","No",IF(G172="white oak pastures","Yes",IF(G172="Southern Swiss","Yes"))))))</f>
        <v>No</v>
      </c>
      <c r="K172" s="16" t="str">
        <f t="shared" ref="K172:K179" si="31">IF(G172="Mayfield","Yes", IF(G172="Royal Local","No",IF(G172="butterball", "yes",IF(G172="Springer Mountain","Yes",IF(G172="white oak pastures","Yes",IF(G172="Southern Swiss", "Yes", IF(G172="atlanta fresh", "yes")))))))</f>
        <v>No</v>
      </c>
      <c r="L172" s="16" t="str">
        <f t="shared" si="29"/>
        <v>N/A</v>
      </c>
      <c r="M172" s="16" t="str">
        <f t="shared" si="27"/>
        <v>No</v>
      </c>
      <c r="N172" s="42" t="str">
        <f t="shared" si="28"/>
        <v>N/A</v>
      </c>
      <c r="O172" s="7">
        <v>89.05</v>
      </c>
      <c r="P172" s="7">
        <v>1</v>
      </c>
      <c r="Q172" s="30">
        <f>O:O*P:P</f>
        <v>89.05</v>
      </c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45">
      <c r="A173" s="35" t="s">
        <v>28</v>
      </c>
      <c r="B173" s="35" t="s">
        <v>107</v>
      </c>
      <c r="C173" s="23">
        <v>42290</v>
      </c>
      <c r="D173" s="35" t="s">
        <v>95</v>
      </c>
      <c r="E173" s="35"/>
      <c r="F173" s="35" t="s">
        <v>2</v>
      </c>
      <c r="G173" s="35" t="s">
        <v>30</v>
      </c>
      <c r="H173" s="35" t="s">
        <v>108</v>
      </c>
      <c r="I173" s="24" t="str">
        <f t="shared" si="30"/>
        <v>Yes</v>
      </c>
      <c r="J173" s="15" t="str">
        <f>IF(G173="Mayfield","No",IF(G173="Royal Local","No",IF(A173="sysco","No",IF(G173="Springer Mountain","No",IF(G173="white oak pastures","Yes",IF(G173="Southern Swiss","Yes"))))))</f>
        <v>No</v>
      </c>
      <c r="K173" s="24" t="str">
        <f t="shared" si="31"/>
        <v>No</v>
      </c>
      <c r="L173" s="24" t="str">
        <f t="shared" si="29"/>
        <v>N/A</v>
      </c>
      <c r="M173" s="16" t="str">
        <f t="shared" si="27"/>
        <v>No</v>
      </c>
      <c r="N173" s="42" t="str">
        <f t="shared" si="28"/>
        <v>N/A</v>
      </c>
      <c r="O173" s="7">
        <f>65.1+18.05+63.75+79.96+128.4+21.55+42.22</f>
        <v>419.03</v>
      </c>
      <c r="P173" s="7">
        <v>1</v>
      </c>
      <c r="Q173" s="30">
        <f>O:O*P:P</f>
        <v>419.03</v>
      </c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45">
      <c r="A174" s="167" t="s">
        <v>28</v>
      </c>
      <c r="B174" s="168" t="s">
        <v>101</v>
      </c>
      <c r="C174" s="170">
        <v>42286</v>
      </c>
      <c r="D174" s="167" t="s">
        <v>95</v>
      </c>
      <c r="E174" s="167" t="s">
        <v>302</v>
      </c>
      <c r="F174" s="167" t="s">
        <v>3</v>
      </c>
      <c r="G174" s="167" t="s">
        <v>34</v>
      </c>
      <c r="H174" s="167" t="s">
        <v>109</v>
      </c>
      <c r="I174" s="167" t="str">
        <f t="shared" si="30"/>
        <v>Yes</v>
      </c>
      <c r="J174" s="125" t="s">
        <v>20</v>
      </c>
      <c r="K174" s="167" t="s">
        <v>33</v>
      </c>
      <c r="L174" s="167" t="str">
        <f t="shared" si="29"/>
        <v>N/A</v>
      </c>
      <c r="M174" s="127" t="str">
        <f t="shared" si="27"/>
        <v>No</v>
      </c>
      <c r="N174" s="42" t="str">
        <f t="shared" si="28"/>
        <v>N/A</v>
      </c>
      <c r="O174" s="7">
        <v>183.45</v>
      </c>
      <c r="P174" s="7">
        <v>1</v>
      </c>
      <c r="Q174" s="27">
        <f>O:O*P:P</f>
        <v>183.45</v>
      </c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45">
      <c r="A175" s="167" t="s">
        <v>28</v>
      </c>
      <c r="B175" s="168" t="s">
        <v>110</v>
      </c>
      <c r="C175" s="170">
        <v>42290</v>
      </c>
      <c r="D175" s="167" t="s">
        <v>95</v>
      </c>
      <c r="E175" s="167" t="s">
        <v>302</v>
      </c>
      <c r="F175" s="167" t="s">
        <v>3</v>
      </c>
      <c r="G175" s="167" t="s">
        <v>34</v>
      </c>
      <c r="H175" s="167" t="s">
        <v>109</v>
      </c>
      <c r="I175" s="167" t="str">
        <f t="shared" si="30"/>
        <v>Yes</v>
      </c>
      <c r="J175" s="125" t="s">
        <v>59</v>
      </c>
      <c r="K175" s="167" t="s">
        <v>33</v>
      </c>
      <c r="L175" s="167" t="str">
        <f t="shared" si="29"/>
        <v>N/A</v>
      </c>
      <c r="M175" s="127" t="str">
        <f t="shared" si="27"/>
        <v>No</v>
      </c>
      <c r="N175" s="42" t="str">
        <f t="shared" si="28"/>
        <v>N/A</v>
      </c>
      <c r="O175" s="7">
        <f>23.19+23.19</f>
        <v>46.38</v>
      </c>
      <c r="P175" s="7">
        <v>1</v>
      </c>
      <c r="Q175" s="27">
        <f>O:O*P:P</f>
        <v>46.38</v>
      </c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45">
      <c r="A176" s="32" t="s">
        <v>28</v>
      </c>
      <c r="B176" s="32" t="s">
        <v>111</v>
      </c>
      <c r="C176" s="108">
        <v>42292</v>
      </c>
      <c r="D176" s="32" t="s">
        <v>95</v>
      </c>
      <c r="E176" s="32"/>
      <c r="F176" s="32" t="s">
        <v>2</v>
      </c>
      <c r="G176" s="32" t="s">
        <v>30</v>
      </c>
      <c r="H176" s="32" t="s">
        <v>112</v>
      </c>
      <c r="I176" s="24" t="str">
        <f t="shared" si="30"/>
        <v>Yes</v>
      </c>
      <c r="J176" s="15" t="str">
        <f>IF(G176="Mayfield","No",IF(G176="Royal Local","No",IF(A176="sysco","No",IF(G176="Springer Mountain","No",IF(G176="white oak pastures","Yes",IF(G176="Southern Swiss","Yes"))))))</f>
        <v>No</v>
      </c>
      <c r="K176" s="24" t="str">
        <f t="shared" si="31"/>
        <v>No</v>
      </c>
      <c r="L176" s="24" t="str">
        <f t="shared" si="29"/>
        <v>N/A</v>
      </c>
      <c r="M176" s="16" t="str">
        <f t="shared" si="27"/>
        <v>No</v>
      </c>
      <c r="N176" s="42" t="str">
        <f t="shared" si="28"/>
        <v>N/A</v>
      </c>
      <c r="O176" s="7">
        <f>67.98+36.1+19.65+106.25+51.36+43.1+42.22+42.22</f>
        <v>408.88000000000011</v>
      </c>
      <c r="P176" s="7">
        <v>1</v>
      </c>
      <c r="Q176" s="27">
        <f>O:O*P:P</f>
        <v>408.88000000000011</v>
      </c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45">
      <c r="A177" s="167" t="s">
        <v>28</v>
      </c>
      <c r="B177" s="168" t="s">
        <v>111</v>
      </c>
      <c r="C177" s="170">
        <v>42292</v>
      </c>
      <c r="D177" s="167" t="s">
        <v>95</v>
      </c>
      <c r="E177" s="167" t="s">
        <v>302</v>
      </c>
      <c r="F177" s="167" t="s">
        <v>3</v>
      </c>
      <c r="G177" s="167" t="s">
        <v>34</v>
      </c>
      <c r="H177" s="167" t="s">
        <v>109</v>
      </c>
      <c r="I177" s="167" t="str">
        <f t="shared" si="30"/>
        <v>Yes</v>
      </c>
      <c r="J177" s="125" t="s">
        <v>20</v>
      </c>
      <c r="K177" s="167" t="s">
        <v>33</v>
      </c>
      <c r="L177" s="167" t="str">
        <f t="shared" si="29"/>
        <v>N/A</v>
      </c>
      <c r="M177" s="127" t="str">
        <f t="shared" si="27"/>
        <v>No</v>
      </c>
      <c r="N177" s="42" t="str">
        <f t="shared" si="28"/>
        <v>N/A</v>
      </c>
      <c r="O177" s="7">
        <f>73.38+146.76</f>
        <v>220.14</v>
      </c>
      <c r="P177" s="7">
        <v>1</v>
      </c>
      <c r="Q177" s="27">
        <f>O:O*P:P</f>
        <v>220.14</v>
      </c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45">
      <c r="A178" s="27" t="s">
        <v>28</v>
      </c>
      <c r="B178" s="27" t="s">
        <v>113</v>
      </c>
      <c r="C178" s="33">
        <v>42291</v>
      </c>
      <c r="D178" s="15" t="s">
        <v>95</v>
      </c>
      <c r="E178" s="27"/>
      <c r="F178" s="27" t="s">
        <v>2</v>
      </c>
      <c r="G178" s="27" t="s">
        <v>30</v>
      </c>
      <c r="H178" s="27" t="s">
        <v>114</v>
      </c>
      <c r="I178" s="16" t="str">
        <f t="shared" si="30"/>
        <v>Yes</v>
      </c>
      <c r="J178" s="15" t="str">
        <f>IF(G178="Mayfield","No",IF(G178="Royal Local","No",IF(A178="sysco","No",IF(G178="Springer Mountain","No",IF(G178="white oak pastures","Yes",IF(G178="Southern Swiss","Yes"))))))</f>
        <v>No</v>
      </c>
      <c r="K178" s="16" t="str">
        <f t="shared" si="31"/>
        <v>No</v>
      </c>
      <c r="L178" s="16" t="str">
        <f t="shared" si="29"/>
        <v>N/A</v>
      </c>
      <c r="M178" s="16" t="str">
        <f t="shared" si="27"/>
        <v>No</v>
      </c>
      <c r="N178" s="42" t="str">
        <f t="shared" si="28"/>
        <v>N/A</v>
      </c>
      <c r="O178" s="7">
        <f>135.96+25.68</f>
        <v>161.64000000000001</v>
      </c>
      <c r="P178" s="7">
        <v>1</v>
      </c>
      <c r="Q178" s="27">
        <f>O:O*P:P</f>
        <v>161.64000000000001</v>
      </c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45">
      <c r="A179" s="35" t="s">
        <v>28</v>
      </c>
      <c r="B179" s="35" t="s">
        <v>115</v>
      </c>
      <c r="C179" s="23">
        <v>42287</v>
      </c>
      <c r="D179" s="35" t="s">
        <v>95</v>
      </c>
      <c r="E179" s="35"/>
      <c r="F179" s="35" t="s">
        <v>2</v>
      </c>
      <c r="G179" s="35" t="s">
        <v>30</v>
      </c>
      <c r="H179" s="35" t="s">
        <v>116</v>
      </c>
      <c r="I179" s="24" t="str">
        <f t="shared" si="30"/>
        <v>Yes</v>
      </c>
      <c r="J179" s="15" t="str">
        <f>IF(G179="Mayfield","No",IF(G179="Royal Local","No",IF(A179="sysco","No",IF(G179="Springer Mountain","No",IF(G179="white oak pastures","Yes",IF(G179="Southern Swiss","Yes"))))))</f>
        <v>No</v>
      </c>
      <c r="K179" s="24" t="str">
        <f t="shared" si="31"/>
        <v>No</v>
      </c>
      <c r="L179" s="24" t="str">
        <f t="shared" si="29"/>
        <v>N/A</v>
      </c>
      <c r="M179" s="16" t="str">
        <f t="shared" si="27"/>
        <v>No</v>
      </c>
      <c r="N179" s="42" t="str">
        <f t="shared" si="28"/>
        <v>N/A</v>
      </c>
      <c r="O179" s="7">
        <f>67.98+16.05+59.25+21.55+25.85+45.78+25.44</f>
        <v>261.90000000000003</v>
      </c>
      <c r="P179" s="7">
        <v>1</v>
      </c>
      <c r="Q179" s="27">
        <f>O:O*P:P</f>
        <v>261.90000000000003</v>
      </c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45">
      <c r="A180" s="167" t="s">
        <v>52</v>
      </c>
      <c r="B180" s="168"/>
      <c r="C180" s="168" t="s">
        <v>53</v>
      </c>
      <c r="D180" s="167" t="s">
        <v>95</v>
      </c>
      <c r="E180" s="167" t="s">
        <v>302</v>
      </c>
      <c r="F180" s="167" t="s">
        <v>54</v>
      </c>
      <c r="G180" s="167" t="s">
        <v>55</v>
      </c>
      <c r="H180" s="167" t="s">
        <v>82</v>
      </c>
      <c r="I180" s="167" t="str">
        <f t="shared" si="30"/>
        <v>No</v>
      </c>
      <c r="J180" s="125" t="str">
        <f>IF(G180="Mayfield","No",IF(G180="Royal Local","No",IF(A180="sysco","No",IF(G180="Springer Mountain","No",IF(G180="white oak pastures","Yes",IF(G180="Southern Swiss","Yes"))))))</f>
        <v>No</v>
      </c>
      <c r="K180" s="167" t="s">
        <v>20</v>
      </c>
      <c r="L180" s="167" t="s">
        <v>57</v>
      </c>
      <c r="M180" s="127" t="str">
        <f t="shared" si="27"/>
        <v>no</v>
      </c>
      <c r="N180" s="42" t="str">
        <f t="shared" si="28"/>
        <v>N/A</v>
      </c>
      <c r="O180" s="7">
        <v>123.45</v>
      </c>
      <c r="P180" s="7">
        <v>1</v>
      </c>
      <c r="Q180" s="27">
        <f>O:O*P:P</f>
        <v>123.45</v>
      </c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45">
      <c r="A181" s="167" t="s">
        <v>52</v>
      </c>
      <c r="B181" s="168"/>
      <c r="C181" s="168" t="s">
        <v>53</v>
      </c>
      <c r="D181" s="167" t="s">
        <v>95</v>
      </c>
      <c r="E181" s="167" t="s">
        <v>302</v>
      </c>
      <c r="F181" s="167" t="s">
        <v>54</v>
      </c>
      <c r="G181" s="167" t="s">
        <v>58</v>
      </c>
      <c r="H181" s="167" t="s">
        <v>83</v>
      </c>
      <c r="I181" s="167" t="str">
        <f t="shared" si="30"/>
        <v>No</v>
      </c>
      <c r="J181" s="90" t="str">
        <f>IF(G181="Mayfield","No",IF(G181="Royal Local","No",IF(A181="sysco","No",IF(G181="Springer Mountain","No",IF(G181="white oak pastures","Yes",IF(G181="Southern Swiss","Yes"))))))</f>
        <v>No</v>
      </c>
      <c r="K181" s="167" t="s">
        <v>20</v>
      </c>
      <c r="L181" s="167" t="s">
        <v>57</v>
      </c>
      <c r="M181" s="128" t="str">
        <f t="shared" si="27"/>
        <v>no</v>
      </c>
      <c r="N181" s="43" t="str">
        <f t="shared" si="28"/>
        <v>N/A</v>
      </c>
      <c r="O181" s="11">
        <v>289.36</v>
      </c>
      <c r="P181" s="11">
        <v>1</v>
      </c>
      <c r="Q181" s="32">
        <f>O:O*P:P</f>
        <v>289.36</v>
      </c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45">
      <c r="A182" s="167" t="s">
        <v>64</v>
      </c>
      <c r="B182" s="168"/>
      <c r="C182" s="170">
        <v>42293</v>
      </c>
      <c r="D182" s="167" t="s">
        <v>117</v>
      </c>
      <c r="E182" s="167" t="s">
        <v>302</v>
      </c>
      <c r="F182" s="167" t="s">
        <v>2</v>
      </c>
      <c r="G182" s="167" t="s">
        <v>65</v>
      </c>
      <c r="H182" s="167" t="s">
        <v>118</v>
      </c>
      <c r="I182" s="167" t="s">
        <v>20</v>
      </c>
      <c r="J182" s="125" t="s">
        <v>20</v>
      </c>
      <c r="K182" s="167" t="s">
        <v>33</v>
      </c>
      <c r="L182" s="167" t="str">
        <f>IF(K182="No","N/A",IF(G182="mayfield","raised w/o hormones",IF(G182="springer mountain","raised w/o antibiotics",IF(G182="white oak pastures","grassfed",IF(G182="inland","seafood watch",IF(G182="atlanta fresh","raised w/o hormones",IF(G182="southern swiss","raised w/o hormones)))))))")))))))</f>
        <v>N/A</v>
      </c>
      <c r="M182" s="127" t="str">
        <f>IF(G182="white oak pastures", "Yes",IF(G182="mayfield","yes",IF(G182="oxford farm","yes",IF(K182="No","No", IF(I182="no", "no", IF(G182="springer mountain", "yes", IF(G182="atlanta fresh","yes")))))))</f>
        <v>No</v>
      </c>
      <c r="N182" s="42" t="str">
        <f>IF(M182="No","N/A",IF(G182="Springer Mountain","Emory Local&amp; raised w/o antibiotics)",IF(G182="mayfield","Emory local &amp; raised w/o hormones",IF(G182="white oak pastures","F2F &amp; grassfed",IF(G182="atlanta fresh","F2F &amp; raised w/o hormones",IF(G182="southern swiss", "yes", IF(G182="batdorf &amp; bronson", "Emory Local &amp; fair trade")))))))</f>
        <v>N/A</v>
      </c>
      <c r="O182" s="15">
        <v>642.65</v>
      </c>
      <c r="P182" s="15">
        <v>1</v>
      </c>
      <c r="Q182" s="27">
        <f>O:O*P:P</f>
        <v>642.65</v>
      </c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45">
      <c r="A183" s="167" t="s">
        <v>64</v>
      </c>
      <c r="B183" s="168"/>
      <c r="C183" s="170">
        <v>42297</v>
      </c>
      <c r="D183" s="167" t="s">
        <v>117</v>
      </c>
      <c r="E183" s="167" t="s">
        <v>302</v>
      </c>
      <c r="F183" s="167" t="s">
        <v>2</v>
      </c>
      <c r="G183" s="167" t="s">
        <v>65</v>
      </c>
      <c r="H183" s="167" t="s">
        <v>119</v>
      </c>
      <c r="I183" s="167" t="s">
        <v>20</v>
      </c>
      <c r="J183" s="115" t="s">
        <v>20</v>
      </c>
      <c r="K183" s="167" t="s">
        <v>33</v>
      </c>
      <c r="L183" s="167" t="str">
        <f>IF(K183="No","N/A",IF(G183="mayfield","raised w/o hormones",IF(G183="springer mountain","raised w/o antibiotics",IF(G183="white oak pastures","grassfed",IF(G183="inland","seafood watch",IF(G183="atlanta fresh","raised w/o hormones",IF(G183="southern swiss","raised w/o hormones)))))))")))))))</f>
        <v>N/A</v>
      </c>
      <c r="M183" s="117" t="str">
        <f>IF(G183="white oak pastures", "Yes",IF(G183="mayfield","yes",IF(G183="oxford farm","yes",IF(K183="No","No", IF(I183="no", "no", IF(G183="springer mountain", "yes", IF(G183="atlanta fresh","yes")))))))</f>
        <v>No</v>
      </c>
      <c r="N183" s="44" t="str">
        <f>IF(M183="No","N/A",IF(G183="Springer Mountain","Emory Local&amp; raised w/o antibiotics)",IF(G183="mayfield","Emory local &amp; raised w/o hormones",IF(G183="white oak pastures","F2F &amp; grassfed",IF(G183="atlanta fresh","F2F &amp; raised w/o hormones",IF(G183="southern swiss", "yes", IF(G183="batdorf &amp; bronson", "Emory Local &amp; fair trade")))))))</f>
        <v>N/A</v>
      </c>
      <c r="O183" s="7">
        <v>476</v>
      </c>
      <c r="P183" s="7">
        <v>1</v>
      </c>
      <c r="Q183" s="30">
        <f>O:O*P:P</f>
        <v>476</v>
      </c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45">
      <c r="A184" s="167" t="s">
        <v>66</v>
      </c>
      <c r="B184" s="168">
        <v>808683</v>
      </c>
      <c r="C184" s="170">
        <v>42293</v>
      </c>
      <c r="D184" s="167" t="s">
        <v>117</v>
      </c>
      <c r="E184" s="167" t="s">
        <v>302</v>
      </c>
      <c r="F184" s="167" t="s">
        <v>1</v>
      </c>
      <c r="G184" s="167" t="s">
        <v>120</v>
      </c>
      <c r="H184" s="167" t="s">
        <v>121</v>
      </c>
      <c r="I184" s="167" t="s">
        <v>20</v>
      </c>
      <c r="J184" s="115" t="s">
        <v>33</v>
      </c>
      <c r="K184" s="167" t="s">
        <v>20</v>
      </c>
      <c r="L184" s="167" t="s">
        <v>498</v>
      </c>
      <c r="M184" s="117" t="s">
        <v>20</v>
      </c>
      <c r="N184" s="44" t="s">
        <v>122</v>
      </c>
      <c r="O184" s="7">
        <v>115.4</v>
      </c>
      <c r="P184" s="7">
        <v>1</v>
      </c>
      <c r="Q184" s="30">
        <f>O:O*P:P</f>
        <v>115.4</v>
      </c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45">
      <c r="A185" s="32" t="s">
        <v>66</v>
      </c>
      <c r="B185" s="32">
        <v>808683</v>
      </c>
      <c r="C185" s="108">
        <v>42293</v>
      </c>
      <c r="D185" s="32" t="s">
        <v>117</v>
      </c>
      <c r="E185" s="32"/>
      <c r="F185" s="32" t="s">
        <v>1</v>
      </c>
      <c r="G185" s="32" t="s">
        <v>123</v>
      </c>
      <c r="H185" s="32" t="s">
        <v>124</v>
      </c>
      <c r="I185" s="32" t="s">
        <v>20</v>
      </c>
      <c r="J185" s="7" t="s">
        <v>33</v>
      </c>
      <c r="K185" s="32" t="s">
        <v>33</v>
      </c>
      <c r="L185" s="32" t="str">
        <f t="shared" ref="L185:L201" si="32">IF(K185="No","N/A",IF(G185="mayfield","raised w/o hormones",IF(G185="springer mountain","raised w/o antibiotics",IF(G185="white oak pastures","grassfed",IF(G185="inland","seafood watch",IF(G185="atlanta fresh","raised w/o hormones",IF(G185="southern swiss","raised w/o hormones)))))))")))))))</f>
        <v>N/A</v>
      </c>
      <c r="M185" s="7" t="str">
        <f t="shared" ref="M185:M203" si="33">IF(G185="white oak pastures", "Yes",IF(G185="mayfield","yes",IF(G185="oxford farm","yes",IF(K185="No","No", IF(I185="no", "no", IF(G185="springer mountain", "yes", IF(G185="atlanta fresh","yes")))))))</f>
        <v>No</v>
      </c>
      <c r="N185" s="44" t="str">
        <f t="shared" ref="N185:N203" si="34">IF(M185="No","N/A",IF(G185="Springer Mountain","Emory Local&amp; raised w/o antibiotics)",IF(G185="mayfield","Emory local &amp; raised w/o hormones",IF(G185="white oak pastures","F2F &amp; grassfed",IF(G185="atlanta fresh","F2F &amp; raised w/o hormones",IF(G185="southern swiss", "yes", IF(G185="batdorf &amp; bronson", "Emory Local &amp; fair trade")))))))</f>
        <v>N/A</v>
      </c>
      <c r="O185" s="7">
        <f>41+85.05+127.42+128.48</f>
        <v>381.95</v>
      </c>
      <c r="P185" s="7">
        <v>1</v>
      </c>
      <c r="Q185" s="30">
        <f>O:O*P:P</f>
        <v>381.95</v>
      </c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45">
      <c r="A186" s="167" t="s">
        <v>66</v>
      </c>
      <c r="B186" s="168">
        <v>808683</v>
      </c>
      <c r="C186" s="170">
        <v>42293</v>
      </c>
      <c r="D186" s="167" t="s">
        <v>117</v>
      </c>
      <c r="E186" s="167" t="s">
        <v>302</v>
      </c>
      <c r="F186" s="167" t="s">
        <v>1</v>
      </c>
      <c r="G186" s="167" t="s">
        <v>23</v>
      </c>
      <c r="H186" s="167" t="s">
        <v>121</v>
      </c>
      <c r="I186" s="167" t="str">
        <f t="shared" ref="I186:I203" si="35">IF(G186="Mayfield","Yes",IF(G186="Royal Local","Yes",IF(A186="sysco","No",IF(G186="atlanta fresh","Yes",IF(G186="Springer Mountain","Yes",IF(G186="white oak Pastures","Yes",IF(G186="Southern Swiss", "Yes")))))))</f>
        <v>Yes</v>
      </c>
      <c r="J186" s="115" t="str">
        <f t="shared" ref="J186:J187" si="36">IF(G186="Mayfield","No",IF(G186="Royal Local","No",IF(A186="sysco","No",IF(G186="Springer Mountain","No",IF(G186="white oak pastures","Yes",IF(G186="Southern Swiss","Yes"))))))</f>
        <v>Yes</v>
      </c>
      <c r="K186" s="167" t="str">
        <f t="shared" ref="K186:K200" si="37">IF(G186="Mayfield","Yes", IF(G186="Royal Local","No",IF(G186="butterball", "yes",IF(G186="Springer Mountain","Yes",IF(G186="white oak pastures","Yes",IF(G186="Southern Swiss", "Yes", IF(G186="atlanta fresh", "yes")))))))</f>
        <v>Yes</v>
      </c>
      <c r="L186" s="167" t="str">
        <f>IF(K186="No","N/A",IF(G186="mayfield","raised w/o hormones",IF(G186="springer mountain","raised w/o antibiotics",IF(G186="white oak pastures","grassfed",IF(G186="inland","seafood watch",IF(G186="atlanta fresh","raised w/o hormones",IF(G186="southern swiss","raised w/o hormones)))))))")))))))</f>
        <v>grassfed</v>
      </c>
      <c r="M186" s="117" t="str">
        <f t="shared" si="33"/>
        <v>Yes</v>
      </c>
      <c r="N186" s="44" t="str">
        <f t="shared" si="34"/>
        <v>F2F &amp; grassfed</v>
      </c>
      <c r="O186" s="7">
        <v>2154.9</v>
      </c>
      <c r="P186" s="7">
        <v>1</v>
      </c>
      <c r="Q186" s="30">
        <f>O:O*P:P</f>
        <v>2154.9</v>
      </c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45">
      <c r="A187" s="35" t="s">
        <v>28</v>
      </c>
      <c r="B187" s="35" t="s">
        <v>125</v>
      </c>
      <c r="C187" s="23">
        <v>42293</v>
      </c>
      <c r="D187" s="32" t="s">
        <v>117</v>
      </c>
      <c r="E187" s="35"/>
      <c r="F187" s="35" t="s">
        <v>2</v>
      </c>
      <c r="G187" s="35" t="s">
        <v>30</v>
      </c>
      <c r="H187" s="35" t="s">
        <v>126</v>
      </c>
      <c r="I187" s="24" t="str">
        <f t="shared" si="35"/>
        <v>Yes</v>
      </c>
      <c r="J187" s="15" t="str">
        <f t="shared" si="36"/>
        <v>No</v>
      </c>
      <c r="K187" s="24" t="str">
        <f t="shared" si="37"/>
        <v>No</v>
      </c>
      <c r="L187" s="24" t="str">
        <f t="shared" si="32"/>
        <v>N/A</v>
      </c>
      <c r="M187" s="16" t="str">
        <f t="shared" si="33"/>
        <v>No</v>
      </c>
      <c r="N187" s="42" t="str">
        <f t="shared" si="34"/>
        <v>N/A</v>
      </c>
      <c r="O187" s="7">
        <f>30.55+32.55+65.1+18.05+39.3+77.04+64.65+56.55+84.44+234.8</f>
        <v>703.03</v>
      </c>
      <c r="P187" s="7">
        <v>1</v>
      </c>
      <c r="Q187" s="27">
        <f>O:O*P:P</f>
        <v>703.03</v>
      </c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45">
      <c r="A188" s="167" t="s">
        <v>28</v>
      </c>
      <c r="B188" s="168" t="s">
        <v>125</v>
      </c>
      <c r="C188" s="170">
        <v>42293</v>
      </c>
      <c r="D188" s="167" t="s">
        <v>117</v>
      </c>
      <c r="E188" s="167" t="s">
        <v>302</v>
      </c>
      <c r="F188" s="167" t="s">
        <v>3</v>
      </c>
      <c r="G188" s="167" t="s">
        <v>34</v>
      </c>
      <c r="H188" s="167" t="s">
        <v>86</v>
      </c>
      <c r="I188" s="167" t="str">
        <f t="shared" si="35"/>
        <v>Yes</v>
      </c>
      <c r="J188" s="125" t="s">
        <v>20</v>
      </c>
      <c r="K188" s="167" t="s">
        <v>33</v>
      </c>
      <c r="L188" s="167" t="str">
        <f>IF(K188="No","N/A",IF(G188="mayfield","raised w/o hormones",IF(G188="springer mountain","raised w/o antibiotics",IF(G188="white oak pastures","grassfed",IF(G188="inland","seafood watch",IF(G188="atlanta fresh","raised w/o hormones",IF(G188="southern swiss","raised w/o hormones)))))))")))))))</f>
        <v>N/A</v>
      </c>
      <c r="M188" s="127" t="str">
        <f t="shared" si="33"/>
        <v>No</v>
      </c>
      <c r="N188" s="42" t="str">
        <f t="shared" si="34"/>
        <v>N/A</v>
      </c>
      <c r="O188" s="7">
        <f>183.45+366.9</f>
        <v>550.34999999999991</v>
      </c>
      <c r="P188" s="7">
        <v>1</v>
      </c>
      <c r="Q188" s="27">
        <f>O:O*P:P</f>
        <v>550.34999999999991</v>
      </c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45">
      <c r="A189" s="27" t="s">
        <v>28</v>
      </c>
      <c r="B189" s="27" t="s">
        <v>125</v>
      </c>
      <c r="C189" s="33">
        <v>42293</v>
      </c>
      <c r="D189" s="15" t="s">
        <v>117</v>
      </c>
      <c r="E189" s="27"/>
      <c r="F189" s="27" t="s">
        <v>2</v>
      </c>
      <c r="G189" s="27" t="s">
        <v>30</v>
      </c>
      <c r="H189" s="27" t="s">
        <v>127</v>
      </c>
      <c r="I189" s="16" t="str">
        <f t="shared" si="35"/>
        <v>Yes</v>
      </c>
      <c r="J189" s="15" t="str">
        <f>IF(G189="Mayfield","No",IF(G189="Royal Local","No",IF(A189="sysco","No",IF(G189="Springer Mountain","No",IF(G189="white oak pastures","Yes",IF(G189="Southern Swiss","Yes"))))))</f>
        <v>No</v>
      </c>
      <c r="K189" s="16" t="str">
        <f t="shared" si="37"/>
        <v>No</v>
      </c>
      <c r="L189" s="16" t="str">
        <f t="shared" si="32"/>
        <v>N/A</v>
      </c>
      <c r="M189" s="16" t="str">
        <f t="shared" si="33"/>
        <v>No</v>
      </c>
      <c r="N189" s="42" t="str">
        <f t="shared" si="34"/>
        <v>N/A</v>
      </c>
      <c r="O189" s="7">
        <f>84.44+234.8</f>
        <v>319.24</v>
      </c>
      <c r="P189" s="7">
        <v>1</v>
      </c>
      <c r="Q189" s="27">
        <f>O:O*P:P</f>
        <v>319.24</v>
      </c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45">
      <c r="A190" s="7" t="s">
        <v>28</v>
      </c>
      <c r="B190" s="7" t="s">
        <v>128</v>
      </c>
      <c r="C190" s="20">
        <v>42293</v>
      </c>
      <c r="D190" s="15" t="s">
        <v>117</v>
      </c>
      <c r="E190" s="7"/>
      <c r="F190" s="7" t="s">
        <v>2</v>
      </c>
      <c r="G190" s="7" t="s">
        <v>30</v>
      </c>
      <c r="H190" s="7" t="s">
        <v>129</v>
      </c>
      <c r="I190" s="16" t="str">
        <f t="shared" si="35"/>
        <v>Yes</v>
      </c>
      <c r="J190" s="15" t="str">
        <f>IF(G190="Mayfield","No",IF(G190="Royal Local","No",IF(A190="sysco","No",IF(G190="Springer Mountain","No",IF(G190="white oak pastures","Yes",IF(G190="Southern Swiss","Yes"))))))</f>
        <v>No</v>
      </c>
      <c r="K190" s="16" t="str">
        <f t="shared" si="37"/>
        <v>No</v>
      </c>
      <c r="L190" s="16" t="str">
        <f t="shared" si="32"/>
        <v>N/A</v>
      </c>
      <c r="M190" s="16" t="str">
        <f t="shared" si="33"/>
        <v>No</v>
      </c>
      <c r="N190" s="42" t="str">
        <f t="shared" si="34"/>
        <v>N/A</v>
      </c>
      <c r="O190" s="7">
        <v>18.05</v>
      </c>
      <c r="P190" s="7">
        <v>1</v>
      </c>
      <c r="Q190" s="27">
        <f>O:O*P:P</f>
        <v>18.05</v>
      </c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s="52" customFormat="1" ht="12.75" customHeight="1" x14ac:dyDescent="0.45">
      <c r="A191" s="35" t="s">
        <v>28</v>
      </c>
      <c r="B191" s="35" t="s">
        <v>130</v>
      </c>
      <c r="C191" s="23">
        <v>42299</v>
      </c>
      <c r="D191" s="32" t="s">
        <v>117</v>
      </c>
      <c r="E191" s="35"/>
      <c r="F191" s="35" t="s">
        <v>2</v>
      </c>
      <c r="G191" s="35" t="s">
        <v>30</v>
      </c>
      <c r="H191" s="35" t="s">
        <v>131</v>
      </c>
      <c r="I191" s="24" t="str">
        <f t="shared" si="35"/>
        <v>Yes</v>
      </c>
      <c r="J191" s="15" t="str">
        <f>IF(G191="Mayfield","No",IF(G191="Royal Local","No",IF(A191="sysco","No",IF(G191="Springer Mountain","No",IF(G191="white oak pastures","Yes",IF(G191="Southern Swiss","Yes"))))))</f>
        <v>No</v>
      </c>
      <c r="K191" s="24" t="str">
        <f t="shared" si="37"/>
        <v>No</v>
      </c>
      <c r="L191" s="24" t="str">
        <f t="shared" si="32"/>
        <v>N/A</v>
      </c>
      <c r="M191" s="16" t="str">
        <f t="shared" si="33"/>
        <v>No</v>
      </c>
      <c r="N191" s="42" t="str">
        <f t="shared" si="34"/>
        <v>N/A</v>
      </c>
      <c r="O191" s="7">
        <f>30.55+67.98+57.6+96.4+22.05+39.3+85+128.4+41.1+37.7+68.44+72.44+176.1+57.18+298.9+28.29</f>
        <v>1307.4299999999998</v>
      </c>
      <c r="P191" s="7">
        <v>1</v>
      </c>
      <c r="Q191" s="27">
        <f>O:O*P:P</f>
        <v>1307.4299999999998</v>
      </c>
      <c r="R191" s="51"/>
      <c r="S191" s="51"/>
      <c r="T191" s="51"/>
      <c r="U191" s="51"/>
      <c r="V191" s="51"/>
      <c r="W191" s="51"/>
      <c r="X191" s="51"/>
      <c r="Y191" s="51"/>
      <c r="Z191" s="51"/>
      <c r="AA191" s="51"/>
    </row>
    <row r="192" spans="1:27" s="52" customFormat="1" ht="12.75" customHeight="1" x14ac:dyDescent="0.45">
      <c r="A192" s="167" t="s">
        <v>28</v>
      </c>
      <c r="B192" s="168" t="s">
        <v>130</v>
      </c>
      <c r="C192" s="170">
        <v>42299</v>
      </c>
      <c r="D192" s="167" t="s">
        <v>117</v>
      </c>
      <c r="E192" s="167" t="s">
        <v>302</v>
      </c>
      <c r="F192" s="167" t="s">
        <v>3</v>
      </c>
      <c r="G192" s="167" t="s">
        <v>34</v>
      </c>
      <c r="H192" s="167" t="s">
        <v>86</v>
      </c>
      <c r="I192" s="167" t="str">
        <f t="shared" si="35"/>
        <v>Yes</v>
      </c>
      <c r="J192" s="125" t="s">
        <v>20</v>
      </c>
      <c r="K192" s="167" t="s">
        <v>33</v>
      </c>
      <c r="L192" s="167" t="str">
        <f>IF(K192="No","N/A",IF(G192="mayfield","raised w/o hormones",IF(G192="springer mountain","raised w/o antibiotics",IF(G192="white oak pastures","grassfed",IF(G192="inland","seafood watch",IF(G192="atlanta fresh","raised w/o hormones",IF(G192="southern swiss","raised w/o hormones)))))))")))))))</f>
        <v>N/A</v>
      </c>
      <c r="M192" s="127" t="str">
        <f t="shared" si="33"/>
        <v>No</v>
      </c>
      <c r="N192" s="42" t="str">
        <f t="shared" si="34"/>
        <v>N/A</v>
      </c>
      <c r="O192" s="7">
        <f>183.45+293.52</f>
        <v>476.96999999999997</v>
      </c>
      <c r="P192" s="7">
        <v>1</v>
      </c>
      <c r="Q192" s="27">
        <f>O:O*P:P</f>
        <v>476.96999999999997</v>
      </c>
      <c r="R192" s="51"/>
      <c r="S192" s="51"/>
      <c r="T192" s="51"/>
      <c r="U192" s="51"/>
      <c r="V192" s="51"/>
      <c r="W192" s="51"/>
      <c r="X192" s="51"/>
      <c r="Y192" s="51"/>
      <c r="Z192" s="51"/>
      <c r="AA192" s="51"/>
    </row>
    <row r="193" spans="1:27" ht="12.75" customHeight="1" x14ac:dyDescent="0.45">
      <c r="A193" s="27" t="s">
        <v>28</v>
      </c>
      <c r="B193" s="27" t="s">
        <v>130</v>
      </c>
      <c r="C193" s="33">
        <v>42299</v>
      </c>
      <c r="D193" s="15" t="s">
        <v>117</v>
      </c>
      <c r="E193" s="27"/>
      <c r="F193" s="27" t="s">
        <v>2</v>
      </c>
      <c r="G193" s="27" t="s">
        <v>30</v>
      </c>
      <c r="H193" s="27" t="s">
        <v>132</v>
      </c>
      <c r="I193" s="16" t="str">
        <f t="shared" si="35"/>
        <v>Yes</v>
      </c>
      <c r="J193" s="15" t="str">
        <f>IF(G193="Mayfield","No",IF(G193="Royal Local","No",IF(A193="sysco","No",IF(G193="Springer Mountain","No",IF(G193="white oak pastures","Yes",IF(G193="Southern Swiss","Yes"))))))</f>
        <v>No</v>
      </c>
      <c r="K193" s="16" t="str">
        <f t="shared" si="37"/>
        <v>No</v>
      </c>
      <c r="L193" s="16" t="str">
        <f t="shared" si="32"/>
        <v>N/A</v>
      </c>
      <c r="M193" s="16" t="str">
        <f t="shared" si="33"/>
        <v>No</v>
      </c>
      <c r="N193" s="42" t="str">
        <f t="shared" si="34"/>
        <v>N/A</v>
      </c>
      <c r="O193" s="7">
        <f>128.4+41.1+37.7+68.44+72.44+176.1+57.18+298.9+28.29</f>
        <v>908.54999999999984</v>
      </c>
      <c r="P193" s="7">
        <v>1</v>
      </c>
      <c r="Q193" s="27">
        <f>O:O*P:P</f>
        <v>908.54999999999984</v>
      </c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45">
      <c r="A194" s="7" t="s">
        <v>28</v>
      </c>
      <c r="B194" s="7" t="s">
        <v>133</v>
      </c>
      <c r="C194" s="20">
        <v>42299</v>
      </c>
      <c r="D194" s="15" t="s">
        <v>117</v>
      </c>
      <c r="E194" s="7"/>
      <c r="F194" s="7" t="s">
        <v>2</v>
      </c>
      <c r="G194" s="7" t="s">
        <v>30</v>
      </c>
      <c r="H194" s="7" t="s">
        <v>134</v>
      </c>
      <c r="I194" s="16" t="str">
        <f t="shared" si="35"/>
        <v>Yes</v>
      </c>
      <c r="J194" s="15" t="str">
        <f>IF(G194="Mayfield","No",IF(G194="Royal Local","No",IF(A194="sysco","No",IF(G194="Springer Mountain","No",IF(G194="white oak pastures","Yes",IF(G194="Southern Swiss","Yes"))))))</f>
        <v>No</v>
      </c>
      <c r="K194" s="16" t="str">
        <f t="shared" si="37"/>
        <v>No</v>
      </c>
      <c r="L194" s="16" t="str">
        <f t="shared" si="32"/>
        <v>N/A</v>
      </c>
      <c r="M194" s="16" t="str">
        <f t="shared" si="33"/>
        <v>No</v>
      </c>
      <c r="N194" s="42" t="str">
        <f t="shared" si="34"/>
        <v>N/A</v>
      </c>
      <c r="O194" s="7">
        <f>28.59+12.14</f>
        <v>40.730000000000004</v>
      </c>
      <c r="P194" s="7">
        <v>1</v>
      </c>
      <c r="Q194" s="27">
        <f>O:O*P:P</f>
        <v>40.730000000000004</v>
      </c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45">
      <c r="A195" s="35" t="s">
        <v>28</v>
      </c>
      <c r="B195" s="35" t="s">
        <v>135</v>
      </c>
      <c r="C195" s="23">
        <v>42294</v>
      </c>
      <c r="D195" s="32" t="s">
        <v>117</v>
      </c>
      <c r="E195" s="35"/>
      <c r="F195" s="35" t="s">
        <v>2</v>
      </c>
      <c r="G195" s="35" t="s">
        <v>30</v>
      </c>
      <c r="H195" s="35" t="s">
        <v>136</v>
      </c>
      <c r="I195" s="24" t="str">
        <f t="shared" si="35"/>
        <v>Yes</v>
      </c>
      <c r="J195" s="15" t="str">
        <f>IF(G195="Mayfield","No",IF(G195="Royal Local","No",IF(A195="sysco","No",IF(G195="Springer Mountain","No",IF(G195="white oak pastures","Yes",IF(G195="Southern Swiss","Yes"))))))</f>
        <v>No</v>
      </c>
      <c r="K195" s="24" t="str">
        <f t="shared" si="37"/>
        <v>No</v>
      </c>
      <c r="L195" s="24" t="str">
        <f t="shared" si="32"/>
        <v>N/A</v>
      </c>
      <c r="M195" s="16" t="str">
        <f t="shared" si="33"/>
        <v>No</v>
      </c>
      <c r="N195" s="42" t="str">
        <f t="shared" si="34"/>
        <v>N/A</v>
      </c>
      <c r="O195" s="7">
        <f>61.1+39.3+21.25+77.04+126.66+88.05+183.12</f>
        <v>596.52</v>
      </c>
      <c r="P195" s="7">
        <v>1</v>
      </c>
      <c r="Q195" s="27">
        <f>O:O*P:P</f>
        <v>596.52</v>
      </c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45">
      <c r="A196" s="167" t="s">
        <v>28</v>
      </c>
      <c r="B196" s="168" t="s">
        <v>135</v>
      </c>
      <c r="C196" s="170">
        <v>42294</v>
      </c>
      <c r="D196" s="167" t="s">
        <v>117</v>
      </c>
      <c r="E196" s="167" t="s">
        <v>302</v>
      </c>
      <c r="F196" s="167" t="s">
        <v>3</v>
      </c>
      <c r="G196" s="167" t="s">
        <v>34</v>
      </c>
      <c r="H196" s="167" t="s">
        <v>86</v>
      </c>
      <c r="I196" s="167" t="str">
        <f t="shared" si="35"/>
        <v>Yes</v>
      </c>
      <c r="J196" s="125" t="s">
        <v>20</v>
      </c>
      <c r="K196" s="167" t="s">
        <v>33</v>
      </c>
      <c r="L196" s="167" t="str">
        <f>IF(K196="No","N/A",IF(G196="mayfield","raised w/o hormones",IF(G196="springer mountain","raised w/o antibiotics",IF(G196="white oak pastures","grassfed",IF(G196="inland","seafood watch",IF(G196="atlanta fresh","raised w/o hormones",IF(G196="southern swiss","raised w/o hormones)))))))")))))))</f>
        <v>N/A</v>
      </c>
      <c r="M196" s="127" t="str">
        <f t="shared" si="33"/>
        <v>No</v>
      </c>
      <c r="N196" s="42" t="str">
        <f t="shared" si="34"/>
        <v>N/A</v>
      </c>
      <c r="O196" s="7">
        <f>110.07+183.45</f>
        <v>293.52</v>
      </c>
      <c r="P196" s="7">
        <v>1</v>
      </c>
      <c r="Q196" s="27">
        <f>O:O*P:P</f>
        <v>293.52</v>
      </c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45">
      <c r="A197" s="27" t="s">
        <v>28</v>
      </c>
      <c r="B197" s="27" t="s">
        <v>137</v>
      </c>
      <c r="C197" s="33">
        <v>42298</v>
      </c>
      <c r="D197" s="15" t="s">
        <v>117</v>
      </c>
      <c r="E197" s="27"/>
      <c r="F197" s="27" t="s">
        <v>2</v>
      </c>
      <c r="G197" s="27" t="s">
        <v>30</v>
      </c>
      <c r="H197" s="27" t="s">
        <v>138</v>
      </c>
      <c r="I197" s="16" t="str">
        <f t="shared" si="35"/>
        <v>Yes</v>
      </c>
      <c r="J197" s="15" t="str">
        <f>IF(G197="Mayfield","No",IF(G197="Royal Local","No",IF(A197="sysco","No",IF(G197="Springer Mountain","No",IF(G197="white oak pastures","Yes",IF(G197="Southern Swiss","Yes"))))))</f>
        <v>No</v>
      </c>
      <c r="K197" s="16" t="str">
        <f t="shared" si="37"/>
        <v>No</v>
      </c>
      <c r="L197" s="16" t="str">
        <f t="shared" si="32"/>
        <v>N/A</v>
      </c>
      <c r="M197" s="16" t="str">
        <f t="shared" si="33"/>
        <v>No</v>
      </c>
      <c r="N197" s="42" t="str">
        <f t="shared" si="34"/>
        <v>N/A</v>
      </c>
      <c r="O197" s="7">
        <f>61.1+97.65+61.1+158.62+88.2+19.65+106.25+154.08+61.62+37.7+51.7+126.77+14.96</f>
        <v>1039.4000000000001</v>
      </c>
      <c r="P197" s="7">
        <v>1</v>
      </c>
      <c r="Q197" s="27">
        <f>O:O*P:P</f>
        <v>1039.4000000000001</v>
      </c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45">
      <c r="A198" s="35" t="s">
        <v>28</v>
      </c>
      <c r="B198" s="35" t="s">
        <v>139</v>
      </c>
      <c r="C198" s="23">
        <v>42296</v>
      </c>
      <c r="D198" s="32" t="s">
        <v>117</v>
      </c>
      <c r="E198" s="35"/>
      <c r="F198" s="35" t="s">
        <v>2</v>
      </c>
      <c r="G198" s="35" t="s">
        <v>30</v>
      </c>
      <c r="H198" s="35" t="s">
        <v>140</v>
      </c>
      <c r="I198" s="24" t="str">
        <f t="shared" si="35"/>
        <v>Yes</v>
      </c>
      <c r="J198" s="15" t="str">
        <f>IF(G198="Mayfield","No",IF(G198="Royal Local","No",IF(A198="sysco","No",IF(G198="Springer Mountain","No",IF(G198="white oak pastures","Yes",IF(G198="Southern Swiss","Yes"))))))</f>
        <v>No</v>
      </c>
      <c r="K198" s="24" t="str">
        <f t="shared" si="37"/>
        <v>No</v>
      </c>
      <c r="L198" s="24" t="str">
        <f t="shared" si="32"/>
        <v>N/A</v>
      </c>
      <c r="M198" s="16" t="str">
        <f t="shared" si="33"/>
        <v>No</v>
      </c>
      <c r="N198" s="42" t="str">
        <f t="shared" si="34"/>
        <v>N/A</v>
      </c>
      <c r="O198" s="7">
        <f>61.1+97.65+91.65+22.05+19.65+170+128.4+61.65+37.7+34.22+298.9</f>
        <v>1022.97</v>
      </c>
      <c r="P198" s="7">
        <v>1</v>
      </c>
      <c r="Q198" s="27">
        <f>O:O*P:P</f>
        <v>1022.97</v>
      </c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45">
      <c r="A199" s="167" t="s">
        <v>28</v>
      </c>
      <c r="B199" s="168" t="s">
        <v>141</v>
      </c>
      <c r="C199" s="170">
        <v>42296</v>
      </c>
      <c r="D199" s="167" t="s">
        <v>117</v>
      </c>
      <c r="E199" s="167" t="s">
        <v>302</v>
      </c>
      <c r="F199" s="167" t="s">
        <v>3</v>
      </c>
      <c r="G199" s="167" t="s">
        <v>34</v>
      </c>
      <c r="H199" s="167" t="s">
        <v>86</v>
      </c>
      <c r="I199" s="167" t="str">
        <f t="shared" si="35"/>
        <v>Yes</v>
      </c>
      <c r="J199" s="125" t="s">
        <v>20</v>
      </c>
      <c r="K199" s="167" t="s">
        <v>33</v>
      </c>
      <c r="L199" s="167" t="str">
        <f>IF(K199="No","N/A",IF(G199="mayfield","raised w/o hormones",IF(G199="springer mountain","raised w/o antibiotics",IF(G199="white oak pastures","grassfed",IF(G199="inland","seafood watch",IF(G199="atlanta fresh","raised w/o hormones",IF(G199="southern swiss","raised w/o hormones)))))))")))))))</f>
        <v>N/A</v>
      </c>
      <c r="M199" s="127" t="str">
        <f t="shared" si="33"/>
        <v>No</v>
      </c>
      <c r="N199" s="42" t="str">
        <f t="shared" si="34"/>
        <v>N/A</v>
      </c>
      <c r="O199" s="7">
        <f>23.19+23.19</f>
        <v>46.38</v>
      </c>
      <c r="P199" s="7">
        <v>1</v>
      </c>
      <c r="Q199" s="27">
        <f>O:O*P:P</f>
        <v>46.38</v>
      </c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45">
      <c r="A200" s="27" t="s">
        <v>28</v>
      </c>
      <c r="B200" s="27" t="s">
        <v>142</v>
      </c>
      <c r="C200" s="33">
        <v>42297</v>
      </c>
      <c r="D200" s="15" t="s">
        <v>117</v>
      </c>
      <c r="E200" s="27"/>
      <c r="F200" s="27" t="s">
        <v>2</v>
      </c>
      <c r="G200" s="27" t="s">
        <v>30</v>
      </c>
      <c r="H200" s="27" t="s">
        <v>143</v>
      </c>
      <c r="I200" s="16" t="str">
        <f t="shared" si="35"/>
        <v>Yes</v>
      </c>
      <c r="J200" s="15" t="str">
        <f>IF(G200="Mayfield","No",IF(G200="Royal Local","No",IF(A200="sysco","No",IF(G200="Springer Mountain","No",IF(G200="white oak pastures","Yes",IF(G200="Southern Swiss","Yes"))))))</f>
        <v>No</v>
      </c>
      <c r="K200" s="16" t="str">
        <f t="shared" si="37"/>
        <v>No</v>
      </c>
      <c r="L200" s="16" t="str">
        <f t="shared" si="32"/>
        <v>N/A</v>
      </c>
      <c r="M200" s="16" t="str">
        <f t="shared" si="33"/>
        <v>No</v>
      </c>
      <c r="N200" s="42" t="str">
        <f t="shared" si="34"/>
        <v>N/A</v>
      </c>
      <c r="O200" s="7">
        <f>30.55+32.55+30.55+45.32+22.05+19.65+85+192.6+61.65+68.44+72.44+56.58</f>
        <v>717.38</v>
      </c>
      <c r="P200" s="7">
        <v>1</v>
      </c>
      <c r="Q200" s="27">
        <f>O:O*P:P</f>
        <v>717.38</v>
      </c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45">
      <c r="A201" s="35" t="s">
        <v>15</v>
      </c>
      <c r="B201" s="35"/>
      <c r="C201" s="35" t="s">
        <v>53</v>
      </c>
      <c r="D201" s="32" t="s">
        <v>117</v>
      </c>
      <c r="E201" s="35"/>
      <c r="F201" s="35" t="s">
        <v>3</v>
      </c>
      <c r="G201" s="35" t="s">
        <v>18</v>
      </c>
      <c r="H201" s="35" t="s">
        <v>144</v>
      </c>
      <c r="I201" s="24" t="str">
        <f t="shared" si="35"/>
        <v>Yes</v>
      </c>
      <c r="J201" s="15" t="str">
        <f>IF(G201="Mayfield","No",IF(G201="Royal Local","No",IF(A201="sysco","No",IF(G201="Springer Mountain","No",IF(G201="white oak pastures","Yes",IF(G201="Southern Swiss","Yes"))))))</f>
        <v>No</v>
      </c>
      <c r="K201" s="24" t="s">
        <v>33</v>
      </c>
      <c r="L201" s="24" t="str">
        <f t="shared" si="32"/>
        <v>N/A</v>
      </c>
      <c r="M201" s="16" t="str">
        <f t="shared" si="33"/>
        <v>yes</v>
      </c>
      <c r="N201" s="42" t="str">
        <f t="shared" si="34"/>
        <v>Emory local &amp; raised w/o hormones</v>
      </c>
      <c r="O201" s="7">
        <v>2005.18</v>
      </c>
      <c r="P201" s="7">
        <v>1</v>
      </c>
      <c r="Q201" s="27">
        <f>O:O*P:P</f>
        <v>2005.18</v>
      </c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45">
      <c r="A202" s="167" t="s">
        <v>52</v>
      </c>
      <c r="B202" s="168"/>
      <c r="C202" s="168" t="s">
        <v>53</v>
      </c>
      <c r="D202" s="167" t="s">
        <v>117</v>
      </c>
      <c r="E202" s="167" t="s">
        <v>302</v>
      </c>
      <c r="F202" s="167" t="s">
        <v>54</v>
      </c>
      <c r="G202" s="167" t="s">
        <v>55</v>
      </c>
      <c r="H202" s="167" t="s">
        <v>82</v>
      </c>
      <c r="I202" s="167" t="str">
        <f t="shared" si="35"/>
        <v>No</v>
      </c>
      <c r="J202" s="125" t="str">
        <f>IF(G202="Mayfield","No",IF(G202="Royal Local","No",IF(A202="sysco","No",IF(G202="Springer Mountain","No",IF(G202="white oak pastures","Yes",IF(G202="Southern Swiss","Yes"))))))</f>
        <v>No</v>
      </c>
      <c r="K202" s="167" t="s">
        <v>20</v>
      </c>
      <c r="L202" s="167" t="s">
        <v>145</v>
      </c>
      <c r="M202" s="127" t="str">
        <f t="shared" si="33"/>
        <v>no</v>
      </c>
      <c r="N202" s="42" t="str">
        <f t="shared" si="34"/>
        <v>N/A</v>
      </c>
      <c r="O202" s="7">
        <v>308.85000000000002</v>
      </c>
      <c r="P202" s="7">
        <v>1</v>
      </c>
      <c r="Q202" s="27">
        <f>O:O*P:P</f>
        <v>308.85000000000002</v>
      </c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45">
      <c r="A203" s="167" t="s">
        <v>52</v>
      </c>
      <c r="B203" s="168"/>
      <c r="C203" s="168" t="s">
        <v>53</v>
      </c>
      <c r="D203" s="167" t="s">
        <v>117</v>
      </c>
      <c r="E203" s="167" t="s">
        <v>302</v>
      </c>
      <c r="F203" s="167" t="s">
        <v>54</v>
      </c>
      <c r="G203" s="167" t="s">
        <v>58</v>
      </c>
      <c r="H203" s="167" t="s">
        <v>146</v>
      </c>
      <c r="I203" s="167" t="str">
        <f t="shared" si="35"/>
        <v>No</v>
      </c>
      <c r="J203" s="90" t="str">
        <f>IF(G203="Mayfield","No",IF(G203="Royal Local","No",IF(A203="sysco","No",IF(G203="Springer Mountain","No",IF(G203="white oak pastures","Yes",IF(G203="Southern Swiss","Yes"))))))</f>
        <v>No</v>
      </c>
      <c r="K203" s="167" t="s">
        <v>20</v>
      </c>
      <c r="L203" s="167" t="s">
        <v>145</v>
      </c>
      <c r="M203" s="128" t="str">
        <f t="shared" si="33"/>
        <v>no</v>
      </c>
      <c r="N203" s="43" t="str">
        <f t="shared" si="34"/>
        <v>N/A</v>
      </c>
      <c r="O203" s="11">
        <v>952.39</v>
      </c>
      <c r="P203" s="11">
        <v>1</v>
      </c>
      <c r="Q203" s="32">
        <f>O:O*P:P</f>
        <v>952.39</v>
      </c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45">
      <c r="A204" s="32" t="s">
        <v>15</v>
      </c>
      <c r="B204" s="32"/>
      <c r="C204" s="108" t="s">
        <v>53</v>
      </c>
      <c r="D204" s="32" t="s">
        <v>151</v>
      </c>
      <c r="E204" s="32"/>
      <c r="F204" s="32" t="s">
        <v>3</v>
      </c>
      <c r="G204" s="32" t="s">
        <v>18</v>
      </c>
      <c r="H204" s="32"/>
      <c r="I204" s="24" t="str">
        <f t="shared" ref="I204:I227" si="38">IF(G204="Mayfield","Yes",IF(G204="Royal Local","Yes",IF(A204="sysco","No",IF(G204="atlanta fresh","Yes",IF(G204="Springer Mountain","Yes",IF(G204="white oak Pastures","Yes",IF(G204="Southern Swiss", "Yes")))))))</f>
        <v>Yes</v>
      </c>
      <c r="J204" s="15" t="str">
        <f t="shared" ref="J204:J227" si="39">IF(G204="Mayfield","No",IF(G204="Royal Local","No",IF(A204="sysco","No",IF(G204="Springer Mountain","No",IF(G204="white oak pastures","Yes",IF(G204="Southern Swiss","Yes"))))))</f>
        <v>No</v>
      </c>
      <c r="K204" s="24" t="s">
        <v>33</v>
      </c>
      <c r="L204" s="24" t="str">
        <f>IF(K204="No","N/A",IF(G204="mayfield","raised w/o hormones",IF(G204="springer mountain","raised w/o antibiotics",IF(G204="white oak pastures","grassfed",IF(G204="inland","seafood watch",IF(G204="atlanta fresh","raised w/o hormones",IF(G204="southern swiss","raised w/o hormones)))))))")))))))</f>
        <v>N/A</v>
      </c>
      <c r="M204" s="16" t="str">
        <f>IF(G204="white oak pastures", "Yes",IF(G204="mayfield","yes",IF(G204="oxford farm","yes",IF(K204="No","No", IF(I204="no", "no", IF(G204="springer mountain", "yes", IF(G204="atlanta fresh","yes")))))))</f>
        <v>yes</v>
      </c>
      <c r="N204" s="42" t="str">
        <f>IF(M204="No","N/A",IF(G204="Springer Mountain","Emory Local&amp; raised w/o antibiotics)",IF(G204="mayfield","Emory local &amp; raised w/o hormones",IF(G204="white oak pastures","F2F &amp; grassfed",IF(G204="atlanta fresh","F2F &amp; raised w/o hormones",IF(G204="southern swiss", "yes", IF(G204="batdorf &amp; bronson", "Emory Local &amp; fair trade")))))))</f>
        <v>Emory local &amp; raised w/o hormones</v>
      </c>
      <c r="O204" s="15">
        <v>1710.81</v>
      </c>
      <c r="P204" s="15">
        <v>1</v>
      </c>
      <c r="Q204" s="27">
        <f>O:O*P:P</f>
        <v>1710.81</v>
      </c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45">
      <c r="A205" s="167" t="s">
        <v>152</v>
      </c>
      <c r="B205" s="168"/>
      <c r="C205" s="170">
        <v>42304</v>
      </c>
      <c r="D205" s="167" t="s">
        <v>151</v>
      </c>
      <c r="E205" s="167" t="s">
        <v>302</v>
      </c>
      <c r="F205" s="167" t="s">
        <v>4</v>
      </c>
      <c r="G205" s="167" t="s">
        <v>62</v>
      </c>
      <c r="H205" s="167"/>
      <c r="I205" s="167" t="s">
        <v>33</v>
      </c>
      <c r="J205" s="125" t="s">
        <v>33</v>
      </c>
      <c r="K205" s="167" t="s">
        <v>20</v>
      </c>
      <c r="L205" s="167" t="s">
        <v>63</v>
      </c>
      <c r="M205" s="127" t="str">
        <f t="shared" ref="M205:M230" si="40">IF(G205="white oak pastures", "Yes",IF(G205="mayfield","yes",IF(G205="oxford farm","yes",IF(K205="No","No", IF(I205="no", "no", IF(G205="springer mountain", "yes", IF(G205="atlanta fresh","yes")))))))</f>
        <v>no</v>
      </c>
      <c r="N205" s="42" t="str">
        <f t="shared" ref="N205:N230" si="41">IF(M205="No","N/A",IF(G205="Springer Mountain","Emory Local&amp; raised w/o antibiotics)",IF(G205="mayfield","Emory local &amp; raised w/o hormones",IF(G205="white oak pastures","F2F &amp; grassfed",IF(G205="atlanta fresh","F2F &amp; raised w/o hormones",IF(G205="southern swiss", "yes", IF(G205="batdorf &amp; bronson", "Emory Local &amp; fair trade")))))))</f>
        <v>N/A</v>
      </c>
      <c r="O205" s="7">
        <v>351</v>
      </c>
      <c r="P205" s="7">
        <v>1</v>
      </c>
      <c r="Q205" s="27">
        <f>O:O*P:P</f>
        <v>351</v>
      </c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45">
      <c r="A206" s="167" t="s">
        <v>64</v>
      </c>
      <c r="B206" s="168"/>
      <c r="C206" s="170">
        <v>42300</v>
      </c>
      <c r="D206" s="167" t="s">
        <v>151</v>
      </c>
      <c r="E206" s="167" t="s">
        <v>302</v>
      </c>
      <c r="F206" s="167" t="s">
        <v>2</v>
      </c>
      <c r="G206" s="167" t="s">
        <v>65</v>
      </c>
      <c r="H206" s="167"/>
      <c r="I206" s="167" t="s">
        <v>20</v>
      </c>
      <c r="J206" s="125" t="s">
        <v>20</v>
      </c>
      <c r="K206" s="167" t="s">
        <v>33</v>
      </c>
      <c r="L206" s="167" t="str">
        <f t="shared" ref="L206:L230" si="42">IF(K206="No","N/A",IF(G206="mayfield","raised w/o hormones",IF(G206="springer mountain","raised w/o antibiotics",IF(G206="white oak pastures","grassfed",IF(G206="inland","seafood watch",IF(G206="atlanta fresh","raised w/o hormones",IF(G206="southern swiss","raised w/o hormones)))))))")))))))</f>
        <v>N/A</v>
      </c>
      <c r="M206" s="127" t="str">
        <f t="shared" si="40"/>
        <v>No</v>
      </c>
      <c r="N206" s="42" t="str">
        <f t="shared" si="41"/>
        <v>N/A</v>
      </c>
      <c r="O206" s="7">
        <v>947.15</v>
      </c>
      <c r="P206" s="7">
        <v>1</v>
      </c>
      <c r="Q206" s="27">
        <f>O:O*P:P</f>
        <v>947.15</v>
      </c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45">
      <c r="A207" s="167" t="s">
        <v>66</v>
      </c>
      <c r="B207" s="168"/>
      <c r="C207" s="170">
        <v>42300</v>
      </c>
      <c r="D207" s="167" t="s">
        <v>151</v>
      </c>
      <c r="E207" s="167" t="s">
        <v>302</v>
      </c>
      <c r="F207" s="167" t="s">
        <v>1</v>
      </c>
      <c r="G207" s="167" t="s">
        <v>23</v>
      </c>
      <c r="H207" s="167" t="s">
        <v>153</v>
      </c>
      <c r="I207" s="167" t="str">
        <f t="shared" si="38"/>
        <v>Yes</v>
      </c>
      <c r="J207" s="125" t="str">
        <f t="shared" si="39"/>
        <v>Yes</v>
      </c>
      <c r="K207" s="167" t="str">
        <f t="shared" ref="K207:K227" si="43">IF(G207="Mayfield","Yes", IF(G207="Royal Local","No",IF(G207="butterball", "yes",IF(G207="Springer Mountain","Yes",IF(G207="white oak pastures","Yes",IF(G207="Southern Swiss", "Yes", IF(G207="atlanta fresh", "yes")))))))</f>
        <v>Yes</v>
      </c>
      <c r="L207" s="167" t="str">
        <f t="shared" si="42"/>
        <v>grassfed</v>
      </c>
      <c r="M207" s="127" t="str">
        <f t="shared" si="40"/>
        <v>Yes</v>
      </c>
      <c r="N207" s="42" t="str">
        <f t="shared" si="41"/>
        <v>F2F &amp; grassfed</v>
      </c>
      <c r="O207" s="7">
        <v>1175.4000000000001</v>
      </c>
      <c r="P207" s="7">
        <v>1</v>
      </c>
      <c r="Q207" s="27">
        <f>O:O*P:P</f>
        <v>1175.4000000000001</v>
      </c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45">
      <c r="A208" s="32" t="s">
        <v>66</v>
      </c>
      <c r="B208" s="32">
        <v>812561</v>
      </c>
      <c r="C208" s="108">
        <v>42300</v>
      </c>
      <c r="D208" s="32" t="s">
        <v>151</v>
      </c>
      <c r="E208" s="32"/>
      <c r="F208" s="32" t="s">
        <v>1</v>
      </c>
      <c r="G208" s="32" t="s">
        <v>148</v>
      </c>
      <c r="H208" s="32" t="s">
        <v>124</v>
      </c>
      <c r="I208" s="24" t="s">
        <v>20</v>
      </c>
      <c r="J208" s="15" t="s">
        <v>33</v>
      </c>
      <c r="K208" s="24" t="s">
        <v>33</v>
      </c>
      <c r="L208" s="24" t="s">
        <v>32</v>
      </c>
      <c r="M208" s="16" t="str">
        <f t="shared" si="40"/>
        <v>No</v>
      </c>
      <c r="N208" s="42" t="str">
        <f t="shared" si="41"/>
        <v>N/A</v>
      </c>
      <c r="O208" s="7">
        <v>282.44</v>
      </c>
      <c r="P208" s="7">
        <v>1</v>
      </c>
      <c r="Q208" s="27">
        <f>O:O*P:P</f>
        <v>282.44</v>
      </c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45">
      <c r="A209" s="167" t="s">
        <v>27</v>
      </c>
      <c r="B209" s="168">
        <v>8067503</v>
      </c>
      <c r="C209" s="170">
        <v>42300</v>
      </c>
      <c r="D209" s="167" t="s">
        <v>151</v>
      </c>
      <c r="E209" s="167" t="s">
        <v>302</v>
      </c>
      <c r="F209" s="167" t="s">
        <v>54</v>
      </c>
      <c r="G209" s="167" t="s">
        <v>154</v>
      </c>
      <c r="H209" s="167" t="s">
        <v>155</v>
      </c>
      <c r="I209" s="167" t="s">
        <v>33</v>
      </c>
      <c r="J209" s="125" t="s">
        <v>33</v>
      </c>
      <c r="K209" s="167" t="s">
        <v>20</v>
      </c>
      <c r="L209" s="167" t="s">
        <v>145</v>
      </c>
      <c r="M209" s="127" t="str">
        <f t="shared" si="40"/>
        <v>no</v>
      </c>
      <c r="N209" s="42" t="str">
        <f t="shared" si="41"/>
        <v>N/A</v>
      </c>
      <c r="O209" s="7">
        <v>217.17</v>
      </c>
      <c r="P209" s="7">
        <v>1</v>
      </c>
      <c r="Q209" s="27">
        <f>O:O*P:P</f>
        <v>217.17</v>
      </c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45">
      <c r="A210" s="50" t="s">
        <v>28</v>
      </c>
      <c r="B210" s="50" t="s">
        <v>156</v>
      </c>
      <c r="C210" s="20">
        <v>42301</v>
      </c>
      <c r="D210" s="27" t="s">
        <v>151</v>
      </c>
      <c r="E210" s="7"/>
      <c r="F210" s="50" t="s">
        <v>2</v>
      </c>
      <c r="G210" s="50" t="s">
        <v>30</v>
      </c>
      <c r="H210" s="50" t="s">
        <v>157</v>
      </c>
      <c r="I210" s="16" t="str">
        <f t="shared" si="38"/>
        <v>Yes</v>
      </c>
      <c r="J210" s="15" t="str">
        <f t="shared" si="39"/>
        <v>No</v>
      </c>
      <c r="K210" s="16" t="str">
        <f t="shared" si="43"/>
        <v>No</v>
      </c>
      <c r="L210" s="16" t="str">
        <f t="shared" si="42"/>
        <v>N/A</v>
      </c>
      <c r="M210" s="16" t="str">
        <f t="shared" si="40"/>
        <v>No</v>
      </c>
      <c r="N210" s="42" t="str">
        <f t="shared" si="41"/>
        <v>N/A</v>
      </c>
      <c r="O210" s="7">
        <f>30.55+65.1+61.1+181.28+28.8+132.3+39.3+37.86+255+128.4+82.2+75.4+25.8+51.33+54.33+228.72</f>
        <v>1477.4699999999998</v>
      </c>
      <c r="P210" s="7">
        <v>1</v>
      </c>
      <c r="Q210" s="27">
        <f>O:O*P:P</f>
        <v>1477.4699999999998</v>
      </c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45">
      <c r="A211" s="149" t="s">
        <v>28</v>
      </c>
      <c r="B211" s="149" t="s">
        <v>158</v>
      </c>
      <c r="C211" s="23">
        <v>42300</v>
      </c>
      <c r="D211" s="32" t="s">
        <v>151</v>
      </c>
      <c r="E211" s="35"/>
      <c r="F211" s="149" t="s">
        <v>2</v>
      </c>
      <c r="G211" s="149" t="s">
        <v>30</v>
      </c>
      <c r="H211" s="149" t="s">
        <v>159</v>
      </c>
      <c r="I211" s="24" t="str">
        <f t="shared" si="38"/>
        <v>Yes</v>
      </c>
      <c r="J211" s="15" t="str">
        <f t="shared" si="39"/>
        <v>No</v>
      </c>
      <c r="K211" s="24" t="str">
        <f t="shared" si="43"/>
        <v>No</v>
      </c>
      <c r="L211" s="24" t="str">
        <f t="shared" si="42"/>
        <v>N/A</v>
      </c>
      <c r="M211" s="16" t="str">
        <f t="shared" si="40"/>
        <v>No</v>
      </c>
      <c r="N211" s="42" t="str">
        <f t="shared" si="41"/>
        <v>N/A</v>
      </c>
      <c r="O211" s="7">
        <f>30.55+97.65+61.1+249.26+28.8+39.3+20.55+37.7+64.05+72.44+205.45</f>
        <v>906.85000000000014</v>
      </c>
      <c r="P211" s="7">
        <v>1</v>
      </c>
      <c r="Q211" s="27">
        <f>O:O*P:P</f>
        <v>906.85000000000014</v>
      </c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45">
      <c r="A212" s="171" t="s">
        <v>28</v>
      </c>
      <c r="B212" s="172" t="s">
        <v>158</v>
      </c>
      <c r="C212" s="170">
        <v>42300</v>
      </c>
      <c r="D212" s="167" t="s">
        <v>151</v>
      </c>
      <c r="E212" s="167" t="s">
        <v>302</v>
      </c>
      <c r="F212" s="171" t="s">
        <v>3</v>
      </c>
      <c r="G212" s="171" t="s">
        <v>34</v>
      </c>
      <c r="H212" s="171" t="s">
        <v>86</v>
      </c>
      <c r="I212" s="167" t="str">
        <f t="shared" si="38"/>
        <v>Yes</v>
      </c>
      <c r="J212" s="129" t="s">
        <v>20</v>
      </c>
      <c r="K212" s="167" t="s">
        <v>33</v>
      </c>
      <c r="L212" s="167" t="str">
        <f>IF(K212="No","N/A",IF(G212="mayfield","raised w/o hormones",IF(G212="springer mountain","raised w/o antibiotics",IF(G212="white oak pastures","grassfed",IF(G212="inland","seafood watch",IF(G212="atlanta fresh","raised w/o hormones",IF(G212="southern swiss","raised w/o hormones)))))))")))))))</f>
        <v>N/A</v>
      </c>
      <c r="M212" s="127" t="str">
        <f t="shared" si="40"/>
        <v>No</v>
      </c>
      <c r="N212" s="42" t="str">
        <f t="shared" si="41"/>
        <v>N/A</v>
      </c>
      <c r="O212" s="7">
        <v>110.07</v>
      </c>
      <c r="P212" s="7">
        <v>1</v>
      </c>
      <c r="Q212" s="27">
        <f>O:O*P:P</f>
        <v>110.07</v>
      </c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45">
      <c r="A213" s="171" t="s">
        <v>28</v>
      </c>
      <c r="B213" s="172" t="s">
        <v>160</v>
      </c>
      <c r="C213" s="170">
        <v>42301</v>
      </c>
      <c r="D213" s="167" t="s">
        <v>151</v>
      </c>
      <c r="E213" s="167" t="s">
        <v>302</v>
      </c>
      <c r="F213" s="171" t="s">
        <v>3</v>
      </c>
      <c r="G213" s="171" t="s">
        <v>34</v>
      </c>
      <c r="H213" s="171" t="s">
        <v>86</v>
      </c>
      <c r="I213" s="167" t="str">
        <f t="shared" si="38"/>
        <v>Yes</v>
      </c>
      <c r="J213" s="129" t="s">
        <v>20</v>
      </c>
      <c r="K213" s="167" t="s">
        <v>33</v>
      </c>
      <c r="L213" s="167" t="str">
        <f>IF(K213="No","N/A",IF(G213="mayfield","raised w/o hormones",IF(G213="springer mountain","raised w/o antibiotics",IF(G213="white oak pastures","grassfed",IF(G213="inland","seafood watch",IF(G213="atlanta fresh","raised w/o hormones",IF(G213="southern swiss","raised w/o hormones)))))))")))))))</f>
        <v>N/A</v>
      </c>
      <c r="M213" s="127" t="str">
        <f t="shared" si="40"/>
        <v>No</v>
      </c>
      <c r="N213" s="42" t="str">
        <f t="shared" si="41"/>
        <v>N/A</v>
      </c>
      <c r="O213" s="7">
        <f>146.76+220.14</f>
        <v>366.9</v>
      </c>
      <c r="P213" s="7">
        <v>1</v>
      </c>
      <c r="Q213" s="27">
        <f>O:O*P:P</f>
        <v>366.9</v>
      </c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45">
      <c r="A214" s="49" t="s">
        <v>28</v>
      </c>
      <c r="B214" s="49" t="s">
        <v>160</v>
      </c>
      <c r="C214" s="33">
        <v>42301</v>
      </c>
      <c r="D214" s="27" t="s">
        <v>151</v>
      </c>
      <c r="E214" s="27"/>
      <c r="F214" s="49" t="s">
        <v>2</v>
      </c>
      <c r="G214" s="49" t="s">
        <v>30</v>
      </c>
      <c r="H214" s="49" t="s">
        <v>106</v>
      </c>
      <c r="I214" s="16" t="str">
        <f t="shared" si="38"/>
        <v>Yes</v>
      </c>
      <c r="J214" s="15" t="str">
        <f t="shared" si="39"/>
        <v>No</v>
      </c>
      <c r="K214" s="16" t="str">
        <f t="shared" si="43"/>
        <v>No</v>
      </c>
      <c r="L214" s="16" t="str">
        <f t="shared" si="42"/>
        <v>N/A</v>
      </c>
      <c r="M214" s="16" t="str">
        <f t="shared" si="40"/>
        <v>No</v>
      </c>
      <c r="N214" s="42" t="str">
        <f t="shared" si="41"/>
        <v>N/A</v>
      </c>
      <c r="O214" s="7">
        <v>88.05</v>
      </c>
      <c r="P214" s="7">
        <v>1</v>
      </c>
      <c r="Q214" s="27">
        <f>O:O*P:P</f>
        <v>88.05</v>
      </c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45">
      <c r="A215" s="50" t="s">
        <v>28</v>
      </c>
      <c r="B215" s="50" t="s">
        <v>161</v>
      </c>
      <c r="C215" s="20">
        <v>42304</v>
      </c>
      <c r="D215" s="27" t="s">
        <v>151</v>
      </c>
      <c r="E215" s="7"/>
      <c r="F215" s="50" t="s">
        <v>2</v>
      </c>
      <c r="G215" s="50" t="s">
        <v>30</v>
      </c>
      <c r="H215" s="50" t="s">
        <v>136</v>
      </c>
      <c r="I215" s="16" t="str">
        <f t="shared" si="38"/>
        <v>Yes</v>
      </c>
      <c r="J215" s="15" t="str">
        <f t="shared" si="39"/>
        <v>No</v>
      </c>
      <c r="K215" s="16" t="str">
        <f t="shared" si="43"/>
        <v>No</v>
      </c>
      <c r="L215" s="16" t="str">
        <f t="shared" si="42"/>
        <v>N/A</v>
      </c>
      <c r="M215" s="16" t="str">
        <f t="shared" si="40"/>
        <v>No</v>
      </c>
      <c r="N215" s="42" t="str">
        <f t="shared" si="41"/>
        <v>N/A</v>
      </c>
      <c r="O215" s="7">
        <f>91.65+61.1+97.65+61.1+39.3+124.5+64.2+18.85+48.33+117.4+71.18+263.12</f>
        <v>1058.3800000000001</v>
      </c>
      <c r="P215" s="7">
        <v>1</v>
      </c>
      <c r="Q215" s="27">
        <f>O:O*P:P</f>
        <v>1058.3800000000001</v>
      </c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45">
      <c r="A216" s="50" t="s">
        <v>28</v>
      </c>
      <c r="B216" s="50" t="s">
        <v>162</v>
      </c>
      <c r="C216" s="20">
        <v>42303</v>
      </c>
      <c r="D216" s="27" t="s">
        <v>151</v>
      </c>
      <c r="E216" s="7"/>
      <c r="F216" s="50" t="s">
        <v>2</v>
      </c>
      <c r="G216" s="50" t="s">
        <v>30</v>
      </c>
      <c r="H216" s="50" t="s">
        <v>163</v>
      </c>
      <c r="I216" s="16" t="str">
        <f t="shared" si="38"/>
        <v>Yes</v>
      </c>
      <c r="J216" s="15" t="str">
        <f t="shared" si="39"/>
        <v>No</v>
      </c>
      <c r="K216" s="16" t="str">
        <f t="shared" si="43"/>
        <v>No</v>
      </c>
      <c r="L216" s="16" t="str">
        <f t="shared" si="42"/>
        <v>N/A</v>
      </c>
      <c r="M216" s="16" t="str">
        <f t="shared" si="40"/>
        <v>No</v>
      </c>
      <c r="N216" s="42" t="str">
        <f t="shared" si="41"/>
        <v>N/A</v>
      </c>
      <c r="O216" s="7">
        <f>32.55+61.1+45.32+39.3+154.08+56.55+60.44</f>
        <v>449.34000000000003</v>
      </c>
      <c r="P216" s="7">
        <v>1</v>
      </c>
      <c r="Q216" s="27">
        <f>O:O*P:P</f>
        <v>449.34000000000003</v>
      </c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45">
      <c r="A217" s="50" t="s">
        <v>28</v>
      </c>
      <c r="B217" s="50" t="s">
        <v>164</v>
      </c>
      <c r="C217" s="20">
        <v>42306</v>
      </c>
      <c r="D217" s="27" t="s">
        <v>151</v>
      </c>
      <c r="E217" s="7"/>
      <c r="F217" s="50" t="s">
        <v>2</v>
      </c>
      <c r="G217" s="50" t="s">
        <v>30</v>
      </c>
      <c r="H217" s="50" t="s">
        <v>165</v>
      </c>
      <c r="I217" s="16" t="str">
        <f t="shared" si="38"/>
        <v>Yes</v>
      </c>
      <c r="J217" s="15" t="str">
        <f t="shared" si="39"/>
        <v>No</v>
      </c>
      <c r="K217" s="16" t="str">
        <f t="shared" si="43"/>
        <v>No</v>
      </c>
      <c r="L217" s="16" t="str">
        <f t="shared" si="42"/>
        <v>N/A</v>
      </c>
      <c r="M217" s="16" t="str">
        <f t="shared" si="40"/>
        <v>No</v>
      </c>
      <c r="N217" s="42" t="str">
        <f t="shared" si="41"/>
        <v>N/A</v>
      </c>
      <c r="O217" s="7">
        <f>36.59+5.18+6.42</f>
        <v>48.190000000000005</v>
      </c>
      <c r="P217" s="7">
        <v>1</v>
      </c>
      <c r="Q217" s="27">
        <f>O:O*P:P</f>
        <v>48.190000000000005</v>
      </c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45">
      <c r="A218" s="7" t="s">
        <v>28</v>
      </c>
      <c r="B218" s="7" t="s">
        <v>166</v>
      </c>
      <c r="C218" s="20">
        <v>42305</v>
      </c>
      <c r="D218" s="27" t="s">
        <v>151</v>
      </c>
      <c r="E218" s="7"/>
      <c r="F218" s="7" t="s">
        <v>2</v>
      </c>
      <c r="G218" s="7" t="s">
        <v>30</v>
      </c>
      <c r="H218" s="7" t="s">
        <v>167</v>
      </c>
      <c r="I218" s="16" t="str">
        <f t="shared" si="38"/>
        <v>Yes</v>
      </c>
      <c r="J218" s="15" t="str">
        <f t="shared" si="39"/>
        <v>No</v>
      </c>
      <c r="K218" s="16" t="str">
        <f t="shared" si="43"/>
        <v>No</v>
      </c>
      <c r="L218" s="16" t="str">
        <f t="shared" si="42"/>
        <v>N/A</v>
      </c>
      <c r="M218" s="16" t="str">
        <f t="shared" si="40"/>
        <v>No</v>
      </c>
      <c r="N218" s="42" t="str">
        <f t="shared" si="41"/>
        <v>N/A</v>
      </c>
      <c r="O218" s="7">
        <f>65.1+61.1+45.32+39.3+103.75+99.95+128.4+56.55+75.55+96.66+58.7</f>
        <v>830.37999999999988</v>
      </c>
      <c r="P218" s="7">
        <v>1</v>
      </c>
      <c r="Q218" s="27">
        <f>O:O*P:P</f>
        <v>830.37999999999988</v>
      </c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45">
      <c r="A219" s="35" t="s">
        <v>28</v>
      </c>
      <c r="B219" s="35" t="s">
        <v>175</v>
      </c>
      <c r="C219" s="23">
        <v>42306</v>
      </c>
      <c r="D219" s="32" t="s">
        <v>151</v>
      </c>
      <c r="E219" s="35"/>
      <c r="F219" s="35" t="s">
        <v>2</v>
      </c>
      <c r="G219" s="35" t="s">
        <v>30</v>
      </c>
      <c r="H219" s="35" t="s">
        <v>176</v>
      </c>
      <c r="I219" s="24" t="str">
        <f t="shared" si="38"/>
        <v>Yes</v>
      </c>
      <c r="J219" s="27" t="str">
        <f t="shared" si="39"/>
        <v>No</v>
      </c>
      <c r="K219" s="24" t="str">
        <f t="shared" si="43"/>
        <v>No</v>
      </c>
      <c r="L219" s="24" t="str">
        <f t="shared" si="42"/>
        <v>N/A</v>
      </c>
      <c r="M219" s="16" t="str">
        <f t="shared" si="40"/>
        <v>No</v>
      </c>
      <c r="N219" s="42" t="str">
        <f t="shared" si="41"/>
        <v>N/A</v>
      </c>
      <c r="O219" s="30">
        <f>91.65+65.1+30.55+203.94+16.05+103.75+128.4+94.25+42.7+30.22+32.22+58.7+106.77+328.9+56.58</f>
        <v>1389.7800000000002</v>
      </c>
      <c r="P219" s="30">
        <v>1</v>
      </c>
      <c r="Q219" s="27">
        <f>O:O*P:P</f>
        <v>1389.7800000000002</v>
      </c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45">
      <c r="A220" s="167" t="s">
        <v>28</v>
      </c>
      <c r="B220" s="168" t="s">
        <v>175</v>
      </c>
      <c r="C220" s="170">
        <v>42306</v>
      </c>
      <c r="D220" s="167" t="s">
        <v>151</v>
      </c>
      <c r="E220" s="167" t="s">
        <v>302</v>
      </c>
      <c r="F220" s="167" t="s">
        <v>3</v>
      </c>
      <c r="G220" s="167" t="s">
        <v>34</v>
      </c>
      <c r="H220" s="167" t="s">
        <v>86</v>
      </c>
      <c r="I220" s="167" t="str">
        <f t="shared" si="38"/>
        <v>Yes</v>
      </c>
      <c r="J220" s="125" t="s">
        <v>20</v>
      </c>
      <c r="K220" s="167" t="s">
        <v>33</v>
      </c>
      <c r="L220" s="167" t="str">
        <f>IF(K220="No","N/A",IF(G220="mayfield","raised w/o hormones",IF(G220="springer mountain","raised w/o antibiotics",IF(G220="white oak pastures","grassfed",IF(G220="inland","seafood watch",IF(G220="atlanta fresh","raised w/o hormones",IF(G220="southern swiss","raised w/o hormones)))))))")))))))</f>
        <v>N/A</v>
      </c>
      <c r="M220" s="127" t="str">
        <f t="shared" si="40"/>
        <v>No</v>
      </c>
      <c r="N220" s="42" t="str">
        <f t="shared" si="41"/>
        <v>N/A</v>
      </c>
      <c r="O220" s="30">
        <f>73.38+183.45</f>
        <v>256.83</v>
      </c>
      <c r="P220" s="30">
        <v>1</v>
      </c>
      <c r="Q220" s="27">
        <f>O:O*P:P</f>
        <v>256.83</v>
      </c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45">
      <c r="A221" s="32" t="s">
        <v>28</v>
      </c>
      <c r="B221" s="32" t="s">
        <v>168</v>
      </c>
      <c r="C221" s="108">
        <v>42305</v>
      </c>
      <c r="D221" s="32" t="s">
        <v>151</v>
      </c>
      <c r="E221" s="32"/>
      <c r="F221" s="32" t="s">
        <v>2</v>
      </c>
      <c r="G221" s="32" t="s">
        <v>30</v>
      </c>
      <c r="H221" s="32" t="s">
        <v>169</v>
      </c>
      <c r="I221" s="24" t="str">
        <f t="shared" si="38"/>
        <v>Yes</v>
      </c>
      <c r="J221" s="15" t="str">
        <f t="shared" si="39"/>
        <v>No</v>
      </c>
      <c r="K221" s="24" t="str">
        <f t="shared" si="43"/>
        <v>No</v>
      </c>
      <c r="L221" s="24" t="str">
        <f t="shared" si="42"/>
        <v>N/A</v>
      </c>
      <c r="M221" s="16" t="str">
        <f t="shared" si="40"/>
        <v>No</v>
      </c>
      <c r="N221" s="42" t="str">
        <f t="shared" si="41"/>
        <v>N/A</v>
      </c>
      <c r="O221" s="7">
        <v>134.25</v>
      </c>
      <c r="P221" s="7">
        <v>1</v>
      </c>
      <c r="Q221" s="27">
        <f>O:O*P:P</f>
        <v>134.25</v>
      </c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45">
      <c r="A222" s="167" t="s">
        <v>64</v>
      </c>
      <c r="B222" s="168"/>
      <c r="C222" s="170">
        <v>42304</v>
      </c>
      <c r="D222" s="167" t="s">
        <v>151</v>
      </c>
      <c r="E222" s="167" t="s">
        <v>302</v>
      </c>
      <c r="F222" s="167" t="s">
        <v>2</v>
      </c>
      <c r="G222" s="167" t="s">
        <v>65</v>
      </c>
      <c r="H222" s="167" t="s">
        <v>170</v>
      </c>
      <c r="I222" s="167" t="s">
        <v>20</v>
      </c>
      <c r="J222" s="125" t="s">
        <v>20</v>
      </c>
      <c r="K222" s="167" t="s">
        <v>33</v>
      </c>
      <c r="L222" s="167" t="str">
        <f t="shared" si="42"/>
        <v>N/A</v>
      </c>
      <c r="M222" s="127" t="str">
        <f t="shared" si="40"/>
        <v>No</v>
      </c>
      <c r="N222" s="42" t="str">
        <f t="shared" si="41"/>
        <v>N/A</v>
      </c>
      <c r="O222" s="7">
        <v>590</v>
      </c>
      <c r="P222" s="7">
        <v>1</v>
      </c>
      <c r="Q222" s="27">
        <f>O:O*P:P</f>
        <v>590</v>
      </c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45">
      <c r="A223" s="167" t="s">
        <v>52</v>
      </c>
      <c r="B223" s="168"/>
      <c r="C223" s="170" t="s">
        <v>53</v>
      </c>
      <c r="D223" s="167" t="s">
        <v>151</v>
      </c>
      <c r="E223" s="167" t="s">
        <v>302</v>
      </c>
      <c r="F223" s="167" t="s">
        <v>54</v>
      </c>
      <c r="G223" s="167" t="s">
        <v>55</v>
      </c>
      <c r="H223" s="167" t="s">
        <v>82</v>
      </c>
      <c r="I223" s="167" t="str">
        <f t="shared" si="38"/>
        <v>No</v>
      </c>
      <c r="J223" s="125" t="str">
        <f t="shared" si="39"/>
        <v>No</v>
      </c>
      <c r="K223" s="167" t="s">
        <v>20</v>
      </c>
      <c r="L223" s="167" t="s">
        <v>145</v>
      </c>
      <c r="M223" s="127" t="str">
        <f t="shared" si="40"/>
        <v>no</v>
      </c>
      <c r="N223" s="42" t="str">
        <f t="shared" si="41"/>
        <v>N/A</v>
      </c>
      <c r="O223" s="7">
        <v>370.62</v>
      </c>
      <c r="P223" s="7">
        <v>1</v>
      </c>
      <c r="Q223" s="27">
        <f>O:O*P:P</f>
        <v>370.62</v>
      </c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s="88" customFormat="1" ht="12.75" customHeight="1" x14ac:dyDescent="0.45">
      <c r="A224" s="57" t="s">
        <v>18</v>
      </c>
      <c r="B224" s="57"/>
      <c r="C224" s="150" t="s">
        <v>53</v>
      </c>
      <c r="D224" s="57" t="s">
        <v>172</v>
      </c>
      <c r="E224" s="57"/>
      <c r="F224" s="57" t="s">
        <v>3</v>
      </c>
      <c r="G224" s="57" t="s">
        <v>18</v>
      </c>
      <c r="H224" s="57" t="s">
        <v>144</v>
      </c>
      <c r="I224" s="58" t="str">
        <f t="shared" si="38"/>
        <v>Yes</v>
      </c>
      <c r="J224" s="48" t="str">
        <f t="shared" si="39"/>
        <v>No</v>
      </c>
      <c r="K224" s="58" t="s">
        <v>33</v>
      </c>
      <c r="L224" s="58" t="str">
        <f t="shared" si="42"/>
        <v>N/A</v>
      </c>
      <c r="M224" s="55" t="str">
        <f t="shared" si="40"/>
        <v>yes</v>
      </c>
      <c r="N224" s="56" t="str">
        <f t="shared" si="41"/>
        <v>Emory local &amp; raised w/o hormones</v>
      </c>
      <c r="O224" s="48">
        <v>1266.06</v>
      </c>
      <c r="P224" s="48">
        <v>1</v>
      </c>
      <c r="Q224" s="48">
        <f>O:O*P:P</f>
        <v>1266.06</v>
      </c>
      <c r="R224" s="87"/>
      <c r="S224" s="87"/>
      <c r="T224" s="87"/>
      <c r="U224" s="87"/>
      <c r="V224" s="87"/>
      <c r="W224" s="87"/>
      <c r="X224" s="87"/>
      <c r="Y224" s="87"/>
      <c r="Z224" s="87"/>
      <c r="AA224" s="87"/>
    </row>
    <row r="225" spans="1:27" s="88" customFormat="1" ht="12.75" customHeight="1" x14ac:dyDescent="0.45">
      <c r="A225" s="167" t="s">
        <v>66</v>
      </c>
      <c r="B225" s="168">
        <v>814323</v>
      </c>
      <c r="C225" s="170">
        <v>42307</v>
      </c>
      <c r="D225" s="167" t="s">
        <v>172</v>
      </c>
      <c r="E225" s="167" t="s">
        <v>302</v>
      </c>
      <c r="F225" s="167" t="s">
        <v>1</v>
      </c>
      <c r="G225" s="167" t="s">
        <v>23</v>
      </c>
      <c r="H225" s="167" t="s">
        <v>121</v>
      </c>
      <c r="I225" s="167" t="str">
        <f t="shared" si="38"/>
        <v>Yes</v>
      </c>
      <c r="J225" s="130" t="str">
        <f t="shared" si="39"/>
        <v>Yes</v>
      </c>
      <c r="K225" s="167" t="str">
        <f t="shared" si="43"/>
        <v>Yes</v>
      </c>
      <c r="L225" s="167" t="str">
        <f t="shared" si="42"/>
        <v>grassfed</v>
      </c>
      <c r="M225" s="131" t="str">
        <f t="shared" si="40"/>
        <v>Yes</v>
      </c>
      <c r="N225" s="56" t="str">
        <f t="shared" si="41"/>
        <v>F2F &amp; grassfed</v>
      </c>
      <c r="O225" s="48">
        <v>1175.4000000000001</v>
      </c>
      <c r="P225" s="48">
        <v>1</v>
      </c>
      <c r="Q225" s="48">
        <f>O:O*P:P</f>
        <v>1175.4000000000001</v>
      </c>
      <c r="R225" s="87"/>
      <c r="S225" s="87"/>
      <c r="T225" s="87"/>
      <c r="U225" s="87"/>
      <c r="V225" s="87"/>
      <c r="W225" s="87"/>
      <c r="X225" s="87"/>
      <c r="Y225" s="87"/>
      <c r="Z225" s="87"/>
      <c r="AA225" s="87"/>
    </row>
    <row r="226" spans="1:27" ht="12.75" customHeight="1" x14ac:dyDescent="0.45">
      <c r="A226" s="151" t="s">
        <v>66</v>
      </c>
      <c r="B226" s="151">
        <v>816173</v>
      </c>
      <c r="C226" s="152">
        <v>42311</v>
      </c>
      <c r="D226" s="151" t="s">
        <v>172</v>
      </c>
      <c r="E226" s="151"/>
      <c r="F226" s="151" t="s">
        <v>1</v>
      </c>
      <c r="G226" s="151" t="s">
        <v>148</v>
      </c>
      <c r="H226" s="151" t="s">
        <v>124</v>
      </c>
      <c r="I226" s="153" t="s">
        <v>20</v>
      </c>
      <c r="J226" s="48" t="s">
        <v>33</v>
      </c>
      <c r="K226" s="153" t="s">
        <v>33</v>
      </c>
      <c r="L226" s="153" t="str">
        <f t="shared" si="42"/>
        <v>N/A</v>
      </c>
      <c r="M226" s="55" t="str">
        <f t="shared" si="40"/>
        <v>No</v>
      </c>
      <c r="N226" s="56" t="str">
        <f t="shared" si="41"/>
        <v>N/A</v>
      </c>
      <c r="O226" s="48">
        <f>752.99+357.5</f>
        <v>1110.49</v>
      </c>
      <c r="P226" s="48">
        <v>1</v>
      </c>
      <c r="Q226" s="48">
        <f>O:O*P:P</f>
        <v>1110.49</v>
      </c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45">
      <c r="A227" s="167" t="s">
        <v>66</v>
      </c>
      <c r="B227" s="168">
        <v>816173</v>
      </c>
      <c r="C227" s="170">
        <v>42311</v>
      </c>
      <c r="D227" s="167" t="s">
        <v>172</v>
      </c>
      <c r="E227" s="167" t="s">
        <v>302</v>
      </c>
      <c r="F227" s="167" t="s">
        <v>1</v>
      </c>
      <c r="G227" s="167" t="s">
        <v>23</v>
      </c>
      <c r="H227" s="167" t="s">
        <v>121</v>
      </c>
      <c r="I227" s="167" t="str">
        <f t="shared" si="38"/>
        <v>Yes</v>
      </c>
      <c r="J227" s="130" t="str">
        <f t="shared" si="39"/>
        <v>Yes</v>
      </c>
      <c r="K227" s="167" t="str">
        <f t="shared" si="43"/>
        <v>Yes</v>
      </c>
      <c r="L227" s="167" t="str">
        <f t="shared" si="42"/>
        <v>grassfed</v>
      </c>
      <c r="M227" s="131" t="str">
        <f t="shared" si="40"/>
        <v>Yes</v>
      </c>
      <c r="N227" s="56" t="str">
        <f t="shared" si="41"/>
        <v>F2F &amp; grassfed</v>
      </c>
      <c r="O227" s="48">
        <f>369.6+1959</f>
        <v>2328.6</v>
      </c>
      <c r="P227" s="48">
        <v>1</v>
      </c>
      <c r="Q227" s="48">
        <f>O:O*P:P</f>
        <v>2328.6</v>
      </c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45">
      <c r="A228" s="60" t="s">
        <v>66</v>
      </c>
      <c r="B228" s="60">
        <v>8166743</v>
      </c>
      <c r="C228" s="109">
        <v>42312</v>
      </c>
      <c r="D228" s="60" t="s">
        <v>172</v>
      </c>
      <c r="E228" s="60"/>
      <c r="F228" s="60" t="s">
        <v>1</v>
      </c>
      <c r="G228" s="60" t="s">
        <v>148</v>
      </c>
      <c r="H228" s="60" t="s">
        <v>124</v>
      </c>
      <c r="I228" s="61" t="s">
        <v>20</v>
      </c>
      <c r="J228" s="48" t="s">
        <v>33</v>
      </c>
      <c r="K228" s="61" t="s">
        <v>33</v>
      </c>
      <c r="L228" s="61" t="str">
        <f t="shared" si="42"/>
        <v>N/A</v>
      </c>
      <c r="M228" s="55" t="str">
        <f t="shared" si="40"/>
        <v>No</v>
      </c>
      <c r="N228" s="56" t="str">
        <f t="shared" si="41"/>
        <v>N/A</v>
      </c>
      <c r="O228" s="48">
        <f>580.84</f>
        <v>580.84</v>
      </c>
      <c r="P228" s="48">
        <v>1</v>
      </c>
      <c r="Q228" s="48">
        <f>O:O*P:P</f>
        <v>580.84</v>
      </c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45">
      <c r="A229" s="167" t="s">
        <v>27</v>
      </c>
      <c r="B229" s="168">
        <v>8082990</v>
      </c>
      <c r="C229" s="170">
        <v>42310</v>
      </c>
      <c r="D229" s="167" t="s">
        <v>172</v>
      </c>
      <c r="E229" s="167" t="s">
        <v>302</v>
      </c>
      <c r="F229" s="167" t="s">
        <v>54</v>
      </c>
      <c r="G229" s="167" t="s">
        <v>97</v>
      </c>
      <c r="H229" s="167" t="s">
        <v>173</v>
      </c>
      <c r="I229" s="167" t="s">
        <v>33</v>
      </c>
      <c r="J229" s="130" t="s">
        <v>33</v>
      </c>
      <c r="K229" s="167" t="s">
        <v>20</v>
      </c>
      <c r="L229" s="167" t="str">
        <f t="shared" si="42"/>
        <v>seafood watch</v>
      </c>
      <c r="M229" s="131" t="str">
        <f t="shared" si="40"/>
        <v>no</v>
      </c>
      <c r="N229" s="56" t="str">
        <f t="shared" si="41"/>
        <v>N/A</v>
      </c>
      <c r="O229" s="48">
        <v>350.4</v>
      </c>
      <c r="P229" s="48">
        <v>1</v>
      </c>
      <c r="Q229" s="48">
        <f>O:O*P:P</f>
        <v>350.4</v>
      </c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45">
      <c r="A230" s="167" t="s">
        <v>27</v>
      </c>
      <c r="B230" s="168">
        <v>8084053</v>
      </c>
      <c r="C230" s="170">
        <v>42311</v>
      </c>
      <c r="D230" s="167" t="s">
        <v>172</v>
      </c>
      <c r="E230" s="167" t="s">
        <v>302</v>
      </c>
      <c r="F230" s="167" t="s">
        <v>54</v>
      </c>
      <c r="G230" s="167" t="s">
        <v>97</v>
      </c>
      <c r="H230" s="167" t="s">
        <v>174</v>
      </c>
      <c r="I230" s="167" t="s">
        <v>33</v>
      </c>
      <c r="J230" s="130" t="s">
        <v>33</v>
      </c>
      <c r="K230" s="167" t="s">
        <v>20</v>
      </c>
      <c r="L230" s="167" t="str">
        <f t="shared" si="42"/>
        <v>seafood watch</v>
      </c>
      <c r="M230" s="131" t="str">
        <f t="shared" si="40"/>
        <v>no</v>
      </c>
      <c r="N230" s="56" t="str">
        <f t="shared" si="41"/>
        <v>N/A</v>
      </c>
      <c r="O230" s="48">
        <f>596.27+347.07</f>
        <v>943.33999999999992</v>
      </c>
      <c r="P230" s="48">
        <v>1</v>
      </c>
      <c r="Q230" s="48">
        <f>O:O*P:P</f>
        <v>943.33999999999992</v>
      </c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45">
      <c r="A231" s="77" t="s">
        <v>28</v>
      </c>
      <c r="B231" s="77" t="s">
        <v>276</v>
      </c>
      <c r="C231" s="154">
        <v>42332</v>
      </c>
      <c r="D231" s="77" t="s">
        <v>264</v>
      </c>
      <c r="E231" s="77"/>
      <c r="F231" s="77" t="s">
        <v>2</v>
      </c>
      <c r="G231" s="77" t="s">
        <v>30</v>
      </c>
      <c r="H231" s="77" t="s">
        <v>277</v>
      </c>
      <c r="I231" s="77" t="str">
        <f t="shared" ref="I231:I240" si="44">IF(G231="Mayfield","Yes",IF(G231="Royal Local","Yes",IF(A231="sysco","No",IF(G231="atlanta fresh","Yes",IF(G231="Springer Mountain","Yes",IF(G231="white oak Pastures","Yes",IF(G231="Southern Swiss", "Yes")))))))</f>
        <v>Yes</v>
      </c>
      <c r="J231" s="74" t="str">
        <f>IF(G231="Mayfield","No",IF(G231="Royal Local","No",IF(A231="sysco","No",IF(G231="Springer Mountain","No",IF(G231="white oak pastures","Yes",IF(G231="Southern Swiss","Yes"))))))</f>
        <v>No</v>
      </c>
      <c r="K231" s="77" t="str">
        <f t="shared" ref="K231:K240" si="45">IF(G231="Mayfield","Yes", IF(G231="Royal Local","No",IF(G231="butterball", "yes",IF(G231="Springer Mountain","Yes",IF(G231="white oak pastures","Yes",IF(G231="Southern Swiss", "Yes", IF(G231="atlanta fresh", "yes")))))))</f>
        <v>No</v>
      </c>
      <c r="L231" s="77" t="str">
        <f t="shared" ref="L231:L241" si="46">IF(K231="No","N/A",IF(G231="mayfield","raised w/o hormones",IF(G231="springer mountain","raised w/o antibiotics",IF(G231="white oak pastures","grassfed",IF(G231="inland","seafood watch",IF(G231="atlanta fresh","raised w/o hormones",IF(G231="southern swiss","raised w/o hormones)))))))")))))))</f>
        <v>N/A</v>
      </c>
      <c r="M231" s="70" t="str">
        <f t="shared" ref="M231:M271" si="47">IF(G231="white oak pastures", "Yes",IF(G231="mayfield","yes",IF(G231="oxford farm","yes",IF(K231="No","No", IF(I231="no", "no", IF(G231="springer mountain", "yes", IF(G231="atlanta fresh","yes")))))))</f>
        <v>No</v>
      </c>
      <c r="N231" s="69" t="str">
        <f t="shared" ref="N231:N240" si="48">IF(M231="No","N/A",IF(G231="Springer Mountain","Emory Local&amp; raised w/o antibiotics)",IF(G231="mayfield","Emory local &amp; raised w/o hormones",IF(G231="white oak pastures","F2F &amp; grassfed",IF(G231="atlanta fresh","F2F &amp; raised w/o hormones",IF(G231="southern swiss", "yes", IF(G231="batdorf &amp; bronson", "Emory Local &amp; fair trade")))))))</f>
        <v>N/A</v>
      </c>
      <c r="O231" s="70">
        <v>24.03</v>
      </c>
      <c r="P231" s="70">
        <v>1</v>
      </c>
      <c r="Q231" s="75">
        <f>O:O*P:P</f>
        <v>24.03</v>
      </c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45">
      <c r="A232" s="167" t="s">
        <v>28</v>
      </c>
      <c r="B232" s="168" t="s">
        <v>177</v>
      </c>
      <c r="C232" s="170">
        <v>42307</v>
      </c>
      <c r="D232" s="167" t="s">
        <v>172</v>
      </c>
      <c r="E232" s="167" t="s">
        <v>302</v>
      </c>
      <c r="F232" s="167" t="s">
        <v>3</v>
      </c>
      <c r="G232" s="167" t="s">
        <v>34</v>
      </c>
      <c r="H232" s="167" t="s">
        <v>86</v>
      </c>
      <c r="I232" s="167" t="str">
        <f t="shared" si="44"/>
        <v>Yes</v>
      </c>
      <c r="J232" s="130" t="s">
        <v>20</v>
      </c>
      <c r="K232" s="167" t="s">
        <v>33</v>
      </c>
      <c r="L232" s="167" t="str">
        <f>IF(K232="No","N/A",IF(G232="mayfield","raised w/o hormones",IF(G232="springer mountain","raised w/o antibiotics",IF(G232="white oak pastures","grassfed",IF(G232="inland","seafood watch",IF(G232="atlanta fresh","raised w/o hormones",IF(G232="southern swiss","raised w/o hormones)))))))")))))))</f>
        <v>N/A</v>
      </c>
      <c r="M232" s="131" t="str">
        <f t="shared" si="47"/>
        <v>No</v>
      </c>
      <c r="N232" s="56" t="str">
        <f t="shared" si="48"/>
        <v>N/A</v>
      </c>
      <c r="O232" s="48">
        <f>184.25+366.9</f>
        <v>551.15</v>
      </c>
      <c r="P232" s="48">
        <v>1</v>
      </c>
      <c r="Q232" s="48">
        <f>O:O*P:P</f>
        <v>551.15</v>
      </c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45">
      <c r="A233" s="110" t="s">
        <v>28</v>
      </c>
      <c r="B233" s="110" t="s">
        <v>210</v>
      </c>
      <c r="C233" s="111">
        <v>42319</v>
      </c>
      <c r="D233" s="66" t="s">
        <v>192</v>
      </c>
      <c r="E233" s="110"/>
      <c r="F233" s="110" t="s">
        <v>2</v>
      </c>
      <c r="G233" s="110" t="s">
        <v>30</v>
      </c>
      <c r="H233" s="110" t="s">
        <v>85</v>
      </c>
      <c r="I233" s="112" t="str">
        <f t="shared" si="44"/>
        <v>Yes</v>
      </c>
      <c r="J233" s="63" t="str">
        <f>IF(G233="Mayfield","No",IF(G233="Royal Local","No",IF(A233="sysco","No",IF(G233="Springer Mountain","No",IF(G233="white oak pastures","Yes",IF(G233="Southern Swiss","Yes"))))))</f>
        <v>No</v>
      </c>
      <c r="K233" s="112" t="str">
        <f t="shared" si="45"/>
        <v>No</v>
      </c>
      <c r="L233" s="112" t="str">
        <f t="shared" si="46"/>
        <v>N/A</v>
      </c>
      <c r="M233" s="64" t="str">
        <f t="shared" si="47"/>
        <v>No</v>
      </c>
      <c r="N233" s="69" t="str">
        <f t="shared" si="48"/>
        <v>N/A</v>
      </c>
      <c r="O233" s="67">
        <v>25.97</v>
      </c>
      <c r="P233" s="67">
        <v>1</v>
      </c>
      <c r="Q233" s="63">
        <f>O:O*P:P</f>
        <v>25.97</v>
      </c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45">
      <c r="A234" s="67" t="s">
        <v>28</v>
      </c>
      <c r="B234" s="67" t="s">
        <v>211</v>
      </c>
      <c r="C234" s="68">
        <v>42318</v>
      </c>
      <c r="D234" s="63" t="s">
        <v>192</v>
      </c>
      <c r="E234" s="67"/>
      <c r="F234" s="67" t="s">
        <v>2</v>
      </c>
      <c r="G234" s="67" t="s">
        <v>30</v>
      </c>
      <c r="H234" s="67" t="s">
        <v>212</v>
      </c>
      <c r="I234" s="64" t="str">
        <f t="shared" si="44"/>
        <v>Yes</v>
      </c>
      <c r="J234" s="63" t="str">
        <f>IF(G234="Mayfield","No",IF(G234="Royal Local","No",IF(A234="sysco","No",IF(G234="Springer Mountain","No",IF(G234="white oak pastures","Yes",IF(G234="Southern Swiss","Yes"))))))</f>
        <v>No</v>
      </c>
      <c r="K234" s="64" t="str">
        <f t="shared" si="45"/>
        <v>No</v>
      </c>
      <c r="L234" s="64" t="str">
        <f t="shared" si="46"/>
        <v>N/A</v>
      </c>
      <c r="M234" s="64" t="str">
        <f t="shared" si="47"/>
        <v>No</v>
      </c>
      <c r="N234" s="69" t="str">
        <f t="shared" si="48"/>
        <v>N/A</v>
      </c>
      <c r="O234" s="67">
        <f>25.97+4.8</f>
        <v>30.77</v>
      </c>
      <c r="P234" s="67">
        <v>1</v>
      </c>
      <c r="Q234" s="63">
        <f>O:O*P:P</f>
        <v>30.77</v>
      </c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45">
      <c r="A235" s="70" t="s">
        <v>28</v>
      </c>
      <c r="B235" s="70" t="s">
        <v>273</v>
      </c>
      <c r="C235" s="76">
        <v>42329</v>
      </c>
      <c r="D235" s="70" t="s">
        <v>264</v>
      </c>
      <c r="E235" s="70"/>
      <c r="F235" s="70" t="s">
        <v>2</v>
      </c>
      <c r="G235" s="70" t="s">
        <v>30</v>
      </c>
      <c r="H235" s="70" t="s">
        <v>251</v>
      </c>
      <c r="I235" s="70" t="str">
        <f t="shared" si="44"/>
        <v>Yes</v>
      </c>
      <c r="J235" s="74" t="str">
        <f>IF(G235="Mayfield","No",IF(G235="Royal Local","No",IF(A235="sysco","No",IF(G235="Springer Mountain","No",IF(G235="white oak pastures","Yes",IF(G235="Southern Swiss","Yes"))))))</f>
        <v>No</v>
      </c>
      <c r="K235" s="70" t="str">
        <f t="shared" si="45"/>
        <v>No</v>
      </c>
      <c r="L235" s="70" t="str">
        <f t="shared" si="46"/>
        <v>N/A</v>
      </c>
      <c r="M235" s="70" t="str">
        <f t="shared" si="47"/>
        <v>No</v>
      </c>
      <c r="N235" s="69" t="str">
        <f t="shared" si="48"/>
        <v>N/A</v>
      </c>
      <c r="O235" s="70">
        <f>13.09+22.72</f>
        <v>35.81</v>
      </c>
      <c r="P235" s="70">
        <v>1</v>
      </c>
      <c r="Q235" s="75">
        <f>O:O*P:P</f>
        <v>35.81</v>
      </c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45">
      <c r="A236" s="57" t="s">
        <v>28</v>
      </c>
      <c r="B236" s="57" t="s">
        <v>188</v>
      </c>
      <c r="C236" s="150">
        <v>42313</v>
      </c>
      <c r="D236" s="57" t="s">
        <v>172</v>
      </c>
      <c r="E236" s="57"/>
      <c r="F236" s="57" t="s">
        <v>2</v>
      </c>
      <c r="G236" s="57" t="s">
        <v>30</v>
      </c>
      <c r="H236" s="57" t="s">
        <v>189</v>
      </c>
      <c r="I236" s="58" t="str">
        <f t="shared" si="44"/>
        <v>Yes</v>
      </c>
      <c r="J236" s="48" t="str">
        <f>IF(G236="Mayfield","No",IF(G236="Royal Local","No",IF(A236="sysco","No",IF(G236="Springer Mountain","No",IF(G236="white oak pastures","Yes",IF(G236="Southern Swiss","Yes"))))))</f>
        <v>No</v>
      </c>
      <c r="K236" s="58" t="str">
        <f t="shared" si="45"/>
        <v>No</v>
      </c>
      <c r="L236" s="58" t="str">
        <f t="shared" si="46"/>
        <v>N/A</v>
      </c>
      <c r="M236" s="55" t="str">
        <f t="shared" si="47"/>
        <v>No</v>
      </c>
      <c r="N236" s="56" t="str">
        <f t="shared" si="48"/>
        <v>N/A</v>
      </c>
      <c r="O236" s="48">
        <f>19.53+31.72</f>
        <v>51.25</v>
      </c>
      <c r="P236" s="48">
        <v>1</v>
      </c>
      <c r="Q236" s="48">
        <f>O:O*P:P</f>
        <v>51.25</v>
      </c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45">
      <c r="A237" s="167" t="s">
        <v>28</v>
      </c>
      <c r="B237" s="168" t="s">
        <v>181</v>
      </c>
      <c r="C237" s="170">
        <v>42311</v>
      </c>
      <c r="D237" s="167" t="s">
        <v>172</v>
      </c>
      <c r="E237" s="167" t="s">
        <v>302</v>
      </c>
      <c r="F237" s="167" t="s">
        <v>3</v>
      </c>
      <c r="G237" s="167" t="s">
        <v>34</v>
      </c>
      <c r="H237" s="167" t="s">
        <v>86</v>
      </c>
      <c r="I237" s="167" t="str">
        <f t="shared" si="44"/>
        <v>Yes</v>
      </c>
      <c r="J237" s="130" t="s">
        <v>20</v>
      </c>
      <c r="K237" s="167" t="s">
        <v>33</v>
      </c>
      <c r="L237" s="167" t="str">
        <f>IF(K237="No","N/A",IF(G237="mayfield","raised w/o hormones",IF(G237="springer mountain","raised w/o antibiotics",IF(G237="white oak pastures","grassfed",IF(G237="inland","seafood watch",IF(G237="atlanta fresh","raised w/o hormones",IF(G237="southern swiss","raised w/o hormones)))))))")))))))</f>
        <v>N/A</v>
      </c>
      <c r="M237" s="131" t="str">
        <f t="shared" si="47"/>
        <v>No</v>
      </c>
      <c r="N237" s="56" t="str">
        <f t="shared" si="48"/>
        <v>N/A</v>
      </c>
      <c r="O237" s="48">
        <v>73.7</v>
      </c>
      <c r="P237" s="48">
        <v>1</v>
      </c>
      <c r="Q237" s="48">
        <f>O:O*P:P</f>
        <v>73.7</v>
      </c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45">
      <c r="A238" s="86" t="s">
        <v>28</v>
      </c>
      <c r="B238" s="86" t="s">
        <v>249</v>
      </c>
      <c r="C238" s="155">
        <v>42326</v>
      </c>
      <c r="D238" s="86" t="s">
        <v>223</v>
      </c>
      <c r="E238" s="86"/>
      <c r="F238" s="86" t="s">
        <v>2</v>
      </c>
      <c r="G238" s="86" t="s">
        <v>30</v>
      </c>
      <c r="H238" s="86" t="s">
        <v>251</v>
      </c>
      <c r="I238" s="86" t="str">
        <f t="shared" si="44"/>
        <v>Yes</v>
      </c>
      <c r="J238" s="74" t="str">
        <f>IF(G238="Mayfield","No",IF(G238="Royal Local","No",IF(A238="sysco","No",IF(G238="Springer Mountain","No",IF(G238="white oak pastures","Yes",IF(G238="Southern Swiss","Yes"))))))</f>
        <v>No</v>
      </c>
      <c r="K238" s="86" t="str">
        <f t="shared" si="45"/>
        <v>No</v>
      </c>
      <c r="L238" s="86" t="str">
        <f t="shared" si="46"/>
        <v>N/A</v>
      </c>
      <c r="M238" s="70" t="str">
        <f t="shared" si="47"/>
        <v>No</v>
      </c>
      <c r="N238" s="69" t="str">
        <f t="shared" si="48"/>
        <v>N/A</v>
      </c>
      <c r="O238" s="70">
        <f>13.09+45.44</f>
        <v>58.53</v>
      </c>
      <c r="P238" s="70">
        <v>1</v>
      </c>
      <c r="Q238" s="75">
        <f>O:O*P:P</f>
        <v>58.53</v>
      </c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45">
      <c r="A239" s="167" t="s">
        <v>28</v>
      </c>
      <c r="B239" s="168" t="s">
        <v>186</v>
      </c>
      <c r="C239" s="170">
        <v>42312</v>
      </c>
      <c r="D239" s="167" t="s">
        <v>172</v>
      </c>
      <c r="E239" s="167" t="s">
        <v>302</v>
      </c>
      <c r="F239" s="167" t="s">
        <v>3</v>
      </c>
      <c r="G239" s="167" t="s">
        <v>34</v>
      </c>
      <c r="H239" s="167" t="s">
        <v>86</v>
      </c>
      <c r="I239" s="167" t="str">
        <f t="shared" si="44"/>
        <v>Yes</v>
      </c>
      <c r="J239" s="130" t="s">
        <v>20</v>
      </c>
      <c r="K239" s="167" t="s">
        <v>33</v>
      </c>
      <c r="L239" s="167" t="str">
        <f>IF(K239="No","N/A",IF(G239="mayfield","raised w/o hormones",IF(G239="springer mountain","raised w/o antibiotics",IF(G239="white oak pastures","grassfed",IF(G239="inland","seafood watch",IF(G239="atlanta fresh","raised w/o hormones",IF(G239="southern swiss","raised w/o hormones)))))))")))))))</f>
        <v>N/A</v>
      </c>
      <c r="M239" s="131" t="str">
        <f t="shared" si="47"/>
        <v>No</v>
      </c>
      <c r="N239" s="56" t="str">
        <f t="shared" si="48"/>
        <v>N/A</v>
      </c>
      <c r="O239" s="48">
        <f>110.55+146.76</f>
        <v>257.31</v>
      </c>
      <c r="P239" s="48">
        <v>1</v>
      </c>
      <c r="Q239" s="48">
        <f>O:O*P:P</f>
        <v>257.31</v>
      </c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45">
      <c r="A240" s="86" t="s">
        <v>28</v>
      </c>
      <c r="B240" s="86" t="s">
        <v>253</v>
      </c>
      <c r="C240" s="155">
        <v>42327</v>
      </c>
      <c r="D240" s="86" t="s">
        <v>223</v>
      </c>
      <c r="E240" s="86"/>
      <c r="F240" s="86" t="s">
        <v>2</v>
      </c>
      <c r="G240" s="86" t="s">
        <v>30</v>
      </c>
      <c r="H240" s="86" t="s">
        <v>85</v>
      </c>
      <c r="I240" s="86" t="str">
        <f t="shared" si="44"/>
        <v>Yes</v>
      </c>
      <c r="J240" s="74" t="str">
        <f>IF(G240="Mayfield","No",IF(G240="Royal Local","No",IF(A240="sysco","No",IF(G240="Springer Mountain","No",IF(G240="white oak pastures","Yes",IF(G240="Southern Swiss","Yes"))))))</f>
        <v>No</v>
      </c>
      <c r="K240" s="86" t="str">
        <f t="shared" si="45"/>
        <v>No</v>
      </c>
      <c r="L240" s="86" t="str">
        <f t="shared" si="46"/>
        <v>N/A</v>
      </c>
      <c r="M240" s="70" t="str">
        <f t="shared" si="47"/>
        <v>No</v>
      </c>
      <c r="N240" s="69" t="str">
        <f t="shared" si="48"/>
        <v>N/A</v>
      </c>
      <c r="O240" s="70">
        <v>68.16</v>
      </c>
      <c r="P240" s="70">
        <v>1</v>
      </c>
      <c r="Q240" s="75">
        <f>O:O*P:P</f>
        <v>68.16</v>
      </c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45">
      <c r="A241" s="163" t="s">
        <v>217</v>
      </c>
      <c r="B241" s="173">
        <v>12553</v>
      </c>
      <c r="C241" s="162">
        <v>42320</v>
      </c>
      <c r="D241" s="167" t="s">
        <v>192</v>
      </c>
      <c r="E241" s="167" t="s">
        <v>302</v>
      </c>
      <c r="F241" s="163" t="s">
        <v>2</v>
      </c>
      <c r="G241" s="163" t="s">
        <v>220</v>
      </c>
      <c r="H241" s="163" t="s">
        <v>221</v>
      </c>
      <c r="I241" s="167" t="s">
        <v>20</v>
      </c>
      <c r="J241" s="132" t="s">
        <v>33</v>
      </c>
      <c r="K241" s="167" t="s">
        <v>33</v>
      </c>
      <c r="L241" s="167" t="str">
        <f t="shared" si="46"/>
        <v>N/A</v>
      </c>
      <c r="M241" s="133" t="str">
        <f t="shared" si="47"/>
        <v>No</v>
      </c>
      <c r="N241" s="69" t="str">
        <f>IF(M241="No","N/A",IF(G241="Springer Mountain","Emory Local&amp; raised w/o antibiotics)"))</f>
        <v>N/A</v>
      </c>
      <c r="O241" s="67">
        <v>76</v>
      </c>
      <c r="P241" s="67">
        <v>1</v>
      </c>
      <c r="Q241" s="63">
        <f>O:O*P:P</f>
        <v>76</v>
      </c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45">
      <c r="A242" s="167" t="s">
        <v>60</v>
      </c>
      <c r="B242" s="168">
        <v>27053</v>
      </c>
      <c r="C242" s="170">
        <v>42307</v>
      </c>
      <c r="D242" s="167" t="s">
        <v>172</v>
      </c>
      <c r="E242" s="167" t="s">
        <v>302</v>
      </c>
      <c r="F242" s="167" t="s">
        <v>4</v>
      </c>
      <c r="G242" s="167" t="s">
        <v>62</v>
      </c>
      <c r="H242" s="167" t="s">
        <v>191</v>
      </c>
      <c r="I242" s="167" t="s">
        <v>33</v>
      </c>
      <c r="J242" s="130" t="s">
        <v>33</v>
      </c>
      <c r="K242" s="167" t="s">
        <v>20</v>
      </c>
      <c r="L242" s="167" t="s">
        <v>63</v>
      </c>
      <c r="M242" s="131" t="str">
        <f t="shared" si="47"/>
        <v>no</v>
      </c>
      <c r="N242" s="56" t="str">
        <f>IF(M242="No","N/A",IF(G242="Springer Mountain","Emory Local&amp; raised w/o antibiotics)",IF(G242="mayfield","Emory local &amp; raised w/o hormones",IF(G242="white oak pastures","F2F &amp; grassfed",IF(G242="atlanta fresh","F2F &amp; raised w/o hormones",IF(G242="southern swiss", "yes", IF(G242="batdorf &amp; bronson", "Emory Local &amp; fair trade")))))))</f>
        <v>N/A</v>
      </c>
      <c r="O242" s="48">
        <v>351</v>
      </c>
      <c r="P242" s="48">
        <v>1</v>
      </c>
      <c r="Q242" s="48">
        <f>O:O*P:P</f>
        <v>351</v>
      </c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45">
      <c r="A243" s="167" t="s">
        <v>52</v>
      </c>
      <c r="B243" s="168"/>
      <c r="C243" s="168" t="s">
        <v>53</v>
      </c>
      <c r="D243" s="167" t="s">
        <v>172</v>
      </c>
      <c r="E243" s="167" t="s">
        <v>302</v>
      </c>
      <c r="F243" s="167" t="s">
        <v>54</v>
      </c>
      <c r="G243" s="167" t="s">
        <v>55</v>
      </c>
      <c r="H243" s="167" t="s">
        <v>82</v>
      </c>
      <c r="I243" s="167" t="str">
        <f>IF(G243="Mayfield","Yes",IF(G243="Royal Local","Yes",IF(A243="sysco","No",IF(G243="atlanta fresh","Yes",IF(G243="Springer Mountain","Yes",IF(G243="white oak Pastures","Yes",IF(G243="Southern Swiss", "Yes")))))))</f>
        <v>No</v>
      </c>
      <c r="J243" s="130" t="str">
        <f>IF(G243="Mayfield","No",IF(G243="Royal Local","No",IF(A243="sysco","No",IF(G243="Springer Mountain","No",IF(G243="white oak pastures","Yes",IF(G243="Southern Swiss","Yes"))))))</f>
        <v>No</v>
      </c>
      <c r="K243" s="167" t="s">
        <v>20</v>
      </c>
      <c r="L243" s="167" t="s">
        <v>145</v>
      </c>
      <c r="M243" s="131" t="str">
        <f t="shared" si="47"/>
        <v>no</v>
      </c>
      <c r="N243" s="56" t="str">
        <f>IF(M243="No","N/A",IF(G243="Springer Mountain","Emory Local&amp; raised w/o antibiotics)"))</f>
        <v>N/A</v>
      </c>
      <c r="O243" s="48">
        <v>185.31</v>
      </c>
      <c r="P243" s="48">
        <v>1</v>
      </c>
      <c r="Q243" s="48">
        <f>O:O*P:P</f>
        <v>185.31</v>
      </c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45">
      <c r="A244" s="167" t="s">
        <v>52</v>
      </c>
      <c r="B244" s="168"/>
      <c r="C244" s="168" t="s">
        <v>53</v>
      </c>
      <c r="D244" s="167" t="s">
        <v>172</v>
      </c>
      <c r="E244" s="167" t="s">
        <v>302</v>
      </c>
      <c r="F244" s="167" t="s">
        <v>54</v>
      </c>
      <c r="G244" s="167" t="s">
        <v>58</v>
      </c>
      <c r="H244" s="167" t="s">
        <v>173</v>
      </c>
      <c r="I244" s="167" t="str">
        <f>IF(G244="Mayfield","Yes",IF(G244="Royal Local","Yes",IF(A244="sysco","No",IF(G244="atlanta fresh","Yes",IF(G244="Springer Mountain","Yes",IF(G244="white oak Pastures","Yes",IF(G244="Southern Swiss", "Yes")))))))</f>
        <v>No</v>
      </c>
      <c r="J244" s="134" t="str">
        <f>IF(G244="Mayfield","No",IF(G244="Royal Local","No",IF(A244="sysco","No",IF(G244="Springer Mountain","No",IF(G244="white oak pastures","Yes",IF(G244="Southern Swiss","Yes"))))))</f>
        <v>No</v>
      </c>
      <c r="K244" s="167" t="s">
        <v>20</v>
      </c>
      <c r="L244" s="167" t="s">
        <v>145</v>
      </c>
      <c r="M244" s="135" t="str">
        <f t="shared" si="47"/>
        <v>no</v>
      </c>
      <c r="N244" s="59" t="str">
        <f>IF(M244="No","N/A",IF(G244="Springer Mountain","Emory Local&amp; raised w/o antibiotics)"))</f>
        <v>N/A</v>
      </c>
      <c r="O244" s="57">
        <v>456.3</v>
      </c>
      <c r="P244" s="57">
        <v>1</v>
      </c>
      <c r="Q244" s="57">
        <f>O:O*P:P</f>
        <v>456.3</v>
      </c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45">
      <c r="A245" s="151" t="s">
        <v>15</v>
      </c>
      <c r="B245" s="151"/>
      <c r="C245" s="151" t="s">
        <v>53</v>
      </c>
      <c r="D245" s="151" t="s">
        <v>192</v>
      </c>
      <c r="E245" s="151"/>
      <c r="F245" s="151" t="s">
        <v>3</v>
      </c>
      <c r="G245" s="151" t="s">
        <v>18</v>
      </c>
      <c r="H245" s="151"/>
      <c r="I245" s="153" t="str">
        <f>IF(G245="Mayfield","Yes",IF(G245="Royal Local","Yes",IF(A245="sysco","No",IF(G245="atlanta fresh","Yes",IF(G245="Springer Mountain","Yes",IF(G245="white oak Pastures","Yes",IF(G245="Southern Swiss", "Yes")))))))</f>
        <v>Yes</v>
      </c>
      <c r="J245" s="60" t="str">
        <f>IF(G245="Mayfield","No",IF(G245="Royal Local","No",IF(A245="sysco","No",IF(G245="Springer Mountain","No",IF(G245="white oak pastures","Yes",IF(G245="Southern Swiss","Yes"))))))</f>
        <v>No</v>
      </c>
      <c r="K245" s="153" t="s">
        <v>33</v>
      </c>
      <c r="L245" s="153" t="str">
        <f>IF(K245="No","N/A",IF(G245="mayfield","raised w/o hormones",IF(G245="springer mountain","raised w/o antibiotics",IF(G245="white oak pastures","grassfed",IF(G245="inland","seafood watch",IF(G245="atlanta fresh","raised w/o hormones",IF(G245="southern swiss","raised w/o hormones)))))))")))))))</f>
        <v>N/A</v>
      </c>
      <c r="M245" s="61" t="str">
        <f t="shared" si="47"/>
        <v>yes</v>
      </c>
      <c r="N245" s="62" t="str">
        <f t="shared" ref="N245:N253" si="49">IF(M245="No","N/A",IF(G245="Springer Mountain","Emory Local&amp; raised w/o antibiotics)",IF(G245="mayfield","Emory local &amp; raised w/o hormones",IF(G245="white oak pastures","F2F &amp; grassfed",IF(G245="atlanta fresh","F2F &amp; raised w/o hormones",IF(G245="southern swiss", "yes", IF(G245="batdorf &amp; bronson", "Emory Local &amp; fair trade")))))))</f>
        <v>Emory local &amp; raised w/o hormones</v>
      </c>
      <c r="O245" s="60">
        <v>2221.67</v>
      </c>
      <c r="P245" s="60">
        <v>1</v>
      </c>
      <c r="Q245" s="60">
        <f>O:O*P:P</f>
        <v>2221.67</v>
      </c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45">
      <c r="A246" s="167" t="s">
        <v>152</v>
      </c>
      <c r="B246" s="168"/>
      <c r="C246" s="168" t="s">
        <v>53</v>
      </c>
      <c r="D246" s="167" t="s">
        <v>192</v>
      </c>
      <c r="E246" s="167" t="s">
        <v>302</v>
      </c>
      <c r="F246" s="167" t="s">
        <v>4</v>
      </c>
      <c r="G246" s="167" t="s">
        <v>62</v>
      </c>
      <c r="H246" s="167" t="s">
        <v>191</v>
      </c>
      <c r="I246" s="167" t="s">
        <v>33</v>
      </c>
      <c r="J246" s="130" t="s">
        <v>33</v>
      </c>
      <c r="K246" s="167" t="s">
        <v>20</v>
      </c>
      <c r="L246" s="167" t="s">
        <v>63</v>
      </c>
      <c r="M246" s="131" t="str">
        <f t="shared" si="47"/>
        <v>no</v>
      </c>
      <c r="N246" s="62" t="str">
        <f t="shared" si="49"/>
        <v>N/A</v>
      </c>
      <c r="O246" s="48">
        <v>702</v>
      </c>
      <c r="P246" s="48">
        <v>1</v>
      </c>
      <c r="Q246" s="48">
        <f>O:O*P:P</f>
        <v>702</v>
      </c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45">
      <c r="A247" s="151" t="s">
        <v>28</v>
      </c>
      <c r="B247" s="151" t="s">
        <v>184</v>
      </c>
      <c r="C247" s="152">
        <v>42312</v>
      </c>
      <c r="D247" s="151" t="s">
        <v>172</v>
      </c>
      <c r="E247" s="151"/>
      <c r="F247" s="151" t="s">
        <v>2</v>
      </c>
      <c r="G247" s="151" t="s">
        <v>30</v>
      </c>
      <c r="H247" s="151" t="s">
        <v>185</v>
      </c>
      <c r="I247" s="153" t="str">
        <f>IF(G247="Mayfield","Yes",IF(G247="Royal Local","Yes",IF(A247="sysco","No",IF(G247="atlanta fresh","Yes",IF(G247="Springer Mountain","Yes",IF(G247="white oak Pastures","Yes",IF(G247="Southern Swiss", "Yes")))))))</f>
        <v>Yes</v>
      </c>
      <c r="J247" s="48" t="str">
        <f>IF(G247="Mayfield","No",IF(G247="Royal Local","No",IF(A247="sysco","No",IF(G247="Springer Mountain","No",IF(G247="white oak pastures","Yes",IF(G247="Southern Swiss","Yes"))))))</f>
        <v>No</v>
      </c>
      <c r="K247" s="153" t="str">
        <f>IF(G247="Mayfield","Yes", IF(G247="Royal Local","No",IF(G247="butterball", "yes",IF(G247="Springer Mountain","Yes",IF(G247="white oak pastures","Yes",IF(G247="Southern Swiss", "Yes", IF(G247="atlanta fresh", "yes")))))))</f>
        <v>No</v>
      </c>
      <c r="L247" s="153" t="str">
        <f t="shared" ref="L247:L270" si="50">IF(K247="No","N/A",IF(G247="mayfield","raised w/o hormones",IF(G247="springer mountain","raised w/o antibiotics",IF(G247="white oak pastures","grassfed",IF(G247="inland","seafood watch",IF(G247="atlanta fresh","raised w/o hormones",IF(G247="southern swiss","raised w/o hormones)))))))")))))))</f>
        <v>N/A</v>
      </c>
      <c r="M247" s="55" t="str">
        <f t="shared" si="47"/>
        <v>No</v>
      </c>
      <c r="N247" s="62" t="str">
        <f t="shared" si="49"/>
        <v>N/A</v>
      </c>
      <c r="O247" s="48">
        <v>83</v>
      </c>
      <c r="P247" s="48">
        <v>1</v>
      </c>
      <c r="Q247" s="48">
        <f>O:O*P:P</f>
        <v>83</v>
      </c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45">
      <c r="A248" s="167" t="s">
        <v>66</v>
      </c>
      <c r="B248" s="168">
        <v>817651</v>
      </c>
      <c r="C248" s="170">
        <v>42314</v>
      </c>
      <c r="D248" s="167" t="s">
        <v>192</v>
      </c>
      <c r="E248" s="167" t="s">
        <v>302</v>
      </c>
      <c r="F248" s="167" t="s">
        <v>1</v>
      </c>
      <c r="G248" s="167" t="s">
        <v>23</v>
      </c>
      <c r="H248" s="167" t="s">
        <v>121</v>
      </c>
      <c r="I248" s="167" t="str">
        <f>IF(G248="Mayfield","Yes",IF(G248="Royal Local","Yes",IF(A248="sysco","No",IF(G248="atlanta fresh","Yes",IF(G248="Springer Mountain","Yes",IF(G248="white oak Pastures","Yes",IF(G248="Southern Swiss", "Yes")))))))</f>
        <v>Yes</v>
      </c>
      <c r="J248" s="130" t="str">
        <f>IF(G248="Mayfield","No",IF(G248="Royal Local","No",IF(A248="sysco","No",IF(G248="Springer Mountain","No",IF(G248="white oak pastures","Yes",IF(G248="Southern Swiss","Yes"))))))</f>
        <v>Yes</v>
      </c>
      <c r="K248" s="167" t="str">
        <f>IF(G248="Mayfield","Yes", IF(G248="Royal Local","No",IF(G248="butterball", "yes",IF(G248="Springer Mountain","Yes",IF(G248="white oak pastures","Yes",IF(G248="Southern Swiss", "Yes", IF(G248="atlanta fresh", "yes")))))))</f>
        <v>Yes</v>
      </c>
      <c r="L248" s="167" t="str">
        <f t="shared" si="50"/>
        <v>grassfed</v>
      </c>
      <c r="M248" s="131" t="str">
        <f t="shared" si="47"/>
        <v>Yes</v>
      </c>
      <c r="N248" s="62" t="str">
        <f t="shared" si="49"/>
        <v>F2F &amp; grassfed</v>
      </c>
      <c r="O248" s="48">
        <v>1175.4000000000001</v>
      </c>
      <c r="P248" s="48">
        <v>1</v>
      </c>
      <c r="Q248" s="48">
        <f>O:O*P:P</f>
        <v>1175.4000000000001</v>
      </c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45">
      <c r="A249" s="151" t="s">
        <v>66</v>
      </c>
      <c r="B249" s="151">
        <v>818590</v>
      </c>
      <c r="C249" s="152">
        <v>42316</v>
      </c>
      <c r="D249" s="151" t="s">
        <v>192</v>
      </c>
      <c r="E249" s="151"/>
      <c r="F249" s="151" t="s">
        <v>1</v>
      </c>
      <c r="G249" s="151" t="s">
        <v>148</v>
      </c>
      <c r="H249" s="151" t="s">
        <v>124</v>
      </c>
      <c r="I249" s="153" t="s">
        <v>20</v>
      </c>
      <c r="J249" s="48" t="s">
        <v>33</v>
      </c>
      <c r="K249" s="153" t="s">
        <v>33</v>
      </c>
      <c r="L249" s="153" t="str">
        <f t="shared" si="50"/>
        <v>N/A</v>
      </c>
      <c r="M249" s="55" t="str">
        <f t="shared" si="47"/>
        <v>No</v>
      </c>
      <c r="N249" s="62" t="str">
        <f t="shared" si="49"/>
        <v>N/A</v>
      </c>
      <c r="O249" s="48">
        <v>433.93</v>
      </c>
      <c r="P249" s="48">
        <v>1</v>
      </c>
      <c r="Q249" s="48">
        <f>O:O*P:P</f>
        <v>433.93</v>
      </c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45">
      <c r="A250" s="167" t="s">
        <v>66</v>
      </c>
      <c r="B250" s="168">
        <v>819805</v>
      </c>
      <c r="C250" s="170">
        <v>42319</v>
      </c>
      <c r="D250" s="167" t="s">
        <v>192</v>
      </c>
      <c r="E250" s="167" t="s">
        <v>302</v>
      </c>
      <c r="F250" s="167" t="s">
        <v>1</v>
      </c>
      <c r="G250" s="167" t="s">
        <v>23</v>
      </c>
      <c r="H250" s="167" t="s">
        <v>121</v>
      </c>
      <c r="I250" s="167" t="str">
        <f t="shared" ref="I250:I253" si="51">IF(G250="Mayfield","Yes",IF(G250="Royal Local","Yes",IF(A250="sysco","No",IF(G250="atlanta fresh","Yes",IF(G250="Springer Mountain","Yes",IF(G250="white oak Pastures","Yes",IF(G250="Southern Swiss", "Yes")))))))</f>
        <v>Yes</v>
      </c>
      <c r="J250" s="130" t="str">
        <f t="shared" ref="J250:J251" si="52">IF(G250="Mayfield","No",IF(G250="Royal Local","No",IF(A250="sysco","No",IF(G250="Springer Mountain","No",IF(G250="white oak pastures","Yes",IF(G250="Southern Swiss","Yes"))))))</f>
        <v>Yes</v>
      </c>
      <c r="K250" s="167" t="str">
        <f t="shared" ref="K250:K253" si="53">IF(G250="Mayfield","Yes", IF(G250="Royal Local","No",IF(G250="butterball", "yes",IF(G250="Springer Mountain","Yes",IF(G250="white oak pastures","Yes",IF(G250="Southern Swiss", "Yes", IF(G250="atlanta fresh", "yes")))))))</f>
        <v>Yes</v>
      </c>
      <c r="L250" s="167" t="str">
        <f t="shared" si="50"/>
        <v>grassfed</v>
      </c>
      <c r="M250" s="131" t="str">
        <f t="shared" si="47"/>
        <v>Yes</v>
      </c>
      <c r="N250" s="62" t="str">
        <f t="shared" si="49"/>
        <v>F2F &amp; grassfed</v>
      </c>
      <c r="O250" s="48">
        <v>783.6</v>
      </c>
      <c r="P250" s="48">
        <v>1</v>
      </c>
      <c r="Q250" s="48">
        <f>O:O*P:P</f>
        <v>783.6</v>
      </c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45">
      <c r="A251" s="57" t="s">
        <v>28</v>
      </c>
      <c r="B251" s="57" t="s">
        <v>183</v>
      </c>
      <c r="C251" s="150">
        <v>42311</v>
      </c>
      <c r="D251" s="57" t="s">
        <v>172</v>
      </c>
      <c r="E251" s="57"/>
      <c r="F251" s="57" t="s">
        <v>2</v>
      </c>
      <c r="G251" s="57" t="s">
        <v>30</v>
      </c>
      <c r="H251" s="57" t="s">
        <v>40</v>
      </c>
      <c r="I251" s="58" t="str">
        <f t="shared" si="51"/>
        <v>Yes</v>
      </c>
      <c r="J251" s="48" t="str">
        <f t="shared" si="52"/>
        <v>No</v>
      </c>
      <c r="K251" s="58" t="str">
        <f t="shared" si="53"/>
        <v>No</v>
      </c>
      <c r="L251" s="58" t="str">
        <f t="shared" si="50"/>
        <v>N/A</v>
      </c>
      <c r="M251" s="55" t="str">
        <f t="shared" si="47"/>
        <v>No</v>
      </c>
      <c r="N251" s="62" t="str">
        <f t="shared" si="49"/>
        <v>N/A</v>
      </c>
      <c r="O251" s="48">
        <v>91.59</v>
      </c>
      <c r="P251" s="48">
        <v>1</v>
      </c>
      <c r="Q251" s="48">
        <f>O:O*P:P</f>
        <v>91.59</v>
      </c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45">
      <c r="A252" s="163" t="s">
        <v>28</v>
      </c>
      <c r="B252" s="173" t="s">
        <v>195</v>
      </c>
      <c r="C252" s="162">
        <v>42314</v>
      </c>
      <c r="D252" s="167" t="s">
        <v>192</v>
      </c>
      <c r="E252" s="167" t="s">
        <v>302</v>
      </c>
      <c r="F252" s="163" t="s">
        <v>3</v>
      </c>
      <c r="G252" s="163" t="s">
        <v>34</v>
      </c>
      <c r="H252" s="163" t="s">
        <v>86</v>
      </c>
      <c r="I252" s="167" t="str">
        <f t="shared" si="51"/>
        <v>Yes</v>
      </c>
      <c r="J252" s="132" t="s">
        <v>20</v>
      </c>
      <c r="K252" s="167" t="str">
        <f t="shared" si="53"/>
        <v>yes</v>
      </c>
      <c r="L252" s="167" t="str">
        <f t="shared" si="50"/>
        <v>raised w/o hormones</v>
      </c>
      <c r="M252" s="136" t="str">
        <f t="shared" si="47"/>
        <v>yes</v>
      </c>
      <c r="N252" s="65" t="str">
        <f t="shared" si="49"/>
        <v>F2F &amp; raised w/o hormones</v>
      </c>
      <c r="O252" s="67">
        <f>183.45+183.45</f>
        <v>366.9</v>
      </c>
      <c r="P252" s="67">
        <v>1</v>
      </c>
      <c r="Q252" s="63">
        <f>O:O*P:P</f>
        <v>366.9</v>
      </c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45">
      <c r="A253" s="86" t="s">
        <v>28</v>
      </c>
      <c r="B253" s="86" t="s">
        <v>241</v>
      </c>
      <c r="C253" s="155">
        <v>42325</v>
      </c>
      <c r="D253" s="86" t="s">
        <v>223</v>
      </c>
      <c r="E253" s="86"/>
      <c r="F253" s="86" t="s">
        <v>2</v>
      </c>
      <c r="G253" s="86" t="s">
        <v>30</v>
      </c>
      <c r="H253" s="86" t="s">
        <v>242</v>
      </c>
      <c r="I253" s="86" t="str">
        <f t="shared" si="51"/>
        <v>Yes</v>
      </c>
      <c r="J253" s="74" t="str">
        <f>IF(G253="Mayfield","No",IF(G253="Royal Local","No",IF(A253="sysco","No",IF(G253="Springer Mountain","No",IF(G253="white oak pastures","Yes",IF(G253="Southern Swiss","Yes"))))))</f>
        <v>No</v>
      </c>
      <c r="K253" s="86" t="str">
        <f t="shared" si="53"/>
        <v>No</v>
      </c>
      <c r="L253" s="86" t="str">
        <f t="shared" si="50"/>
        <v>N/A</v>
      </c>
      <c r="M253" s="70" t="str">
        <f t="shared" si="47"/>
        <v>No</v>
      </c>
      <c r="N253" s="65" t="str">
        <f t="shared" si="49"/>
        <v>N/A</v>
      </c>
      <c r="O253" s="70">
        <v>103.75</v>
      </c>
      <c r="P253" s="70">
        <v>1</v>
      </c>
      <c r="Q253" s="75">
        <f>O:O*P:P</f>
        <v>103.75</v>
      </c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45">
      <c r="A254" s="163" t="s">
        <v>217</v>
      </c>
      <c r="B254" s="173">
        <v>12553</v>
      </c>
      <c r="C254" s="162">
        <v>42320</v>
      </c>
      <c r="D254" s="167" t="s">
        <v>192</v>
      </c>
      <c r="E254" s="167" t="s">
        <v>302</v>
      </c>
      <c r="F254" s="163" t="s">
        <v>2</v>
      </c>
      <c r="G254" s="174" t="s">
        <v>218</v>
      </c>
      <c r="H254" s="163" t="s">
        <v>219</v>
      </c>
      <c r="I254" s="167" t="s">
        <v>20</v>
      </c>
      <c r="J254" s="132" t="s">
        <v>20</v>
      </c>
      <c r="K254" s="167" t="s">
        <v>33</v>
      </c>
      <c r="L254" s="167" t="str">
        <f t="shared" si="50"/>
        <v>N/A</v>
      </c>
      <c r="M254" s="133" t="str">
        <f t="shared" si="47"/>
        <v>No</v>
      </c>
      <c r="N254" s="65" t="str">
        <f>IF(M254="No","N/A",IF(G254="Springer Mountain","Emory Local&amp; raised w/o antibiotics)"))</f>
        <v>N/A</v>
      </c>
      <c r="O254" s="67">
        <f>74+35+39</f>
        <v>148</v>
      </c>
      <c r="P254" s="67">
        <v>1</v>
      </c>
      <c r="Q254" s="63">
        <f>O:O*P:P</f>
        <v>148</v>
      </c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45">
      <c r="A255" s="156" t="s">
        <v>28</v>
      </c>
      <c r="B255" s="156" t="s">
        <v>215</v>
      </c>
      <c r="C255" s="157">
        <v>42319</v>
      </c>
      <c r="D255" s="158" t="s">
        <v>192</v>
      </c>
      <c r="E255" s="156"/>
      <c r="F255" s="156" t="s">
        <v>2</v>
      </c>
      <c r="G255" s="156" t="s">
        <v>30</v>
      </c>
      <c r="H255" s="156" t="s">
        <v>216</v>
      </c>
      <c r="I255" s="159" t="str">
        <f>IF(G255="Mayfield","Yes",IF(G255="Royal Local","Yes",IF(A255="sysco","No",IF(G255="atlanta fresh","Yes",IF(G255="Springer Mountain","Yes",IF(G255="white oak Pastures","Yes",IF(G255="Southern Swiss", "Yes")))))))</f>
        <v>Yes</v>
      </c>
      <c r="J255" s="63" t="str">
        <f>IF(G255="Mayfield","No",IF(G255="Royal Local","No",IF(A255="sysco","No",IF(G255="Springer Mountain","No",IF(G255="white oak pastures","Yes",IF(G255="Southern Swiss","Yes"))))))</f>
        <v>No</v>
      </c>
      <c r="K255" s="159" t="str">
        <f>IF(G255="Mayfield","Yes", IF(G255="Royal Local","No",IF(G255="butterball", "yes",IF(G255="Springer Mountain","Yes",IF(G255="white oak pastures","Yes",IF(G255="Southern Swiss", "Yes", IF(G255="atlanta fresh", "yes")))))))</f>
        <v>No</v>
      </c>
      <c r="L255" s="159" t="str">
        <f t="shared" si="50"/>
        <v>N/A</v>
      </c>
      <c r="M255" s="67" t="str">
        <f t="shared" si="47"/>
        <v>No</v>
      </c>
      <c r="N255" s="65" t="str">
        <f>IF(M255="No","N/A",IF(G255="Springer Mountain","Emory Local&amp; raised w/o antibiotics)"))</f>
        <v>N/A</v>
      </c>
      <c r="O255" s="67">
        <v>207.5</v>
      </c>
      <c r="P255" s="67">
        <v>1</v>
      </c>
      <c r="Q255" s="63">
        <f>O:O*P:P</f>
        <v>207.5</v>
      </c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45">
      <c r="A256" s="174" t="s">
        <v>64</v>
      </c>
      <c r="B256" s="175"/>
      <c r="C256" s="176">
        <v>42325</v>
      </c>
      <c r="D256" s="174" t="s">
        <v>223</v>
      </c>
      <c r="E256" s="167" t="s">
        <v>302</v>
      </c>
      <c r="F256" s="174" t="s">
        <v>2</v>
      </c>
      <c r="G256" s="174" t="s">
        <v>65</v>
      </c>
      <c r="H256" s="174" t="s">
        <v>227</v>
      </c>
      <c r="I256" s="174" t="s">
        <v>20</v>
      </c>
      <c r="J256" s="137" t="s">
        <v>20</v>
      </c>
      <c r="K256" s="174" t="s">
        <v>33</v>
      </c>
      <c r="L256" s="174" t="str">
        <f t="shared" si="50"/>
        <v>N/A</v>
      </c>
      <c r="M256" s="138" t="str">
        <f t="shared" si="47"/>
        <v>No</v>
      </c>
      <c r="N256" s="65" t="str">
        <f t="shared" ref="N256:N270" si="54">IF(M256="No","N/A",IF(G256="Springer Mountain","Emory Local&amp; raised w/o antibiotics)",IF(G256="mayfield","Emory local &amp; raised w/o hormones",IF(G256="white oak pastures","F2F &amp; grassfed",IF(G256="atlanta fresh","F2F &amp; raised w/o hormones",IF(G256="southern swiss", "yes", IF(G256="batdorf &amp; bronson", "Emory Local &amp; fair trade")))))))</f>
        <v>N/A</v>
      </c>
      <c r="O256" s="70">
        <v>315</v>
      </c>
      <c r="P256" s="70">
        <v>1</v>
      </c>
      <c r="Q256" s="75">
        <f>O:O*P:P</f>
        <v>315</v>
      </c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45">
      <c r="A257" s="163" t="s">
        <v>28</v>
      </c>
      <c r="B257" s="173" t="s">
        <v>201</v>
      </c>
      <c r="C257" s="162">
        <v>42315</v>
      </c>
      <c r="D257" s="167" t="s">
        <v>192</v>
      </c>
      <c r="E257" s="167" t="s">
        <v>302</v>
      </c>
      <c r="F257" s="163" t="s">
        <v>3</v>
      </c>
      <c r="G257" s="163" t="s">
        <v>34</v>
      </c>
      <c r="H257" s="163" t="s">
        <v>202</v>
      </c>
      <c r="I257" s="167" t="str">
        <f t="shared" ref="I257:I271" si="55">IF(G257="Mayfield","Yes",IF(G257="Royal Local","Yes",IF(A257="sysco","No",IF(G257="atlanta fresh","Yes",IF(G257="Springer Mountain","Yes",IF(G257="white oak Pastures","Yes",IF(G257="Southern Swiss", "Yes")))))))</f>
        <v>Yes</v>
      </c>
      <c r="J257" s="132" t="s">
        <v>20</v>
      </c>
      <c r="K257" s="174" t="s">
        <v>33</v>
      </c>
      <c r="L257" s="174" t="str">
        <f t="shared" ref="L257" si="56">IF(K257="No","N/A",IF(G257="mayfield","raised w/o hormones",IF(G257="springer mountain","raised w/o antibiotics",IF(G257="white oak pastures","grassfed",IF(G257="inland","seafood watch",IF(G257="atlanta fresh","raised w/o hormones",IF(G257="southern swiss","raised w/o hormones)))))))")))))))</f>
        <v>N/A</v>
      </c>
      <c r="M257" s="136" t="str">
        <f t="shared" si="47"/>
        <v>No</v>
      </c>
      <c r="N257" s="65" t="str">
        <f t="shared" si="54"/>
        <v>N/A</v>
      </c>
      <c r="O257" s="67">
        <f>146.76+183.45</f>
        <v>330.21</v>
      </c>
      <c r="P257" s="67">
        <v>1</v>
      </c>
      <c r="Q257" s="63">
        <f>O:O*P:P</f>
        <v>330.21</v>
      </c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45">
      <c r="A258" s="79" t="s">
        <v>28</v>
      </c>
      <c r="B258" s="79" t="s">
        <v>253</v>
      </c>
      <c r="C258" s="114">
        <v>42327</v>
      </c>
      <c r="D258" s="79" t="s">
        <v>223</v>
      </c>
      <c r="E258" s="79"/>
      <c r="F258" s="79" t="s">
        <v>2</v>
      </c>
      <c r="G258" s="79" t="s">
        <v>30</v>
      </c>
      <c r="H258" s="79" t="s">
        <v>254</v>
      </c>
      <c r="I258" s="79" t="str">
        <f t="shared" si="55"/>
        <v>Yes</v>
      </c>
      <c r="J258" s="74" t="str">
        <f t="shared" ref="J258:J264" si="57">IF(G258="Mayfield","No",IF(G258="Royal Local","No",IF(A258="sysco","No",IF(G258="Springer Mountain","No",IF(G258="white oak pastures","Yes",IF(G258="Southern Swiss","Yes"))))))</f>
        <v>No</v>
      </c>
      <c r="K258" s="79" t="str">
        <f t="shared" ref="K258:K270" si="58">IF(G258="Mayfield","Yes", IF(G258="Royal Local","No",IF(G258="butterball", "yes",IF(G258="Springer Mountain","Yes",IF(G258="white oak pastures","Yes",IF(G258="Southern Swiss", "Yes", IF(G258="atlanta fresh", "yes")))))))</f>
        <v>No</v>
      </c>
      <c r="L258" s="79" t="str">
        <f t="shared" si="50"/>
        <v>N/A</v>
      </c>
      <c r="M258" s="70" t="str">
        <f t="shared" si="47"/>
        <v>No</v>
      </c>
      <c r="N258" s="65" t="str">
        <f t="shared" si="54"/>
        <v>N/A</v>
      </c>
      <c r="O258" s="70">
        <f>91.59+135.84+16.03+48.5+39.3</f>
        <v>331.26000000000005</v>
      </c>
      <c r="P258" s="70">
        <v>1</v>
      </c>
      <c r="Q258" s="75">
        <f>O:O*P:P</f>
        <v>331.26000000000005</v>
      </c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45">
      <c r="A259" s="70" t="s">
        <v>28</v>
      </c>
      <c r="B259" s="70" t="s">
        <v>238</v>
      </c>
      <c r="C259" s="76">
        <v>42324</v>
      </c>
      <c r="D259" s="70" t="s">
        <v>223</v>
      </c>
      <c r="E259" s="70"/>
      <c r="F259" s="70" t="s">
        <v>2</v>
      </c>
      <c r="G259" s="70" t="s">
        <v>30</v>
      </c>
      <c r="H259" s="70" t="s">
        <v>239</v>
      </c>
      <c r="I259" s="70" t="str">
        <f t="shared" si="55"/>
        <v>Yes</v>
      </c>
      <c r="J259" s="74" t="str">
        <f t="shared" si="57"/>
        <v>No</v>
      </c>
      <c r="K259" s="70" t="str">
        <f t="shared" si="58"/>
        <v>No</v>
      </c>
      <c r="L259" s="70" t="str">
        <f t="shared" si="50"/>
        <v>N/A</v>
      </c>
      <c r="M259" s="70" t="str">
        <f t="shared" si="47"/>
        <v>No</v>
      </c>
      <c r="N259" s="65" t="str">
        <f t="shared" si="54"/>
        <v>N/A</v>
      </c>
      <c r="O259" s="70">
        <f>91.59+97.59+91.59+92.55</f>
        <v>373.32</v>
      </c>
      <c r="P259" s="70">
        <v>1</v>
      </c>
      <c r="Q259" s="75">
        <f>O:O*P:P</f>
        <v>373.32</v>
      </c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45">
      <c r="A260" s="70" t="s">
        <v>28</v>
      </c>
      <c r="B260" s="70" t="s">
        <v>235</v>
      </c>
      <c r="C260" s="76">
        <v>42324</v>
      </c>
      <c r="D260" s="79" t="s">
        <v>223</v>
      </c>
      <c r="E260" s="70"/>
      <c r="F260" s="70" t="s">
        <v>2</v>
      </c>
      <c r="G260" s="70" t="s">
        <v>30</v>
      </c>
      <c r="H260" s="70" t="s">
        <v>237</v>
      </c>
      <c r="I260" s="70" t="str">
        <f t="shared" si="55"/>
        <v>Yes</v>
      </c>
      <c r="J260" s="74" t="str">
        <f t="shared" si="57"/>
        <v>No</v>
      </c>
      <c r="K260" s="70" t="str">
        <f t="shared" si="58"/>
        <v>No</v>
      </c>
      <c r="L260" s="70" t="str">
        <f t="shared" si="50"/>
        <v>N/A</v>
      </c>
      <c r="M260" s="70" t="str">
        <f t="shared" si="47"/>
        <v>No</v>
      </c>
      <c r="N260" s="65" t="str">
        <f t="shared" si="54"/>
        <v>N/A</v>
      </c>
      <c r="O260" s="70">
        <f>23.45+58.05+58.95+256.4+43.06</f>
        <v>439.90999999999997</v>
      </c>
      <c r="P260" s="70">
        <v>1</v>
      </c>
      <c r="Q260" s="75">
        <f>O:O*P:P</f>
        <v>439.90999999999997</v>
      </c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45">
      <c r="A261" s="48" t="s">
        <v>28</v>
      </c>
      <c r="B261" s="48" t="s">
        <v>190</v>
      </c>
      <c r="C261" s="54">
        <v>42313</v>
      </c>
      <c r="D261" s="48" t="s">
        <v>172</v>
      </c>
      <c r="E261" s="48"/>
      <c r="F261" s="48" t="s">
        <v>2</v>
      </c>
      <c r="G261" s="48" t="s">
        <v>30</v>
      </c>
      <c r="H261" s="48" t="s">
        <v>159</v>
      </c>
      <c r="I261" s="55" t="str">
        <f t="shared" si="55"/>
        <v>Yes</v>
      </c>
      <c r="J261" s="48" t="str">
        <f t="shared" si="57"/>
        <v>No</v>
      </c>
      <c r="K261" s="55" t="str">
        <f t="shared" si="58"/>
        <v>No</v>
      </c>
      <c r="L261" s="55" t="str">
        <f t="shared" si="50"/>
        <v>N/A</v>
      </c>
      <c r="M261" s="55" t="str">
        <f t="shared" si="47"/>
        <v>No</v>
      </c>
      <c r="N261" s="62" t="str">
        <f t="shared" si="54"/>
        <v>N/A</v>
      </c>
      <c r="O261" s="48">
        <f>61.06+45.28+77.4+39.3+51.28+61.05+43.77+43.77+65.6</f>
        <v>488.51</v>
      </c>
      <c r="P261" s="48">
        <v>1</v>
      </c>
      <c r="Q261" s="48">
        <f>O:O*P:P</f>
        <v>488.51</v>
      </c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45">
      <c r="A262" s="67" t="s">
        <v>28</v>
      </c>
      <c r="B262" s="67" t="s">
        <v>201</v>
      </c>
      <c r="C262" s="68">
        <v>42315</v>
      </c>
      <c r="D262" s="63" t="s">
        <v>192</v>
      </c>
      <c r="E262" s="67"/>
      <c r="F262" s="67" t="s">
        <v>2</v>
      </c>
      <c r="G262" s="67" t="s">
        <v>30</v>
      </c>
      <c r="H262" s="67" t="s">
        <v>176</v>
      </c>
      <c r="I262" s="64" t="str">
        <f t="shared" si="55"/>
        <v>Yes</v>
      </c>
      <c r="J262" s="63" t="str">
        <f t="shared" si="57"/>
        <v>No</v>
      </c>
      <c r="K262" s="64" t="str">
        <f t="shared" si="58"/>
        <v>No</v>
      </c>
      <c r="L262" s="64" t="str">
        <f t="shared" si="50"/>
        <v>N/A</v>
      </c>
      <c r="M262" s="64" t="str">
        <f t="shared" si="47"/>
        <v>No</v>
      </c>
      <c r="N262" s="65" t="str">
        <f t="shared" si="54"/>
        <v>N/A</v>
      </c>
      <c r="O262" s="67">
        <f>91.59+97.59+113.2+58.05+46.59+19.65+72.75</f>
        <v>499.41999999999996</v>
      </c>
      <c r="P262" s="67">
        <v>1</v>
      </c>
      <c r="Q262" s="63">
        <f>O:O*P:P</f>
        <v>499.41999999999996</v>
      </c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45">
      <c r="A263" s="70" t="s">
        <v>28</v>
      </c>
      <c r="B263" s="70" t="s">
        <v>243</v>
      </c>
      <c r="C263" s="76">
        <v>42325</v>
      </c>
      <c r="D263" s="70" t="s">
        <v>223</v>
      </c>
      <c r="E263" s="70"/>
      <c r="F263" s="70" t="s">
        <v>2</v>
      </c>
      <c r="G263" s="70" t="s">
        <v>30</v>
      </c>
      <c r="H263" s="70" t="s">
        <v>244</v>
      </c>
      <c r="I263" s="70" t="str">
        <f t="shared" si="55"/>
        <v>Yes</v>
      </c>
      <c r="J263" s="74" t="str">
        <f t="shared" si="57"/>
        <v>No</v>
      </c>
      <c r="K263" s="70" t="str">
        <f t="shared" si="58"/>
        <v>No</v>
      </c>
      <c r="L263" s="70" t="str">
        <f t="shared" si="50"/>
        <v>N/A</v>
      </c>
      <c r="M263" s="70" t="str">
        <f t="shared" si="47"/>
        <v>No</v>
      </c>
      <c r="N263" s="65" t="str">
        <f t="shared" si="54"/>
        <v>N/A</v>
      </c>
      <c r="O263" s="70">
        <v>566</v>
      </c>
      <c r="P263" s="70">
        <v>1</v>
      </c>
      <c r="Q263" s="75">
        <f>O:O*P:P</f>
        <v>566</v>
      </c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45">
      <c r="A264" s="77" t="s">
        <v>28</v>
      </c>
      <c r="B264" s="77" t="s">
        <v>274</v>
      </c>
      <c r="C264" s="154">
        <v>42331</v>
      </c>
      <c r="D264" s="77" t="s">
        <v>264</v>
      </c>
      <c r="E264" s="77"/>
      <c r="F264" s="77" t="s">
        <v>2</v>
      </c>
      <c r="G264" s="77" t="s">
        <v>30</v>
      </c>
      <c r="H264" s="77" t="s">
        <v>275</v>
      </c>
      <c r="I264" s="77" t="str">
        <f t="shared" si="55"/>
        <v>Yes</v>
      </c>
      <c r="J264" s="74" t="str">
        <f t="shared" si="57"/>
        <v>No</v>
      </c>
      <c r="K264" s="77" t="str">
        <f t="shared" si="58"/>
        <v>No</v>
      </c>
      <c r="L264" s="77" t="str">
        <f t="shared" si="50"/>
        <v>N/A</v>
      </c>
      <c r="M264" s="70" t="str">
        <f t="shared" si="47"/>
        <v>No</v>
      </c>
      <c r="N264" s="65" t="str">
        <f t="shared" si="54"/>
        <v>N/A</v>
      </c>
      <c r="O264" s="70">
        <f>61.06+61.06+90.56+24.53+39.3+128.2+22.53+101.75+58.7</f>
        <v>587.69000000000005</v>
      </c>
      <c r="P264" s="70">
        <v>1</v>
      </c>
      <c r="Q264" s="75">
        <f>O:O*P:P</f>
        <v>587.69000000000005</v>
      </c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45">
      <c r="A265" s="163" t="s">
        <v>28</v>
      </c>
      <c r="B265" s="173" t="s">
        <v>211</v>
      </c>
      <c r="C265" s="162">
        <v>42318</v>
      </c>
      <c r="D265" s="167" t="s">
        <v>192</v>
      </c>
      <c r="E265" s="167" t="s">
        <v>302</v>
      </c>
      <c r="F265" s="163" t="s">
        <v>3</v>
      </c>
      <c r="G265" s="163" t="s">
        <v>34</v>
      </c>
      <c r="H265" s="163" t="s">
        <v>86</v>
      </c>
      <c r="I265" s="167" t="str">
        <f t="shared" si="55"/>
        <v>Yes</v>
      </c>
      <c r="J265" s="132" t="s">
        <v>20</v>
      </c>
      <c r="K265" s="174" t="s">
        <v>33</v>
      </c>
      <c r="L265" s="174" t="str">
        <f t="shared" ref="L265" si="59">IF(K265="No","N/A",IF(G265="mayfield","raised w/o hormones",IF(G265="springer mountain","raised w/o antibiotics",IF(G265="white oak pastures","grassfed",IF(G265="inland","seafood watch",IF(G265="atlanta fresh","raised w/o hormones",IF(G265="southern swiss","raised w/o hormones)))))))")))))))</f>
        <v>N/A</v>
      </c>
      <c r="M265" s="136" t="str">
        <f t="shared" si="47"/>
        <v>No</v>
      </c>
      <c r="N265" s="65" t="str">
        <f t="shared" si="54"/>
        <v>N/A</v>
      </c>
      <c r="O265" s="67">
        <v>23.19</v>
      </c>
      <c r="P265" s="67">
        <v>1</v>
      </c>
      <c r="Q265" s="63">
        <f>O:O*P:P</f>
        <v>23.19</v>
      </c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45">
      <c r="A266" s="156" t="s">
        <v>28</v>
      </c>
      <c r="B266" s="156" t="s">
        <v>207</v>
      </c>
      <c r="C266" s="157">
        <v>42320</v>
      </c>
      <c r="D266" s="158" t="s">
        <v>192</v>
      </c>
      <c r="E266" s="156"/>
      <c r="F266" s="156" t="s">
        <v>2</v>
      </c>
      <c r="G266" s="156" t="s">
        <v>30</v>
      </c>
      <c r="H266" s="156" t="s">
        <v>208</v>
      </c>
      <c r="I266" s="159" t="str">
        <f t="shared" si="55"/>
        <v>Yes</v>
      </c>
      <c r="J266" s="63" t="str">
        <f>IF(G266="Mayfield","No",IF(G266="Royal Local","No",IF(A266="sysco","No",IF(G266="Springer Mountain","No",IF(G266="white oak pastures","Yes",IF(G266="Southern Swiss","Yes"))))))</f>
        <v>No</v>
      </c>
      <c r="K266" s="159" t="str">
        <f t="shared" si="58"/>
        <v>No</v>
      </c>
      <c r="L266" s="159" t="str">
        <f t="shared" si="50"/>
        <v>N/A</v>
      </c>
      <c r="M266" s="64" t="str">
        <f t="shared" si="47"/>
        <v>No</v>
      </c>
      <c r="N266" s="65" t="str">
        <f t="shared" si="54"/>
        <v>N/A</v>
      </c>
      <c r="O266" s="67">
        <f>61.06+32.53+61.06+51.6+15.53+89.74+81.4+43.77+43.77+123.4</f>
        <v>603.8599999999999</v>
      </c>
      <c r="P266" s="67">
        <v>1</v>
      </c>
      <c r="Q266" s="63">
        <f>O:O*P:P</f>
        <v>603.8599999999999</v>
      </c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45">
      <c r="A267" s="163" t="s">
        <v>28</v>
      </c>
      <c r="B267" s="173" t="s">
        <v>213</v>
      </c>
      <c r="C267" s="162">
        <v>42319</v>
      </c>
      <c r="D267" s="167" t="s">
        <v>192</v>
      </c>
      <c r="E267" s="167" t="s">
        <v>302</v>
      </c>
      <c r="F267" s="163" t="s">
        <v>3</v>
      </c>
      <c r="G267" s="163" t="s">
        <v>34</v>
      </c>
      <c r="H267" s="163" t="s">
        <v>86</v>
      </c>
      <c r="I267" s="167" t="str">
        <f t="shared" si="55"/>
        <v>Yes</v>
      </c>
      <c r="J267" s="132" t="s">
        <v>20</v>
      </c>
      <c r="K267" s="174" t="s">
        <v>33</v>
      </c>
      <c r="L267" s="174" t="str">
        <f t="shared" ref="L267" si="60">IF(K267="No","N/A",IF(G267="mayfield","raised w/o hormones",IF(G267="springer mountain","raised w/o antibiotics",IF(G267="white oak pastures","grassfed",IF(G267="inland","seafood watch",IF(G267="atlanta fresh","raised w/o hormones",IF(G267="southern swiss","raised w/o hormones)))))))")))))))</f>
        <v>N/A</v>
      </c>
      <c r="M267" s="133" t="str">
        <f t="shared" si="47"/>
        <v>No</v>
      </c>
      <c r="N267" s="65" t="str">
        <f t="shared" si="54"/>
        <v>N/A</v>
      </c>
      <c r="O267" s="67">
        <f>366.9+366.9</f>
        <v>733.8</v>
      </c>
      <c r="P267" s="67">
        <v>1</v>
      </c>
      <c r="Q267" s="63">
        <f>O:O*P:P</f>
        <v>733.8</v>
      </c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45">
      <c r="A268" s="110" t="s">
        <v>28</v>
      </c>
      <c r="B268" s="110" t="s">
        <v>204</v>
      </c>
      <c r="C268" s="111">
        <v>42318</v>
      </c>
      <c r="D268" s="66" t="s">
        <v>192</v>
      </c>
      <c r="E268" s="110"/>
      <c r="F268" s="110" t="s">
        <v>2</v>
      </c>
      <c r="G268" s="110" t="s">
        <v>30</v>
      </c>
      <c r="H268" s="110" t="s">
        <v>205</v>
      </c>
      <c r="I268" s="112" t="str">
        <f t="shared" si="55"/>
        <v>Yes</v>
      </c>
      <c r="J268" s="63" t="str">
        <f>IF(G268="Mayfield","No",IF(G268="Royal Local","No",IF(A268="sysco","No",IF(G268="Springer Mountain","No",IF(G268="white oak pastures","Yes",IF(G268="Southern Swiss","Yes"))))))</f>
        <v>No</v>
      </c>
      <c r="K268" s="112" t="str">
        <f t="shared" si="58"/>
        <v>No</v>
      </c>
      <c r="L268" s="112" t="str">
        <f t="shared" si="50"/>
        <v>N/A</v>
      </c>
      <c r="M268" s="64" t="str">
        <f t="shared" si="47"/>
        <v>No</v>
      </c>
      <c r="N268" s="69" t="str">
        <f t="shared" si="54"/>
        <v>N/A</v>
      </c>
      <c r="O268" s="67">
        <f>45.28+25.8+15.53+19.65+128.2+122.1+29.18+176.1+51.94</f>
        <v>613.78</v>
      </c>
      <c r="P268" s="67">
        <v>1</v>
      </c>
      <c r="Q268" s="63">
        <f>O:O*P:P</f>
        <v>613.78</v>
      </c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45">
      <c r="A269" s="70" t="s">
        <v>28</v>
      </c>
      <c r="B269" s="70" t="s">
        <v>267</v>
      </c>
      <c r="C269" s="76">
        <v>42328</v>
      </c>
      <c r="D269" s="79" t="s">
        <v>264</v>
      </c>
      <c r="E269" s="70"/>
      <c r="F269" s="70" t="s">
        <v>2</v>
      </c>
      <c r="G269" s="70" t="s">
        <v>30</v>
      </c>
      <c r="H269" s="70" t="s">
        <v>268</v>
      </c>
      <c r="I269" s="70" t="str">
        <f t="shared" si="55"/>
        <v>Yes</v>
      </c>
      <c r="J269" s="74" t="str">
        <f>IF(G269="Mayfield","No",IF(G269="Royal Local","No",IF(A269="sysco","No",IF(G269="Springer Mountain","No",IF(G269="white oak pastures","Yes",IF(G269="Southern Swiss","Yes"))))))</f>
        <v>No</v>
      </c>
      <c r="K269" s="70" t="str">
        <f t="shared" si="58"/>
        <v>No</v>
      </c>
      <c r="L269" s="70" t="str">
        <f t="shared" si="50"/>
        <v>N/A</v>
      </c>
      <c r="M269" s="70" t="str">
        <f t="shared" si="47"/>
        <v>No</v>
      </c>
      <c r="N269" s="69" t="str">
        <f t="shared" si="54"/>
        <v>N/A</v>
      </c>
      <c r="O269" s="70">
        <f>61.06+32.53+30.53+23.45+16.03+128.2+21.53+40.7+77.55+30.18+30.18+176.1</f>
        <v>668.04</v>
      </c>
      <c r="P269" s="70">
        <v>1</v>
      </c>
      <c r="Q269" s="75">
        <f>O:O*P:P</f>
        <v>668.04</v>
      </c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45">
      <c r="A270" s="77" t="s">
        <v>28</v>
      </c>
      <c r="B270" s="77" t="s">
        <v>269</v>
      </c>
      <c r="C270" s="154">
        <v>42329</v>
      </c>
      <c r="D270" s="77" t="s">
        <v>264</v>
      </c>
      <c r="E270" s="77"/>
      <c r="F270" s="77" t="s">
        <v>2</v>
      </c>
      <c r="G270" s="77" t="s">
        <v>30</v>
      </c>
      <c r="H270" s="77" t="s">
        <v>270</v>
      </c>
      <c r="I270" s="77" t="str">
        <f t="shared" si="55"/>
        <v>Yes</v>
      </c>
      <c r="J270" s="74" t="str">
        <f>IF(G270="Mayfield","No",IF(G270="Royal Local","No",IF(A270="sysco","No",IF(G270="Springer Mountain","No",IF(G270="white oak pastures","Yes",IF(G270="Southern Swiss","Yes"))))))</f>
        <v>No</v>
      </c>
      <c r="K270" s="77" t="str">
        <f t="shared" si="58"/>
        <v>No</v>
      </c>
      <c r="L270" s="77" t="str">
        <f t="shared" si="50"/>
        <v>N/A</v>
      </c>
      <c r="M270" s="70" t="str">
        <f t="shared" si="47"/>
        <v>No</v>
      </c>
      <c r="N270" s="69" t="str">
        <f t="shared" si="54"/>
        <v>N/A</v>
      </c>
      <c r="O270" s="70">
        <f>61.06+65.06+61.06+135.84+23.45+58.05+16.03+39.3+48.5+128.2+43.06+40.7</f>
        <v>720.31</v>
      </c>
      <c r="P270" s="70">
        <v>1</v>
      </c>
      <c r="Q270" s="75">
        <f>O:O*P:P</f>
        <v>720.31</v>
      </c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45">
      <c r="A271" s="163" t="s">
        <v>52</v>
      </c>
      <c r="B271" s="173"/>
      <c r="C271" s="173" t="s">
        <v>53</v>
      </c>
      <c r="D271" s="167" t="s">
        <v>192</v>
      </c>
      <c r="E271" s="167" t="s">
        <v>302</v>
      </c>
      <c r="F271" s="163" t="s">
        <v>54</v>
      </c>
      <c r="G271" s="163" t="s">
        <v>55</v>
      </c>
      <c r="H271" s="163" t="s">
        <v>82</v>
      </c>
      <c r="I271" s="167" t="str">
        <f t="shared" si="55"/>
        <v>No</v>
      </c>
      <c r="J271" s="132" t="str">
        <f>IF(G271="Mayfield","No",IF(G271="Royal Local","No",IF(A271="sysco","No",IF(G271="Springer Mountain","No",IF(G271="white oak pastures","Yes",IF(G271="Southern Swiss","Yes"))))))</f>
        <v>No</v>
      </c>
      <c r="K271" s="167" t="s">
        <v>20</v>
      </c>
      <c r="L271" s="167" t="s">
        <v>145</v>
      </c>
      <c r="M271" s="133" t="str">
        <f t="shared" si="47"/>
        <v>no</v>
      </c>
      <c r="N271" s="69" t="str">
        <f>IF(M271="No","N/A",IF(G271="Springer Mountain","Emory Local&amp; raised w/o antibiotics)"))</f>
        <v>N/A</v>
      </c>
      <c r="O271" s="67">
        <v>494.16</v>
      </c>
      <c r="P271" s="67">
        <v>1</v>
      </c>
      <c r="Q271" s="63">
        <f>O:O*P:P</f>
        <v>494.16</v>
      </c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45">
      <c r="A272" s="163" t="s">
        <v>52</v>
      </c>
      <c r="B272" s="173"/>
      <c r="C272" s="173" t="s">
        <v>53</v>
      </c>
      <c r="D272" s="167" t="s">
        <v>192</v>
      </c>
      <c r="E272" s="167" t="s">
        <v>302</v>
      </c>
      <c r="F272" s="163" t="s">
        <v>54</v>
      </c>
      <c r="G272" s="163" t="s">
        <v>58</v>
      </c>
      <c r="H272" s="163" t="s">
        <v>222</v>
      </c>
      <c r="I272" s="163" t="s">
        <v>33</v>
      </c>
      <c r="J272" s="139" t="s">
        <v>33</v>
      </c>
      <c r="K272" s="163" t="s">
        <v>59</v>
      </c>
      <c r="L272" s="163" t="s">
        <v>145</v>
      </c>
      <c r="M272" s="140" t="s">
        <v>33</v>
      </c>
      <c r="N272" s="72" t="str">
        <f>IF(M272="No","N/A",IF(G272="Springer Mountain","Emory Local&amp; raised w/o antibiotics)"))</f>
        <v>N/A</v>
      </c>
      <c r="O272" s="71">
        <v>1429.67</v>
      </c>
      <c r="P272" s="71">
        <v>1</v>
      </c>
      <c r="Q272" s="73">
        <f>O:O*P:P</f>
        <v>1429.67</v>
      </c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45">
      <c r="A273" s="163" t="s">
        <v>259</v>
      </c>
      <c r="B273" s="173">
        <v>25253424</v>
      </c>
      <c r="C273" s="162">
        <v>42319</v>
      </c>
      <c r="D273" s="163" t="s">
        <v>192</v>
      </c>
      <c r="E273" s="167" t="s">
        <v>302</v>
      </c>
      <c r="F273" s="163" t="s">
        <v>260</v>
      </c>
      <c r="G273" s="163" t="s">
        <v>263</v>
      </c>
      <c r="H273" s="163" t="s">
        <v>262</v>
      </c>
      <c r="I273" s="163" t="s">
        <v>33</v>
      </c>
      <c r="J273" s="84" t="s">
        <v>33</v>
      </c>
      <c r="K273" s="163" t="s">
        <v>59</v>
      </c>
      <c r="L273" s="163" t="s">
        <v>261</v>
      </c>
      <c r="M273" s="82" t="s">
        <v>194</v>
      </c>
      <c r="N273" s="85"/>
      <c r="O273" s="82">
        <v>258.94</v>
      </c>
      <c r="P273" s="82">
        <v>1</v>
      </c>
      <c r="Q273" s="83">
        <v>258.94</v>
      </c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45">
      <c r="A274" s="86" t="s">
        <v>15</v>
      </c>
      <c r="B274" s="86"/>
      <c r="C274" s="86" t="s">
        <v>53</v>
      </c>
      <c r="D274" s="86" t="s">
        <v>223</v>
      </c>
      <c r="E274" s="86"/>
      <c r="F274" s="86" t="s">
        <v>3</v>
      </c>
      <c r="G274" s="86" t="s">
        <v>18</v>
      </c>
      <c r="H274" s="86"/>
      <c r="I274" s="86" t="str">
        <f>IF(G274="Mayfield","Yes",IF(G274="Royal Local","Yes",IF(A274="sysco","No",IF(G274="atlanta fresh","Yes",IF(G274="Springer Mountain","Yes",IF(G274="white oak Pastures","Yes",IF(G274="Southern Swiss", "Yes")))))))</f>
        <v>Yes</v>
      </c>
      <c r="J274" s="74" t="str">
        <f>IF(G274="Mayfield","No",IF(G274="Royal Local","No",IF(A274="sysco","No",IF(G274="Springer Mountain","No",IF(G274="white oak pastures","Yes",IF(G274="Southern Swiss","Yes"))))))</f>
        <v>No</v>
      </c>
      <c r="K274" s="86" t="str">
        <f>IF(G274="Mayfield","Yes", IF(G274="Royal Local","No",IF(G274="butterball", "yes",IF(G274="Springer Mountain","Yes",IF(G274="white oak pastures","Yes",IF(G274="Southern Swiss", "Yes", IF(G274="atlanta fresh", "yes")))))))</f>
        <v>Yes</v>
      </c>
      <c r="L274" s="86" t="str">
        <f>IF(K274="No","N/A",IF(G274="mayfield","raised w/o hormones",IF(G274="springer mountain","raised w/o antibiotics",IF(G274="white oak pastures","grassfed",IF(G274="inland","seafood watch",IF(G274="atlanta fresh","raised w/o hormones",IF(G274="southern swiss","raised w/o hormones)))))))")))))))</f>
        <v>raised w/o hormones</v>
      </c>
      <c r="M274" s="70" t="str">
        <f t="shared" ref="M274:M277" si="61">IF(G274="white oak pastures", "Yes",IF(G274="mayfield","yes",IF(G274="oxford farm","yes",IF(K274="No","No", IF(I274="no", "no", IF(G274="springer mountain", "yes", IF(G274="atlanta fresh","yes")))))))</f>
        <v>yes</v>
      </c>
      <c r="N274" s="69" t="str">
        <f t="shared" ref="N274:N277" si="62">IF(M274="No","N/A",IF(G274="Springer Mountain","Emory Local&amp; raised w/o antibiotics)",IF(G274="mayfield","Emory local &amp; raised w/o hormones",IF(G274="white oak pastures","F2F &amp; grassfed",IF(G274="atlanta fresh","F2F &amp; raised w/o hormones",IF(G274="southern swiss", "yes", IF(G274="batdorf &amp; bronson", "Emory Local &amp; fair trade")))))))</f>
        <v>Emory local &amp; raised w/o hormones</v>
      </c>
      <c r="O274" s="70">
        <v>3381.6</v>
      </c>
      <c r="P274" s="70">
        <v>1</v>
      </c>
      <c r="Q274" s="75">
        <f>O:O*P:P</f>
        <v>3381.6</v>
      </c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45">
      <c r="A275" s="174" t="s">
        <v>152</v>
      </c>
      <c r="B275" s="175"/>
      <c r="C275" s="175" t="s">
        <v>53</v>
      </c>
      <c r="D275" s="174" t="s">
        <v>223</v>
      </c>
      <c r="E275" s="167" t="s">
        <v>302</v>
      </c>
      <c r="F275" s="174" t="s">
        <v>4</v>
      </c>
      <c r="G275" s="174" t="s">
        <v>62</v>
      </c>
      <c r="H275" s="174" t="s">
        <v>191</v>
      </c>
      <c r="I275" s="174" t="s">
        <v>33</v>
      </c>
      <c r="J275" s="137" t="s">
        <v>33</v>
      </c>
      <c r="K275" s="174" t="s">
        <v>59</v>
      </c>
      <c r="L275" s="174" t="s">
        <v>63</v>
      </c>
      <c r="M275" s="138" t="str">
        <f t="shared" si="61"/>
        <v>no</v>
      </c>
      <c r="N275" s="69" t="str">
        <f t="shared" si="62"/>
        <v>N/A</v>
      </c>
      <c r="O275" s="70">
        <v>702</v>
      </c>
      <c r="P275" s="70">
        <v>1</v>
      </c>
      <c r="Q275" s="75">
        <f>O:O*P:P</f>
        <v>702</v>
      </c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45">
      <c r="A276" s="174" t="s">
        <v>66</v>
      </c>
      <c r="B276" s="175">
        <v>821609</v>
      </c>
      <c r="C276" s="176">
        <v>42324</v>
      </c>
      <c r="D276" s="174" t="s">
        <v>223</v>
      </c>
      <c r="E276" s="167" t="s">
        <v>302</v>
      </c>
      <c r="F276" s="174" t="s">
        <v>1</v>
      </c>
      <c r="G276" s="174" t="s">
        <v>23</v>
      </c>
      <c r="H276" s="174" t="s">
        <v>121</v>
      </c>
      <c r="I276" s="174" t="str">
        <f>IF(G276="Mayfield","Yes",IF(G276="Royal Local","Yes",IF(A276="sysco","No",IF(G276="atlanta fresh","Yes",IF(G276="Springer Mountain","Yes",IF(G276="white oak Pastures","Yes",IF(G276="Southern Swiss", "Yes")))))))</f>
        <v>Yes</v>
      </c>
      <c r="J276" s="137" t="str">
        <f>IF(G276="Mayfield","No",IF(G276="Royal Local","No",IF(A276="sysco","No",IF(G276="Springer Mountain","No",IF(G276="white oak pastures","Yes",IF(G276="Southern Swiss","Yes"))))))</f>
        <v>Yes</v>
      </c>
      <c r="K276" s="174" t="str">
        <f>IF(G276="Mayfield","Yes", IF(G276="Royal Local","No",IF(G276="butterball", "yes",IF(G276="Springer Mountain","Yes",IF(G276="white oak pastures","Yes",IF(G276="Southern Swiss", "Yes", IF(G276="atlanta fresh", "yes")))))))</f>
        <v>Yes</v>
      </c>
      <c r="L276" s="174" t="str">
        <f>IF(K276="No","N/A",IF(G276="mayfield","raised w/o hormones",IF(G276="springer mountain","raised w/o antibiotics",IF(G276="white oak pastures","grassfed",IF(G276="inland","seafood watch",IF(G276="atlanta fresh","raised w/o hormones",IF(G276="southern swiss","raised w/o hormones)))))))")))))))</f>
        <v>grassfed</v>
      </c>
      <c r="M276" s="138" t="str">
        <f t="shared" si="61"/>
        <v>Yes</v>
      </c>
      <c r="N276" s="69" t="str">
        <f t="shared" si="62"/>
        <v>F2F &amp; grassfed</v>
      </c>
      <c r="O276" s="70">
        <f>1175.4+1355.2+4021.01</f>
        <v>6551.6100000000006</v>
      </c>
      <c r="P276" s="70">
        <v>1</v>
      </c>
      <c r="Q276" s="75">
        <f>O:O*P:P</f>
        <v>6551.6100000000006</v>
      </c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45">
      <c r="A277" s="79" t="s">
        <v>66</v>
      </c>
      <c r="B277" s="79">
        <v>821609</v>
      </c>
      <c r="C277" s="113">
        <v>42324</v>
      </c>
      <c r="D277" s="79" t="s">
        <v>223</v>
      </c>
      <c r="E277" s="79"/>
      <c r="F277" s="79" t="s">
        <v>1</v>
      </c>
      <c r="G277" s="79" t="s">
        <v>148</v>
      </c>
      <c r="H277" s="79" t="s">
        <v>124</v>
      </c>
      <c r="I277" s="79" t="s">
        <v>20</v>
      </c>
      <c r="J277" s="74" t="s">
        <v>33</v>
      </c>
      <c r="K277" s="79" t="s">
        <v>33</v>
      </c>
      <c r="L277" s="79" t="s">
        <v>32</v>
      </c>
      <c r="M277" s="70" t="str">
        <f t="shared" si="61"/>
        <v>No</v>
      </c>
      <c r="N277" s="69" t="str">
        <f t="shared" si="62"/>
        <v>N/A</v>
      </c>
      <c r="O277" s="70">
        <f>347.53+1349.82</f>
        <v>1697.35</v>
      </c>
      <c r="P277" s="70">
        <v>1</v>
      </c>
      <c r="Q277" s="75">
        <f>O:O*P:P</f>
        <v>1697.35</v>
      </c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45">
      <c r="A278" s="174" t="s">
        <v>224</v>
      </c>
      <c r="B278" s="175">
        <v>2700</v>
      </c>
      <c r="C278" s="176">
        <v>42327</v>
      </c>
      <c r="D278" s="174" t="s">
        <v>223</v>
      </c>
      <c r="E278" s="167" t="s">
        <v>302</v>
      </c>
      <c r="F278" s="174" t="s">
        <v>1</v>
      </c>
      <c r="G278" s="174" t="s">
        <v>225</v>
      </c>
      <c r="H278" s="174" t="s">
        <v>124</v>
      </c>
      <c r="I278" s="174" t="s">
        <v>20</v>
      </c>
      <c r="J278" s="137" t="s">
        <v>33</v>
      </c>
      <c r="K278" s="174" t="s">
        <v>20</v>
      </c>
      <c r="L278" s="174" t="s">
        <v>492</v>
      </c>
      <c r="M278" s="138" t="s">
        <v>20</v>
      </c>
      <c r="N278" s="69" t="s">
        <v>226</v>
      </c>
      <c r="O278" s="70">
        <v>1811.3</v>
      </c>
      <c r="P278" s="70">
        <v>1</v>
      </c>
      <c r="Q278" s="75">
        <f>O:O*P:P</f>
        <v>1811.3</v>
      </c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45">
      <c r="A279" s="79" t="s">
        <v>28</v>
      </c>
      <c r="B279" s="79" t="s">
        <v>235</v>
      </c>
      <c r="C279" s="113">
        <v>42324</v>
      </c>
      <c r="D279" s="79" t="s">
        <v>223</v>
      </c>
      <c r="E279" s="79"/>
      <c r="F279" s="79" t="s">
        <v>2</v>
      </c>
      <c r="G279" s="79" t="s">
        <v>30</v>
      </c>
      <c r="H279" s="79" t="s">
        <v>236</v>
      </c>
      <c r="I279" s="79" t="str">
        <f t="shared" ref="I279:I295" si="63">IF(G279="Mayfield","Yes",IF(G279="Royal Local","Yes",IF(A279="sysco","No",IF(G279="atlanta fresh","Yes",IF(G279="Springer Mountain","Yes",IF(G279="white oak Pastures","Yes",IF(G279="Southern Swiss", "Yes")))))))</f>
        <v>Yes</v>
      </c>
      <c r="J279" s="74" t="str">
        <f>IF(G279="Mayfield","No",IF(G279="Royal Local","No",IF(A279="sysco","No",IF(G279="Springer Mountain","No",IF(G279="white oak pastures","Yes",IF(G279="Southern Swiss","Yes"))))))</f>
        <v>No</v>
      </c>
      <c r="K279" s="79" t="str">
        <f t="shared" ref="K279:K295" si="64">IF(G279="Mayfield","Yes", IF(G279="Royal Local","No",IF(G279="butterball", "yes",IF(G279="Springer Mountain","Yes",IF(G279="white oak pastures","Yes",IF(G279="Southern Swiss", "Yes", IF(G279="atlanta fresh", "yes")))))))</f>
        <v>No</v>
      </c>
      <c r="L279" s="79" t="str">
        <f t="shared" ref="L279:L300" si="65">IF(K279="No","N/A",IF(G279="mayfield","raised w/o hormones",IF(G279="springer mountain","raised w/o antibiotics",IF(G279="white oak pastures","grassfed",IF(G279="inland","seafood watch",IF(G279="atlanta fresh","raised w/o hormones",IF(G279="southern swiss","raised w/o hormones)))))))")))))))</f>
        <v>N/A</v>
      </c>
      <c r="M279" s="70" t="str">
        <f t="shared" ref="M279:M314" si="66">IF(G279="white oak pastures", "Yes",IF(G279="mayfield","yes",IF(G279="oxford farm","yes",IF(K279="No","No", IF(I279="no", "no", IF(G279="springer mountain", "yes", IF(G279="atlanta fresh","yes")))))))</f>
        <v>No</v>
      </c>
      <c r="N279" s="69" t="str">
        <f t="shared" ref="N279:N314" si="67">IF(M279="No","N/A",IF(G279="Springer Mountain","Emory Local&amp; raised w/o antibiotics)",IF(G279="mayfield","Emory local &amp; raised w/o hormones",IF(G279="white oak pastures","F2F &amp; grassfed",IF(G279="atlanta fresh","F2F &amp; raised w/o hormones",IF(G279="southern swiss", "yes", IF(G279="batdorf &amp; bronson", "Emory Local &amp; fair trade")))))))</f>
        <v>N/A</v>
      </c>
      <c r="O279" s="70">
        <f>53.7+90.54+440.25+69.4+90.88</f>
        <v>744.77</v>
      </c>
      <c r="P279" s="70">
        <v>1</v>
      </c>
      <c r="Q279" s="75">
        <f>O:O*P:P</f>
        <v>744.77</v>
      </c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45">
      <c r="A280" s="48" t="s">
        <v>28</v>
      </c>
      <c r="B280" s="48" t="s">
        <v>181</v>
      </c>
      <c r="C280" s="54">
        <v>42311</v>
      </c>
      <c r="D280" s="48" t="s">
        <v>172</v>
      </c>
      <c r="E280" s="48"/>
      <c r="F280" s="48" t="s">
        <v>2</v>
      </c>
      <c r="G280" s="48" t="s">
        <v>30</v>
      </c>
      <c r="H280" s="48" t="s">
        <v>182</v>
      </c>
      <c r="I280" s="55" t="str">
        <f t="shared" si="63"/>
        <v>Yes</v>
      </c>
      <c r="J280" s="48" t="str">
        <f>IF(G280="Mayfield","No",IF(G280="Royal Local","No",IF(A280="sysco","No",IF(G280="Springer Mountain","No",IF(G280="white oak pastures","Yes",IF(G280="Southern Swiss","Yes"))))))</f>
        <v>No</v>
      </c>
      <c r="K280" s="55" t="str">
        <f t="shared" si="64"/>
        <v>No</v>
      </c>
      <c r="L280" s="55" t="str">
        <f t="shared" si="65"/>
        <v>N/A</v>
      </c>
      <c r="M280" s="55" t="str">
        <f t="shared" si="66"/>
        <v>No</v>
      </c>
      <c r="N280" s="56" t="str">
        <f t="shared" si="67"/>
        <v>N/A</v>
      </c>
      <c r="O280" s="48">
        <f>135.84+31.06+75.64+128.2+39.06+20.35+25.85+58.36+58.36+146.75+65.6+27.09</f>
        <v>812.16000000000008</v>
      </c>
      <c r="P280" s="48">
        <v>1</v>
      </c>
      <c r="Q280" s="48">
        <f>O:O*P:P</f>
        <v>812.16000000000008</v>
      </c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45">
      <c r="A281" s="67" t="s">
        <v>28</v>
      </c>
      <c r="B281" s="67" t="s">
        <v>199</v>
      </c>
      <c r="C281" s="68">
        <v>42317</v>
      </c>
      <c r="D281" s="63" t="s">
        <v>192</v>
      </c>
      <c r="E281" s="67"/>
      <c r="F281" s="67" t="s">
        <v>2</v>
      </c>
      <c r="G281" s="67" t="s">
        <v>30</v>
      </c>
      <c r="H281" s="67" t="s">
        <v>169</v>
      </c>
      <c r="I281" s="64" t="str">
        <f t="shared" si="63"/>
        <v>Yes</v>
      </c>
      <c r="J281" s="63" t="str">
        <f>IF(G281="Mayfield","No",IF(G281="Royal Local","No",IF(A281="sysco","No",IF(G281="Springer Mountain","No",IF(G281="white oak pastures","Yes",IF(G281="Southern Swiss","Yes"))))))</f>
        <v>No</v>
      </c>
      <c r="K281" s="64" t="str">
        <f t="shared" si="64"/>
        <v>No</v>
      </c>
      <c r="L281" s="64" t="str">
        <f t="shared" si="65"/>
        <v>N/A</v>
      </c>
      <c r="M281" s="64" t="str">
        <f t="shared" si="66"/>
        <v>No</v>
      </c>
      <c r="N281" s="69" t="str">
        <f t="shared" si="67"/>
        <v>N/A</v>
      </c>
      <c r="O281" s="67">
        <v>817.25</v>
      </c>
      <c r="P281" s="67">
        <v>1</v>
      </c>
      <c r="Q281" s="63">
        <f>O:O*P:P</f>
        <v>817.25</v>
      </c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45">
      <c r="A282" s="71" t="s">
        <v>28</v>
      </c>
      <c r="B282" s="71" t="s">
        <v>200</v>
      </c>
      <c r="C282" s="160">
        <v>42318</v>
      </c>
      <c r="D282" s="73" t="s">
        <v>192</v>
      </c>
      <c r="E282" s="71"/>
      <c r="F282" s="71" t="s">
        <v>2</v>
      </c>
      <c r="G282" s="71" t="s">
        <v>30</v>
      </c>
      <c r="H282" s="71" t="s">
        <v>169</v>
      </c>
      <c r="I282" s="161" t="str">
        <f t="shared" si="63"/>
        <v>Yes</v>
      </c>
      <c r="J282" s="63" t="str">
        <f>IF(G282="Mayfield","No",IF(G282="Royal Local","No",IF(A282="sysco","No",IF(G282="Springer Mountain","No",IF(G282="white oak pastures","Yes",IF(G282="Southern Swiss","Yes"))))))</f>
        <v>No</v>
      </c>
      <c r="K282" s="161" t="str">
        <f t="shared" si="64"/>
        <v>No</v>
      </c>
      <c r="L282" s="161" t="str">
        <f t="shared" si="65"/>
        <v>N/A</v>
      </c>
      <c r="M282" s="64" t="str">
        <f t="shared" si="66"/>
        <v>No</v>
      </c>
      <c r="N282" s="69" t="str">
        <f t="shared" si="67"/>
        <v>N/A</v>
      </c>
      <c r="O282" s="67">
        <v>817.25</v>
      </c>
      <c r="P282" s="67">
        <v>1</v>
      </c>
      <c r="Q282" s="63">
        <f>O:O*P:P</f>
        <v>817.25</v>
      </c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45">
      <c r="A283" s="174" t="s">
        <v>28</v>
      </c>
      <c r="B283" s="175" t="s">
        <v>230</v>
      </c>
      <c r="C283" s="176">
        <v>42321</v>
      </c>
      <c r="D283" s="174" t="s">
        <v>223</v>
      </c>
      <c r="E283" s="167" t="s">
        <v>302</v>
      </c>
      <c r="F283" s="174" t="s">
        <v>3</v>
      </c>
      <c r="G283" s="174" t="s">
        <v>34</v>
      </c>
      <c r="H283" s="174" t="s">
        <v>86</v>
      </c>
      <c r="I283" s="174" t="str">
        <f t="shared" si="63"/>
        <v>Yes</v>
      </c>
      <c r="J283" s="137" t="s">
        <v>20</v>
      </c>
      <c r="K283" s="174" t="s">
        <v>33</v>
      </c>
      <c r="L283" s="174" t="str">
        <f t="shared" si="65"/>
        <v>N/A</v>
      </c>
      <c r="M283" s="138" t="str">
        <f t="shared" si="66"/>
        <v>No</v>
      </c>
      <c r="N283" s="69" t="str">
        <f t="shared" si="67"/>
        <v>N/A</v>
      </c>
      <c r="O283" s="70">
        <f>183.45+183.45</f>
        <v>366.9</v>
      </c>
      <c r="P283" s="70">
        <v>1</v>
      </c>
      <c r="Q283" s="75">
        <f>O:O*P:P</f>
        <v>366.9</v>
      </c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45">
      <c r="A284" s="156" t="s">
        <v>28</v>
      </c>
      <c r="B284" s="156" t="s">
        <v>206</v>
      </c>
      <c r="C284" s="157">
        <v>42320</v>
      </c>
      <c r="D284" s="158" t="s">
        <v>192</v>
      </c>
      <c r="E284" s="156"/>
      <c r="F284" s="156" t="s">
        <v>2</v>
      </c>
      <c r="G284" s="156" t="s">
        <v>30</v>
      </c>
      <c r="H284" s="156" t="s">
        <v>169</v>
      </c>
      <c r="I284" s="159" t="str">
        <f t="shared" si="63"/>
        <v>Yes</v>
      </c>
      <c r="J284" s="63" t="str">
        <f>IF(G284="Mayfield","No",IF(G284="Royal Local","No",IF(A284="sysco","No",IF(G284="Springer Mountain","No",IF(G284="white oak pastures","Yes",IF(G284="Southern Swiss","Yes"))))))</f>
        <v>No</v>
      </c>
      <c r="K284" s="159" t="str">
        <f t="shared" si="64"/>
        <v>No</v>
      </c>
      <c r="L284" s="159" t="str">
        <f t="shared" si="65"/>
        <v>N/A</v>
      </c>
      <c r="M284" s="64" t="str">
        <f t="shared" si="66"/>
        <v>No</v>
      </c>
      <c r="N284" s="69" t="str">
        <f t="shared" si="67"/>
        <v>N/A</v>
      </c>
      <c r="O284" s="67">
        <v>817.25</v>
      </c>
      <c r="P284" s="67">
        <v>1</v>
      </c>
      <c r="Q284" s="63">
        <f>O:O*P:P</f>
        <v>817.25</v>
      </c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45">
      <c r="A285" s="174" t="s">
        <v>28</v>
      </c>
      <c r="B285" s="175" t="s">
        <v>232</v>
      </c>
      <c r="C285" s="176">
        <v>42322</v>
      </c>
      <c r="D285" s="174" t="s">
        <v>223</v>
      </c>
      <c r="E285" s="167" t="s">
        <v>302</v>
      </c>
      <c r="F285" s="174" t="s">
        <v>3</v>
      </c>
      <c r="G285" s="174" t="s">
        <v>34</v>
      </c>
      <c r="H285" s="174" t="s">
        <v>86</v>
      </c>
      <c r="I285" s="174" t="str">
        <f t="shared" si="63"/>
        <v>Yes</v>
      </c>
      <c r="J285" s="137" t="s">
        <v>59</v>
      </c>
      <c r="K285" s="174" t="s">
        <v>33</v>
      </c>
      <c r="L285" s="174" t="str">
        <f t="shared" si="65"/>
        <v>N/A</v>
      </c>
      <c r="M285" s="138" t="str">
        <f t="shared" si="66"/>
        <v>No</v>
      </c>
      <c r="N285" s="69" t="str">
        <f t="shared" si="67"/>
        <v>N/A</v>
      </c>
      <c r="O285" s="70">
        <f>184.25+293.52</f>
        <v>477.77</v>
      </c>
      <c r="P285" s="70">
        <v>1</v>
      </c>
      <c r="Q285" s="75">
        <f>O:O*P:P</f>
        <v>477.77</v>
      </c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45">
      <c r="A286" s="110" t="s">
        <v>28</v>
      </c>
      <c r="B286" s="110" t="s">
        <v>209</v>
      </c>
      <c r="C286" s="111">
        <v>42319</v>
      </c>
      <c r="D286" s="66" t="s">
        <v>192</v>
      </c>
      <c r="E286" s="110"/>
      <c r="F286" s="110" t="s">
        <v>2</v>
      </c>
      <c r="G286" s="110" t="s">
        <v>30</v>
      </c>
      <c r="H286" s="110" t="s">
        <v>169</v>
      </c>
      <c r="I286" s="112" t="str">
        <f t="shared" si="63"/>
        <v>Yes</v>
      </c>
      <c r="J286" s="63" t="str">
        <f t="shared" ref="J286:J295" si="68">IF(G286="Mayfield","No",IF(G286="Royal Local","No",IF(A286="sysco","No",IF(G286="Springer Mountain","No",IF(G286="white oak pastures","Yes",IF(G286="Southern Swiss","Yes"))))))</f>
        <v>No</v>
      </c>
      <c r="K286" s="112" t="str">
        <f t="shared" si="64"/>
        <v>No</v>
      </c>
      <c r="L286" s="112" t="str">
        <f t="shared" si="65"/>
        <v>N/A</v>
      </c>
      <c r="M286" s="64" t="str">
        <f t="shared" si="66"/>
        <v>No</v>
      </c>
      <c r="N286" s="69" t="str">
        <f t="shared" si="67"/>
        <v>N/A</v>
      </c>
      <c r="O286" s="67">
        <v>817.25</v>
      </c>
      <c r="P286" s="67">
        <v>1</v>
      </c>
      <c r="Q286" s="63">
        <f>O:O*P:P</f>
        <v>817.25</v>
      </c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45">
      <c r="A287" s="70" t="s">
        <v>28</v>
      </c>
      <c r="B287" s="70" t="s">
        <v>234</v>
      </c>
      <c r="C287" s="76">
        <v>42324</v>
      </c>
      <c r="D287" s="70" t="s">
        <v>223</v>
      </c>
      <c r="E287" s="70"/>
      <c r="F287" s="70" t="s">
        <v>2</v>
      </c>
      <c r="G287" s="70" t="s">
        <v>30</v>
      </c>
      <c r="H287" s="70" t="s">
        <v>169</v>
      </c>
      <c r="I287" s="70" t="str">
        <f t="shared" si="63"/>
        <v>Yes</v>
      </c>
      <c r="J287" s="74" t="str">
        <f t="shared" si="68"/>
        <v>No</v>
      </c>
      <c r="K287" s="70" t="str">
        <f t="shared" si="64"/>
        <v>No</v>
      </c>
      <c r="L287" s="70" t="str">
        <f t="shared" si="65"/>
        <v>N/A</v>
      </c>
      <c r="M287" s="70" t="str">
        <f t="shared" si="66"/>
        <v>No</v>
      </c>
      <c r="N287" s="69" t="str">
        <f t="shared" si="67"/>
        <v>N/A</v>
      </c>
      <c r="O287" s="70">
        <v>817.25</v>
      </c>
      <c r="P287" s="70">
        <v>1</v>
      </c>
      <c r="Q287" s="75">
        <f>O:O*P:P</f>
        <v>817.25</v>
      </c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45">
      <c r="A288" s="70" t="s">
        <v>28</v>
      </c>
      <c r="B288" s="70" t="s">
        <v>240</v>
      </c>
      <c r="C288" s="76">
        <v>42325</v>
      </c>
      <c r="D288" s="70" t="s">
        <v>223</v>
      </c>
      <c r="E288" s="70"/>
      <c r="F288" s="70" t="s">
        <v>2</v>
      </c>
      <c r="G288" s="70" t="s">
        <v>30</v>
      </c>
      <c r="H288" s="70" t="s">
        <v>169</v>
      </c>
      <c r="I288" s="70" t="str">
        <f t="shared" si="63"/>
        <v>Yes</v>
      </c>
      <c r="J288" s="74" t="str">
        <f t="shared" si="68"/>
        <v>No</v>
      </c>
      <c r="K288" s="70" t="str">
        <f t="shared" si="64"/>
        <v>No</v>
      </c>
      <c r="L288" s="70" t="str">
        <f t="shared" si="65"/>
        <v>N/A</v>
      </c>
      <c r="M288" s="70" t="str">
        <f t="shared" si="66"/>
        <v>No</v>
      </c>
      <c r="N288" s="69" t="str">
        <f t="shared" si="67"/>
        <v>N/A</v>
      </c>
      <c r="O288" s="70">
        <v>817.25</v>
      </c>
      <c r="P288" s="70">
        <v>1</v>
      </c>
      <c r="Q288" s="75">
        <f>O:O*P:P</f>
        <v>817.25</v>
      </c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45">
      <c r="A289" s="70" t="s">
        <v>28</v>
      </c>
      <c r="B289" s="70" t="s">
        <v>248</v>
      </c>
      <c r="C289" s="76">
        <v>42326</v>
      </c>
      <c r="D289" s="70" t="s">
        <v>223</v>
      </c>
      <c r="E289" s="70"/>
      <c r="F289" s="70" t="s">
        <v>2</v>
      </c>
      <c r="G289" s="70" t="s">
        <v>30</v>
      </c>
      <c r="H289" s="70" t="s">
        <v>250</v>
      </c>
      <c r="I289" s="70" t="str">
        <f t="shared" si="63"/>
        <v>Yes</v>
      </c>
      <c r="J289" s="74" t="str">
        <f t="shared" si="68"/>
        <v>No</v>
      </c>
      <c r="K289" s="70" t="str">
        <f t="shared" si="64"/>
        <v>No</v>
      </c>
      <c r="L289" s="70" t="str">
        <f t="shared" si="65"/>
        <v>N/A</v>
      </c>
      <c r="M289" s="70" t="str">
        <f t="shared" si="66"/>
        <v>No</v>
      </c>
      <c r="N289" s="69" t="str">
        <f t="shared" si="67"/>
        <v>N/A</v>
      </c>
      <c r="O289" s="70">
        <v>817.25</v>
      </c>
      <c r="P289" s="70">
        <v>1</v>
      </c>
      <c r="Q289" s="75">
        <f>O:O*P:P</f>
        <v>817.25</v>
      </c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45">
      <c r="A290" s="70" t="s">
        <v>28</v>
      </c>
      <c r="B290" s="70" t="s">
        <v>252</v>
      </c>
      <c r="C290" s="76">
        <v>42327</v>
      </c>
      <c r="D290" s="70" t="s">
        <v>223</v>
      </c>
      <c r="E290" s="70"/>
      <c r="F290" s="70" t="s">
        <v>2</v>
      </c>
      <c r="G290" s="70" t="s">
        <v>30</v>
      </c>
      <c r="H290" s="70" t="s">
        <v>169</v>
      </c>
      <c r="I290" s="70" t="str">
        <f t="shared" si="63"/>
        <v>Yes</v>
      </c>
      <c r="J290" s="74" t="str">
        <f t="shared" si="68"/>
        <v>No</v>
      </c>
      <c r="K290" s="70" t="str">
        <f t="shared" si="64"/>
        <v>No</v>
      </c>
      <c r="L290" s="70" t="str">
        <f t="shared" si="65"/>
        <v>N/A</v>
      </c>
      <c r="M290" s="70" t="str">
        <f t="shared" si="66"/>
        <v>No</v>
      </c>
      <c r="N290" s="69" t="str">
        <f t="shared" si="67"/>
        <v>N/A</v>
      </c>
      <c r="O290" s="70">
        <v>817.25</v>
      </c>
      <c r="P290" s="70">
        <v>1</v>
      </c>
      <c r="Q290" s="75">
        <f>O:O*P:P</f>
        <v>817.25</v>
      </c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45">
      <c r="A291" s="67" t="s">
        <v>28</v>
      </c>
      <c r="B291" s="67" t="s">
        <v>197</v>
      </c>
      <c r="C291" s="68">
        <v>42317</v>
      </c>
      <c r="D291" s="63" t="s">
        <v>192</v>
      </c>
      <c r="E291" s="67"/>
      <c r="F291" s="67" t="s">
        <v>2</v>
      </c>
      <c r="G291" s="67" t="s">
        <v>30</v>
      </c>
      <c r="H291" s="67" t="s">
        <v>198</v>
      </c>
      <c r="I291" s="64" t="str">
        <f t="shared" si="63"/>
        <v>Yes</v>
      </c>
      <c r="J291" s="63" t="str">
        <f t="shared" si="68"/>
        <v>No</v>
      </c>
      <c r="K291" s="64" t="str">
        <f t="shared" si="64"/>
        <v>No</v>
      </c>
      <c r="L291" s="64" t="str">
        <f t="shared" si="65"/>
        <v>N/A</v>
      </c>
      <c r="M291" s="64" t="str">
        <f t="shared" si="66"/>
        <v>No</v>
      </c>
      <c r="N291" s="69" t="str">
        <f t="shared" si="67"/>
        <v>N/A</v>
      </c>
      <c r="O291" s="67">
        <f>61.06+294.32+19.65+153.84+40.7+58.36+58.36+51.94+115.35</f>
        <v>853.58</v>
      </c>
      <c r="P291" s="67">
        <v>1</v>
      </c>
      <c r="Q291" s="63">
        <f>O:O*P:P</f>
        <v>853.58</v>
      </c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45">
      <c r="A292" s="70" t="s">
        <v>28</v>
      </c>
      <c r="B292" s="70" t="s">
        <v>269</v>
      </c>
      <c r="C292" s="76">
        <v>42329</v>
      </c>
      <c r="D292" s="70" t="s">
        <v>264</v>
      </c>
      <c r="E292" s="70"/>
      <c r="F292" s="70" t="s">
        <v>2</v>
      </c>
      <c r="G292" s="70" t="s">
        <v>30</v>
      </c>
      <c r="H292" s="70" t="s">
        <v>272</v>
      </c>
      <c r="I292" s="70" t="str">
        <f t="shared" si="63"/>
        <v>Yes</v>
      </c>
      <c r="J292" s="74" t="str">
        <f t="shared" si="68"/>
        <v>No</v>
      </c>
      <c r="K292" s="70" t="str">
        <f t="shared" si="64"/>
        <v>No</v>
      </c>
      <c r="L292" s="70" t="str">
        <f t="shared" si="65"/>
        <v>N/A</v>
      </c>
      <c r="M292" s="70" t="str">
        <f t="shared" si="66"/>
        <v>No</v>
      </c>
      <c r="N292" s="69" t="str">
        <f t="shared" si="67"/>
        <v>N/A</v>
      </c>
      <c r="O292" s="70">
        <f>60.36+477.12+323.55</f>
        <v>861.03</v>
      </c>
      <c r="P292" s="70">
        <v>1</v>
      </c>
      <c r="Q292" s="75">
        <f>O:O*P:P</f>
        <v>861.03</v>
      </c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45">
      <c r="A293" s="70" t="s">
        <v>28</v>
      </c>
      <c r="B293" s="70" t="s">
        <v>230</v>
      </c>
      <c r="C293" s="76">
        <v>42321</v>
      </c>
      <c r="D293" s="70" t="s">
        <v>223</v>
      </c>
      <c r="E293" s="70"/>
      <c r="F293" s="70" t="s">
        <v>2</v>
      </c>
      <c r="G293" s="70" t="s">
        <v>30</v>
      </c>
      <c r="H293" s="70" t="s">
        <v>231</v>
      </c>
      <c r="I293" s="70" t="str">
        <f t="shared" si="63"/>
        <v>Yes</v>
      </c>
      <c r="J293" s="74" t="str">
        <f t="shared" si="68"/>
        <v>No</v>
      </c>
      <c r="K293" s="70" t="str">
        <f t="shared" si="64"/>
        <v>No</v>
      </c>
      <c r="L293" s="70" t="str">
        <f t="shared" si="65"/>
        <v>N/A</v>
      </c>
      <c r="M293" s="70" t="str">
        <f t="shared" si="66"/>
        <v>No</v>
      </c>
      <c r="N293" s="69" t="str">
        <f t="shared" si="67"/>
        <v>N/A</v>
      </c>
      <c r="O293" s="70">
        <f>61.06+65.06+61.06+181.12+15.53+128.2+43.06+61.05+51.7+29.18+29.18+77.91+161.49</f>
        <v>965.5999999999998</v>
      </c>
      <c r="P293" s="70">
        <v>1</v>
      </c>
      <c r="Q293" s="75">
        <f>O:O*P:P</f>
        <v>965.5999999999998</v>
      </c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45">
      <c r="A294" s="48" t="s">
        <v>28</v>
      </c>
      <c r="B294" s="48" t="s">
        <v>177</v>
      </c>
      <c r="C294" s="54">
        <v>42307</v>
      </c>
      <c r="D294" s="48" t="s">
        <v>172</v>
      </c>
      <c r="E294" s="48"/>
      <c r="F294" s="48" t="s">
        <v>2</v>
      </c>
      <c r="G294" s="48" t="s">
        <v>30</v>
      </c>
      <c r="H294" s="48" t="s">
        <v>178</v>
      </c>
      <c r="I294" s="55" t="str">
        <f t="shared" si="63"/>
        <v>Yes</v>
      </c>
      <c r="J294" s="48" t="str">
        <f t="shared" si="68"/>
        <v>No</v>
      </c>
      <c r="K294" s="55" t="str">
        <f t="shared" si="64"/>
        <v>No</v>
      </c>
      <c r="L294" s="55" t="str">
        <f t="shared" si="65"/>
        <v>N/A</v>
      </c>
      <c r="M294" s="55" t="str">
        <f t="shared" si="66"/>
        <v>No</v>
      </c>
      <c r="N294" s="56" t="str">
        <f t="shared" si="67"/>
        <v>N/A</v>
      </c>
      <c r="O294" s="48">
        <f>16.05+39.3+128.4+58.65+64.44+146.75+142.36+328.9+56.58</f>
        <v>981.43000000000006</v>
      </c>
      <c r="P294" s="48">
        <v>1</v>
      </c>
      <c r="Q294" s="48">
        <f>O:O*P:P</f>
        <v>981.43000000000006</v>
      </c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45">
      <c r="A295" s="57" t="s">
        <v>28</v>
      </c>
      <c r="B295" s="57" t="s">
        <v>179</v>
      </c>
      <c r="C295" s="150">
        <v>42310</v>
      </c>
      <c r="D295" s="57" t="s">
        <v>172</v>
      </c>
      <c r="E295" s="57"/>
      <c r="F295" s="57" t="s">
        <v>2</v>
      </c>
      <c r="G295" s="57" t="s">
        <v>30</v>
      </c>
      <c r="H295" s="57" t="s">
        <v>180</v>
      </c>
      <c r="I295" s="58" t="str">
        <f t="shared" si="63"/>
        <v>Yes</v>
      </c>
      <c r="J295" s="48" t="str">
        <f t="shared" si="68"/>
        <v>No</v>
      </c>
      <c r="K295" s="58" t="str">
        <f t="shared" si="64"/>
        <v>No</v>
      </c>
      <c r="L295" s="58" t="str">
        <f t="shared" si="65"/>
        <v>N/A</v>
      </c>
      <c r="M295" s="55" t="str">
        <f t="shared" si="66"/>
        <v>No</v>
      </c>
      <c r="N295" s="56" t="str">
        <f t="shared" si="67"/>
        <v>N/A</v>
      </c>
      <c r="O295" s="48">
        <f>30.53+181.12+25.8+58.05+31.06+58.95+75.64+39.06+85.4+51.7+58.36+58.36+300.7+14.94</f>
        <v>1069.67</v>
      </c>
      <c r="P295" s="48">
        <v>1</v>
      </c>
      <c r="Q295" s="48">
        <f>O:O*P:P</f>
        <v>1069.67</v>
      </c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45">
      <c r="A296" s="174" t="s">
        <v>64</v>
      </c>
      <c r="B296" s="175"/>
      <c r="C296" s="176">
        <v>42321</v>
      </c>
      <c r="D296" s="174" t="s">
        <v>223</v>
      </c>
      <c r="E296" s="167" t="s">
        <v>302</v>
      </c>
      <c r="F296" s="174" t="s">
        <v>2</v>
      </c>
      <c r="G296" s="174" t="s">
        <v>65</v>
      </c>
      <c r="H296" s="174" t="s">
        <v>228</v>
      </c>
      <c r="I296" s="174" t="s">
        <v>20</v>
      </c>
      <c r="J296" s="137" t="s">
        <v>59</v>
      </c>
      <c r="K296" s="174" t="s">
        <v>194</v>
      </c>
      <c r="L296" s="174" t="str">
        <f t="shared" si="65"/>
        <v>N/A</v>
      </c>
      <c r="M296" s="138" t="str">
        <f t="shared" si="66"/>
        <v>No</v>
      </c>
      <c r="N296" s="69" t="str">
        <f t="shared" si="67"/>
        <v>N/A</v>
      </c>
      <c r="O296" s="70">
        <v>1144.75</v>
      </c>
      <c r="P296" s="70">
        <v>1</v>
      </c>
      <c r="Q296" s="75">
        <f>O:O*P:P</f>
        <v>1144.75</v>
      </c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45">
      <c r="A297" s="60" t="s">
        <v>28</v>
      </c>
      <c r="B297" s="60" t="s">
        <v>186</v>
      </c>
      <c r="C297" s="109">
        <v>42312</v>
      </c>
      <c r="D297" s="60" t="s">
        <v>172</v>
      </c>
      <c r="E297" s="60"/>
      <c r="F297" s="60" t="s">
        <v>2</v>
      </c>
      <c r="G297" s="60" t="s">
        <v>30</v>
      </c>
      <c r="H297" s="60" t="s">
        <v>187</v>
      </c>
      <c r="I297" s="61" t="str">
        <f t="shared" ref="I297:I303" si="69">IF(G297="Mayfield","Yes",IF(G297="Royal Local","Yes",IF(A297="sysco","No",IF(G297="atlanta fresh","Yes",IF(G297="Springer Mountain","Yes",IF(G297="white oak Pastures","Yes",IF(G297="Southern Swiss", "Yes")))))))</f>
        <v>Yes</v>
      </c>
      <c r="J297" s="48" t="str">
        <f>IF(G297="Mayfield","No",IF(G297="Royal Local","No",IF(A297="sysco","No",IF(G297="Springer Mountain","No",IF(G297="white oak pastures","Yes",IF(G297="Southern Swiss","Yes"))))))</f>
        <v>No</v>
      </c>
      <c r="K297" s="61" t="str">
        <f>IF(G297="Mayfield","Yes", IF(G297="Royal Local","No",IF(G297="butterball", "yes",IF(G297="Springer Mountain","Yes",IF(G297="white oak pastures","Yes",IF(G297="Southern Swiss", "Yes", IF(G297="atlanta fresh", "yes")))))))</f>
        <v>No</v>
      </c>
      <c r="L297" s="61" t="str">
        <f t="shared" si="65"/>
        <v>N/A</v>
      </c>
      <c r="M297" s="55" t="str">
        <f t="shared" si="66"/>
        <v>No</v>
      </c>
      <c r="N297" s="56" t="str">
        <f t="shared" si="67"/>
        <v>N/A</v>
      </c>
      <c r="O297" s="48">
        <f>91.59+91.59+97.59+58.59+122.1+26.85+25.85+14.59+29.18+88.05+131.2+300.7+54.18+14.94</f>
        <v>1147.0000000000002</v>
      </c>
      <c r="P297" s="48">
        <v>1</v>
      </c>
      <c r="Q297" s="48">
        <f>O:O*P:P</f>
        <v>1147.0000000000002</v>
      </c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45">
      <c r="A298" s="71" t="s">
        <v>28</v>
      </c>
      <c r="B298" s="71" t="s">
        <v>195</v>
      </c>
      <c r="C298" s="160">
        <v>42314</v>
      </c>
      <c r="D298" s="73" t="s">
        <v>192</v>
      </c>
      <c r="E298" s="71"/>
      <c r="F298" s="71" t="s">
        <v>2</v>
      </c>
      <c r="G298" s="71" t="s">
        <v>30</v>
      </c>
      <c r="H298" s="71" t="s">
        <v>196</v>
      </c>
      <c r="I298" s="161" t="str">
        <f t="shared" si="69"/>
        <v>Yes</v>
      </c>
      <c r="J298" s="63" t="str">
        <f>IF(G298="Mayfield","No",IF(G298="Royal Local","No",IF(A298="sysco","No",IF(G298="Springer Mountain","No",IF(G298="white oak pastures","Yes",IF(G298="Southern Swiss","Yes"))))))</f>
        <v>No</v>
      </c>
      <c r="K298" s="161" t="str">
        <f>IF(G298="Mayfield","Yes", IF(G298="Royal Local","No",IF(G298="butterball", "yes",IF(G298="Springer Mountain","Yes",IF(G298="white oak pastures","Yes",IF(G298="Southern Swiss", "Yes", IF(G298="atlanta fresh", "yes")))))))</f>
        <v>No</v>
      </c>
      <c r="L298" s="161" t="str">
        <f t="shared" si="65"/>
        <v>N/A</v>
      </c>
      <c r="M298" s="64" t="str">
        <f t="shared" si="66"/>
        <v>No</v>
      </c>
      <c r="N298" s="69" t="str">
        <f t="shared" si="67"/>
        <v>N/A</v>
      </c>
      <c r="O298" s="67">
        <f>97.59+122.12+90.56+15.53+39.3+51.28+81.4+85.4+58.36+58.36+98.4+300.7+54.18</f>
        <v>1153.18</v>
      </c>
      <c r="P298" s="67">
        <v>1</v>
      </c>
      <c r="Q298" s="63">
        <f>O:O*P:P</f>
        <v>1153.18</v>
      </c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45">
      <c r="A299" s="174" t="s">
        <v>28</v>
      </c>
      <c r="B299" s="175" t="s">
        <v>253</v>
      </c>
      <c r="C299" s="176">
        <v>42327</v>
      </c>
      <c r="D299" s="174" t="s">
        <v>223</v>
      </c>
      <c r="E299" s="167" t="s">
        <v>302</v>
      </c>
      <c r="F299" s="174" t="s">
        <v>3</v>
      </c>
      <c r="G299" s="174" t="s">
        <v>34</v>
      </c>
      <c r="H299" s="174" t="s">
        <v>255</v>
      </c>
      <c r="I299" s="174" t="str">
        <f t="shared" si="69"/>
        <v>Yes</v>
      </c>
      <c r="J299" s="137" t="s">
        <v>20</v>
      </c>
      <c r="K299" s="174" t="s">
        <v>33</v>
      </c>
      <c r="L299" s="174" t="str">
        <f t="shared" si="65"/>
        <v>N/A</v>
      </c>
      <c r="M299" s="138" t="str">
        <f t="shared" si="66"/>
        <v>No</v>
      </c>
      <c r="N299" s="69" t="str">
        <f t="shared" si="67"/>
        <v>N/A</v>
      </c>
      <c r="O299" s="70">
        <v>139.77000000000001</v>
      </c>
      <c r="P299" s="70">
        <v>1</v>
      </c>
      <c r="Q299" s="75">
        <f>O:O*P:P</f>
        <v>139.77000000000001</v>
      </c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45">
      <c r="A300" s="79" t="s">
        <v>28</v>
      </c>
      <c r="B300" s="79" t="s">
        <v>229</v>
      </c>
      <c r="C300" s="113">
        <v>42321</v>
      </c>
      <c r="D300" s="79" t="s">
        <v>223</v>
      </c>
      <c r="E300" s="79"/>
      <c r="F300" s="79" t="s">
        <v>2</v>
      </c>
      <c r="G300" s="79" t="s">
        <v>30</v>
      </c>
      <c r="H300" s="79" t="s">
        <v>169</v>
      </c>
      <c r="I300" s="79" t="str">
        <f t="shared" si="69"/>
        <v>Yes</v>
      </c>
      <c r="J300" s="74" t="str">
        <f>IF(G300="Mayfield","No",IF(G300="Royal Local","No",IF(A300="sysco","No",IF(G300="Springer Mountain","No",IF(G300="white oak pastures","Yes",IF(G300="Southern Swiss","Yes"))))))</f>
        <v>No</v>
      </c>
      <c r="K300" s="79" t="str">
        <f>IF(G300="Mayfield","Yes", IF(G300="Royal Local","No",IF(G300="butterball", "yes",IF(G300="Springer Mountain","Yes",IF(G300="white oak pastures","Yes",IF(G300="Southern Swiss", "Yes", IF(G300="atlanta fresh", "yes")))))))</f>
        <v>No</v>
      </c>
      <c r="L300" s="79" t="str">
        <f t="shared" si="65"/>
        <v>N/A</v>
      </c>
      <c r="M300" s="70" t="str">
        <f t="shared" si="66"/>
        <v>No</v>
      </c>
      <c r="N300" s="69" t="str">
        <f t="shared" si="67"/>
        <v>N/A</v>
      </c>
      <c r="O300" s="70">
        <v>1167.5</v>
      </c>
      <c r="P300" s="70">
        <v>1</v>
      </c>
      <c r="Q300" s="75">
        <f>O:O*P:P</f>
        <v>1167.5</v>
      </c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45">
      <c r="A301" s="70" t="s">
        <v>52</v>
      </c>
      <c r="B301" s="70"/>
      <c r="C301" s="70" t="s">
        <v>53</v>
      </c>
      <c r="D301" s="70" t="s">
        <v>223</v>
      </c>
      <c r="E301" s="70"/>
      <c r="F301" s="70" t="s">
        <v>1</v>
      </c>
      <c r="G301" s="70" t="s">
        <v>256</v>
      </c>
      <c r="H301" s="70" t="s">
        <v>257</v>
      </c>
      <c r="I301" s="70" t="str">
        <f t="shared" si="69"/>
        <v>No</v>
      </c>
      <c r="J301" s="74" t="str">
        <f>IF(G301="Mayfield","No",IF(G301="Royal Local","No",IF(A301="sysco","No",IF(G301="Springer Mountain","No",IF(G301="white oak pastures","Yes",IF(G301="Southern Swiss","Yes"))))))</f>
        <v>No</v>
      </c>
      <c r="K301" s="70" t="s">
        <v>20</v>
      </c>
      <c r="L301" s="70" t="s">
        <v>25</v>
      </c>
      <c r="M301" s="70" t="str">
        <f t="shared" si="66"/>
        <v>no</v>
      </c>
      <c r="N301" s="69" t="str">
        <f t="shared" si="67"/>
        <v>N/A</v>
      </c>
      <c r="O301" s="70">
        <v>842.35</v>
      </c>
      <c r="P301" s="70">
        <v>1</v>
      </c>
      <c r="Q301" s="75">
        <f>O:O*P:P</f>
        <v>842.35</v>
      </c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45">
      <c r="A302" s="174" t="s">
        <v>52</v>
      </c>
      <c r="B302" s="175"/>
      <c r="C302" s="175" t="s">
        <v>53</v>
      </c>
      <c r="D302" s="174" t="s">
        <v>223</v>
      </c>
      <c r="E302" s="167" t="s">
        <v>302</v>
      </c>
      <c r="F302" s="174" t="s">
        <v>54</v>
      </c>
      <c r="G302" s="174" t="s">
        <v>58</v>
      </c>
      <c r="H302" s="174" t="s">
        <v>258</v>
      </c>
      <c r="I302" s="174" t="str">
        <f t="shared" si="69"/>
        <v>No</v>
      </c>
      <c r="J302" s="141" t="str">
        <f>IF(G302="Mayfield","No",IF(G302="Royal Local","No",IF(A302="sysco","No",IF(G302="Springer Mountain","No",IF(G302="white oak pastures","Yes",IF(G302="Southern Swiss","Yes"))))))</f>
        <v>No</v>
      </c>
      <c r="K302" s="174" t="s">
        <v>20</v>
      </c>
      <c r="L302" s="174" t="s">
        <v>145</v>
      </c>
      <c r="M302" s="142" t="str">
        <f t="shared" si="66"/>
        <v>no</v>
      </c>
      <c r="N302" s="72" t="str">
        <f t="shared" si="67"/>
        <v>N/A</v>
      </c>
      <c r="O302" s="77">
        <v>735.93</v>
      </c>
      <c r="P302" s="77">
        <v>1</v>
      </c>
      <c r="Q302" s="78">
        <f>O:O*P:P</f>
        <v>735.93</v>
      </c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45">
      <c r="A303" s="86" t="s">
        <v>15</v>
      </c>
      <c r="B303" s="86"/>
      <c r="C303" s="86" t="s">
        <v>53</v>
      </c>
      <c r="D303" s="86" t="s">
        <v>264</v>
      </c>
      <c r="E303" s="86"/>
      <c r="F303" s="86" t="s">
        <v>265</v>
      </c>
      <c r="G303" s="86" t="s">
        <v>18</v>
      </c>
      <c r="H303" s="86" t="s">
        <v>144</v>
      </c>
      <c r="I303" s="86" t="str">
        <f t="shared" si="69"/>
        <v>Yes</v>
      </c>
      <c r="J303" s="80" t="str">
        <f>IF(G303="Mayfield","No",IF(G303="Royal Local","No",IF(A303="sysco","No",IF(G303="Springer Mountain","No",IF(G303="white oak pastures","Yes",IF(G303="Southern Swiss","Yes"))))))</f>
        <v>No</v>
      </c>
      <c r="K303" s="86" t="str">
        <f>IF(G303="Mayfield","Yes", IF(G303="Royal Local","No",IF(G303="butterball", "yes",IF(G303="Springer Mountain","Yes",IF(G303="white oak pastures","Yes",IF(G303="Southern Swiss", "Yes", IF(G303="atlanta fresh", "yes")))))))</f>
        <v>Yes</v>
      </c>
      <c r="L303" s="86" t="str">
        <f>IF(K303="No","N/A",IF(G303="mayfield","raised w/o hormones",IF(G303="springer mountain","raised w/o antibiotics",IF(G303="white oak pastures","grassfed",IF(G303="inland","seafood watch",IF(G303="atlanta fresh","raised w/o hormones",IF(G303="southern swiss","raised w/o hormones)))))))")))))))</f>
        <v>raised w/o hormones</v>
      </c>
      <c r="M303" s="79" t="str">
        <f t="shared" si="66"/>
        <v>yes</v>
      </c>
      <c r="N303" s="65" t="str">
        <f t="shared" si="67"/>
        <v>Emory local &amp; raised w/o hormones</v>
      </c>
      <c r="O303" s="79">
        <v>1587.81</v>
      </c>
      <c r="P303" s="79">
        <v>1</v>
      </c>
      <c r="Q303" s="81">
        <f>O:O*P:P</f>
        <v>1587.81</v>
      </c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45">
      <c r="A304" s="174" t="s">
        <v>152</v>
      </c>
      <c r="B304" s="175"/>
      <c r="C304" s="175" t="s">
        <v>53</v>
      </c>
      <c r="D304" s="174" t="s">
        <v>264</v>
      </c>
      <c r="E304" s="167" t="s">
        <v>302</v>
      </c>
      <c r="F304" s="174" t="s">
        <v>4</v>
      </c>
      <c r="G304" s="174" t="s">
        <v>62</v>
      </c>
      <c r="H304" s="174" t="s">
        <v>191</v>
      </c>
      <c r="I304" s="174" t="s">
        <v>33</v>
      </c>
      <c r="J304" s="137" t="s">
        <v>33</v>
      </c>
      <c r="K304" s="174" t="s">
        <v>59</v>
      </c>
      <c r="L304" s="174" t="s">
        <v>63</v>
      </c>
      <c r="M304" s="138" t="str">
        <f t="shared" si="66"/>
        <v>no</v>
      </c>
      <c r="N304" s="69" t="str">
        <f t="shared" si="67"/>
        <v>N/A</v>
      </c>
      <c r="O304" s="70">
        <v>351</v>
      </c>
      <c r="P304" s="70">
        <v>1</v>
      </c>
      <c r="Q304" s="75">
        <f>O:O*P:P</f>
        <v>351</v>
      </c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45">
      <c r="A305" s="174" t="s">
        <v>66</v>
      </c>
      <c r="B305" s="175">
        <v>824433</v>
      </c>
      <c r="C305" s="176">
        <v>42331</v>
      </c>
      <c r="D305" s="174" t="s">
        <v>264</v>
      </c>
      <c r="E305" s="167" t="s">
        <v>302</v>
      </c>
      <c r="F305" s="174" t="s">
        <v>1</v>
      </c>
      <c r="G305" s="174" t="s">
        <v>23</v>
      </c>
      <c r="H305" s="174" t="s">
        <v>121</v>
      </c>
      <c r="I305" s="174" t="str">
        <f t="shared" ref="I305:I313" si="70">IF(G305="Mayfield","Yes",IF(G305="Royal Local","Yes",IF(A305="sysco","No",IF(G305="atlanta fresh","Yes",IF(G305="Springer Mountain","Yes",IF(G305="white oak Pastures","Yes",IF(G305="Southern Swiss", "Yes")))))))</f>
        <v>Yes</v>
      </c>
      <c r="J305" s="137" t="str">
        <f t="shared" ref="J305:J309" si="71">IF(G305="Mayfield","No",IF(G305="Royal Local","No",IF(A305="sysco","No",IF(G305="Springer Mountain","No",IF(G305="white oak pastures","Yes",IF(G305="Southern Swiss","Yes"))))))</f>
        <v>Yes</v>
      </c>
      <c r="K305" s="174" t="str">
        <f t="shared" ref="K305:K313" si="72">IF(G305="Mayfield","Yes", IF(G305="Royal Local","No",IF(G305="butterball", "yes",IF(G305="Springer Mountain","Yes",IF(G305="white oak pastures","Yes",IF(G305="Southern Swiss", "Yes", IF(G305="atlanta fresh", "yes")))))))</f>
        <v>Yes</v>
      </c>
      <c r="L305" s="174" t="str">
        <f t="shared" ref="L305:L314" si="73">IF(K305="No","N/A",IF(G305="mayfield","raised w/o hormones",IF(G305="springer mountain","raised w/o antibiotics",IF(G305="white oak pastures","grassfed",IF(G305="inland","seafood watch",IF(G305="atlanta fresh","raised w/o hormones",IF(G305="southern swiss","raised w/o hormones)))))))")))))))</f>
        <v>grassfed</v>
      </c>
      <c r="M305" s="138" t="str">
        <f t="shared" si="66"/>
        <v>Yes</v>
      </c>
      <c r="N305" s="69" t="str">
        <f t="shared" si="67"/>
        <v>F2F &amp; grassfed</v>
      </c>
      <c r="O305" s="70">
        <v>391.8</v>
      </c>
      <c r="P305" s="70">
        <v>1</v>
      </c>
      <c r="Q305" s="75">
        <f>O:O*P:P</f>
        <v>391.8</v>
      </c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45">
      <c r="A306" s="174" t="s">
        <v>66</v>
      </c>
      <c r="B306" s="175">
        <v>825196</v>
      </c>
      <c r="C306" s="176">
        <v>42332</v>
      </c>
      <c r="D306" s="174" t="s">
        <v>264</v>
      </c>
      <c r="E306" s="167" t="s">
        <v>302</v>
      </c>
      <c r="F306" s="174" t="s">
        <v>1</v>
      </c>
      <c r="G306" s="174" t="s">
        <v>23</v>
      </c>
      <c r="H306" s="174" t="s">
        <v>121</v>
      </c>
      <c r="I306" s="174" t="str">
        <f t="shared" si="70"/>
        <v>Yes</v>
      </c>
      <c r="J306" s="137" t="str">
        <f t="shared" si="71"/>
        <v>Yes</v>
      </c>
      <c r="K306" s="174" t="str">
        <f t="shared" si="72"/>
        <v>Yes</v>
      </c>
      <c r="L306" s="174" t="str">
        <f t="shared" si="73"/>
        <v>grassfed</v>
      </c>
      <c r="M306" s="138" t="str">
        <f t="shared" si="66"/>
        <v>Yes</v>
      </c>
      <c r="N306" s="69" t="str">
        <f t="shared" si="67"/>
        <v>F2F &amp; grassfed</v>
      </c>
      <c r="O306" s="70">
        <v>1522.8</v>
      </c>
      <c r="P306" s="70">
        <v>1</v>
      </c>
      <c r="Q306" s="75">
        <f>O:O*P:P</f>
        <v>1522.8</v>
      </c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45">
      <c r="A307" s="70" t="s">
        <v>28</v>
      </c>
      <c r="B307" s="70" t="s">
        <v>266</v>
      </c>
      <c r="C307" s="76">
        <v>42328</v>
      </c>
      <c r="D307" s="79" t="s">
        <v>264</v>
      </c>
      <c r="E307" s="70"/>
      <c r="F307" s="70" t="s">
        <v>2</v>
      </c>
      <c r="G307" s="70" t="s">
        <v>30</v>
      </c>
      <c r="H307" s="70" t="s">
        <v>169</v>
      </c>
      <c r="I307" s="70" t="str">
        <f t="shared" si="70"/>
        <v>Yes</v>
      </c>
      <c r="J307" s="74" t="str">
        <f t="shared" si="71"/>
        <v>No</v>
      </c>
      <c r="K307" s="70" t="str">
        <f t="shared" si="72"/>
        <v>No</v>
      </c>
      <c r="L307" s="70" t="str">
        <f t="shared" si="73"/>
        <v>N/A</v>
      </c>
      <c r="M307" s="70" t="str">
        <f t="shared" si="66"/>
        <v>No</v>
      </c>
      <c r="N307" s="69" t="str">
        <f t="shared" si="67"/>
        <v>N/A</v>
      </c>
      <c r="O307" s="70">
        <v>1167.5</v>
      </c>
      <c r="P307" s="70">
        <v>1</v>
      </c>
      <c r="Q307" s="75">
        <f>O:O*P:P</f>
        <v>1167.5</v>
      </c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45">
      <c r="A308" s="70" t="s">
        <v>28</v>
      </c>
      <c r="B308" s="70" t="s">
        <v>232</v>
      </c>
      <c r="C308" s="76">
        <v>42322</v>
      </c>
      <c r="D308" s="70" t="s">
        <v>223</v>
      </c>
      <c r="E308" s="70"/>
      <c r="F308" s="70" t="s">
        <v>2</v>
      </c>
      <c r="G308" s="70" t="s">
        <v>30</v>
      </c>
      <c r="H308" s="70" t="s">
        <v>233</v>
      </c>
      <c r="I308" s="70" t="str">
        <f t="shared" si="70"/>
        <v>Yes</v>
      </c>
      <c r="J308" s="74" t="str">
        <f t="shared" si="71"/>
        <v>No</v>
      </c>
      <c r="K308" s="70" t="str">
        <f t="shared" si="72"/>
        <v>No</v>
      </c>
      <c r="L308" s="70" t="str">
        <f t="shared" si="73"/>
        <v>N/A</v>
      </c>
      <c r="M308" s="70" t="str">
        <f t="shared" si="66"/>
        <v>No</v>
      </c>
      <c r="N308" s="69" t="str">
        <f t="shared" si="67"/>
        <v>N/A</v>
      </c>
      <c r="O308" s="70">
        <f>271.68+15.53+128.2+64.59+61.05+58.36+58.36+61.7+176.1+51.94+230.7</f>
        <v>1178.21</v>
      </c>
      <c r="P308" s="70">
        <v>1</v>
      </c>
      <c r="Q308" s="75">
        <f>O:O*P:P</f>
        <v>1178.21</v>
      </c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45">
      <c r="A309" s="71" t="s">
        <v>28</v>
      </c>
      <c r="B309" s="71" t="s">
        <v>213</v>
      </c>
      <c r="C309" s="160">
        <v>42319</v>
      </c>
      <c r="D309" s="158" t="s">
        <v>192</v>
      </c>
      <c r="E309" s="71"/>
      <c r="F309" s="71" t="s">
        <v>2</v>
      </c>
      <c r="G309" s="71" t="s">
        <v>30</v>
      </c>
      <c r="H309" s="71" t="s">
        <v>214</v>
      </c>
      <c r="I309" s="161" t="str">
        <f t="shared" si="70"/>
        <v>Yes</v>
      </c>
      <c r="J309" s="63" t="str">
        <f t="shared" si="71"/>
        <v>No</v>
      </c>
      <c r="K309" s="161" t="str">
        <f t="shared" si="72"/>
        <v>No</v>
      </c>
      <c r="L309" s="161" t="str">
        <f t="shared" si="73"/>
        <v>N/A</v>
      </c>
      <c r="M309" s="67" t="str">
        <f t="shared" si="66"/>
        <v>No</v>
      </c>
      <c r="N309" s="69" t="str">
        <f t="shared" si="67"/>
        <v>N/A</v>
      </c>
      <c r="O309" s="67">
        <f>65.06+61.06+316.96+15.53+39.3+128.2+81.4+85.4+72.95+145.9+88.05+71.46+23.17</f>
        <v>1194.44</v>
      </c>
      <c r="P309" s="67">
        <v>1</v>
      </c>
      <c r="Q309" s="63">
        <f>O:O*P:P</f>
        <v>1194.44</v>
      </c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45">
      <c r="A310" s="174" t="s">
        <v>28</v>
      </c>
      <c r="B310" s="175" t="s">
        <v>269</v>
      </c>
      <c r="C310" s="176">
        <v>42329</v>
      </c>
      <c r="D310" s="174" t="s">
        <v>264</v>
      </c>
      <c r="E310" s="167" t="s">
        <v>302</v>
      </c>
      <c r="F310" s="174" t="s">
        <v>265</v>
      </c>
      <c r="G310" s="174" t="s">
        <v>34</v>
      </c>
      <c r="H310" s="174" t="s">
        <v>271</v>
      </c>
      <c r="I310" s="174" t="str">
        <f t="shared" si="70"/>
        <v>Yes</v>
      </c>
      <c r="J310" s="137" t="s">
        <v>59</v>
      </c>
      <c r="K310" s="174" t="s">
        <v>33</v>
      </c>
      <c r="L310" s="174" t="str">
        <f t="shared" si="73"/>
        <v>N/A</v>
      </c>
      <c r="M310" s="138" t="str">
        <f t="shared" si="66"/>
        <v>No</v>
      </c>
      <c r="N310" s="69" t="str">
        <f t="shared" si="67"/>
        <v>N/A</v>
      </c>
      <c r="O310" s="70">
        <v>220.14</v>
      </c>
      <c r="P310" s="70">
        <v>1</v>
      </c>
      <c r="Q310" s="75">
        <f>O:O*P:P</f>
        <v>220.14</v>
      </c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45">
      <c r="A311" s="79" t="s">
        <v>28</v>
      </c>
      <c r="B311" s="79" t="s">
        <v>247</v>
      </c>
      <c r="C311" s="113">
        <v>42326</v>
      </c>
      <c r="D311" s="79" t="s">
        <v>223</v>
      </c>
      <c r="E311" s="79"/>
      <c r="F311" s="79" t="s">
        <v>2</v>
      </c>
      <c r="G311" s="79" t="s">
        <v>30</v>
      </c>
      <c r="H311" s="79" t="s">
        <v>187</v>
      </c>
      <c r="I311" s="79" t="str">
        <f t="shared" si="70"/>
        <v>Yes</v>
      </c>
      <c r="J311" s="74" t="str">
        <f>IF(G311="Mayfield","No",IF(G311="Royal Local","No",IF(A311="sysco","No",IF(G311="Springer Mountain","No",IF(G311="white oak pastures","Yes",IF(G311="Southern Swiss","Yes"))))))</f>
        <v>No</v>
      </c>
      <c r="K311" s="79" t="str">
        <f t="shared" si="72"/>
        <v>No</v>
      </c>
      <c r="L311" s="79" t="str">
        <f t="shared" si="73"/>
        <v>N/A</v>
      </c>
      <c r="M311" s="70" t="str">
        <f t="shared" si="66"/>
        <v>No</v>
      </c>
      <c r="N311" s="69" t="str">
        <f t="shared" si="67"/>
        <v>N/A</v>
      </c>
      <c r="O311" s="70">
        <f>30.53+65.06+46.9+19.65+384.6+64.59+26.85+60.36+60.36+234.8+215.7</f>
        <v>1209.4000000000001</v>
      </c>
      <c r="P311" s="70">
        <v>1</v>
      </c>
      <c r="Q311" s="75">
        <f>O:O*P:P</f>
        <v>1209.4000000000001</v>
      </c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45">
      <c r="A312" s="67" t="s">
        <v>28</v>
      </c>
      <c r="B312" s="67" t="s">
        <v>201</v>
      </c>
      <c r="C312" s="68">
        <v>42315</v>
      </c>
      <c r="D312" s="63" t="s">
        <v>192</v>
      </c>
      <c r="E312" s="67"/>
      <c r="F312" s="67" t="s">
        <v>2</v>
      </c>
      <c r="G312" s="67" t="s">
        <v>30</v>
      </c>
      <c r="H312" s="67" t="s">
        <v>203</v>
      </c>
      <c r="I312" s="64" t="str">
        <f t="shared" si="70"/>
        <v>Yes</v>
      </c>
      <c r="J312" s="63" t="str">
        <f>IF(G312="Mayfield","No",IF(G312="Royal Local","No",IF(A312="sysco","No",IF(G312="Springer Mountain","No",IF(G312="white oak pastures","Yes",IF(G312="Southern Swiss","Yes"))))))</f>
        <v>No</v>
      </c>
      <c r="K312" s="64" t="str">
        <f t="shared" si="72"/>
        <v>No</v>
      </c>
      <c r="L312" s="64" t="str">
        <f t="shared" si="73"/>
        <v>N/A</v>
      </c>
      <c r="M312" s="64" t="str">
        <f t="shared" si="66"/>
        <v>No</v>
      </c>
      <c r="N312" s="69" t="str">
        <f t="shared" si="67"/>
        <v>N/A</v>
      </c>
      <c r="O312" s="67">
        <f>153.84+78.12+61.05+25.85+29.18+58.36+176.1+196.8+360.84+81.27</f>
        <v>1221.4099999999999</v>
      </c>
      <c r="P312" s="67">
        <v>1</v>
      </c>
      <c r="Q312" s="63">
        <f>O:O*P:P</f>
        <v>1221.4099999999999</v>
      </c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45">
      <c r="A313" s="77" t="s">
        <v>28</v>
      </c>
      <c r="B313" s="77" t="s">
        <v>245</v>
      </c>
      <c r="C313" s="154">
        <v>42325</v>
      </c>
      <c r="D313" s="86" t="s">
        <v>223</v>
      </c>
      <c r="E313" s="77"/>
      <c r="F313" s="77" t="s">
        <v>2</v>
      </c>
      <c r="G313" s="77" t="s">
        <v>30</v>
      </c>
      <c r="H313" s="77" t="s">
        <v>246</v>
      </c>
      <c r="I313" s="77" t="str">
        <f t="shared" si="70"/>
        <v>Yes</v>
      </c>
      <c r="J313" s="74" t="str">
        <f>IF(G313="Mayfield","No",IF(G313="Royal Local","No",IF(A313="sysco","No",IF(G313="Springer Mountain","No",IF(G313="white oak pastures","Yes",IF(G313="Southern Swiss","Yes"))))))</f>
        <v>No</v>
      </c>
      <c r="K313" s="77" t="str">
        <f t="shared" si="72"/>
        <v>No</v>
      </c>
      <c r="L313" s="77" t="str">
        <f t="shared" si="73"/>
        <v>N/A</v>
      </c>
      <c r="M313" s="70" t="str">
        <f t="shared" si="66"/>
        <v>No</v>
      </c>
      <c r="N313" s="69" t="str">
        <f t="shared" si="67"/>
        <v>N/A</v>
      </c>
      <c r="O313" s="70">
        <f>30.53+32.53+91.59+566+192.3+64.59+30.18+88.05+45.44+215.7</f>
        <v>1356.91</v>
      </c>
      <c r="P313" s="70">
        <v>1</v>
      </c>
      <c r="Q313" s="75">
        <f>O:O*P:P</f>
        <v>1356.91</v>
      </c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45">
      <c r="A314" s="167" t="s">
        <v>193</v>
      </c>
      <c r="B314" s="168">
        <v>1872</v>
      </c>
      <c r="C314" s="170">
        <v>42314</v>
      </c>
      <c r="D314" s="167" t="s">
        <v>192</v>
      </c>
      <c r="E314" s="167" t="s">
        <v>302</v>
      </c>
      <c r="F314" s="167" t="s">
        <v>2</v>
      </c>
      <c r="G314" s="167" t="s">
        <v>65</v>
      </c>
      <c r="H314" s="167"/>
      <c r="I314" s="167" t="s">
        <v>20</v>
      </c>
      <c r="J314" s="130" t="s">
        <v>59</v>
      </c>
      <c r="K314" s="167" t="s">
        <v>194</v>
      </c>
      <c r="L314" s="167" t="str">
        <f t="shared" si="73"/>
        <v>N/A</v>
      </c>
      <c r="M314" s="131" t="str">
        <f t="shared" si="66"/>
        <v>No</v>
      </c>
      <c r="N314" s="56" t="str">
        <f t="shared" si="67"/>
        <v>N/A</v>
      </c>
      <c r="O314" s="48">
        <v>1763.2</v>
      </c>
      <c r="P314" s="48">
        <v>1</v>
      </c>
      <c r="Q314" s="48">
        <f>O:O*P:P</f>
        <v>1763.2</v>
      </c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45">
      <c r="A315" s="79" t="s">
        <v>52</v>
      </c>
      <c r="B315" s="79"/>
      <c r="C315" s="79" t="s">
        <v>53</v>
      </c>
      <c r="D315" s="79" t="s">
        <v>264</v>
      </c>
      <c r="E315" s="79"/>
      <c r="F315" s="79" t="s">
        <v>1</v>
      </c>
      <c r="G315" s="79" t="s">
        <v>256</v>
      </c>
      <c r="H315" s="79" t="s">
        <v>278</v>
      </c>
      <c r="I315" s="79" t="str">
        <f t="shared" ref="I315:I320" si="74">IF(G315="Mayfield","Yes",IF(G315="Royal Local","Yes",IF(A315="sysco","No",IF(G315="atlanta fresh","Yes",IF(G315="Springer Mountain","Yes",IF(G315="white oak Pastures","Yes",IF(G315="Southern Swiss", "Yes")))))))</f>
        <v>No</v>
      </c>
      <c r="J315" s="74" t="str">
        <f t="shared" ref="J315:J320" si="75">IF(G315="Mayfield","No",IF(G315="Royal Local","No",IF(A315="sysco","No",IF(G315="Springer Mountain","No",IF(G315="white oak pastures","Yes",IF(G315="Southern Swiss","Yes"))))))</f>
        <v>No</v>
      </c>
      <c r="K315" s="79" t="s">
        <v>20</v>
      </c>
      <c r="L315" s="79" t="s">
        <v>25</v>
      </c>
      <c r="M315" s="70" t="str">
        <f t="shared" ref="M315:M321" si="76">IF(G315="white oak pastures", "Yes",IF(G315="mayfield","yes",IF(G315="oxford farm","yes",IF(K315="No","No", IF(I315="no", "no", IF(G315="springer mountain", "yes", IF(G315="atlanta fresh","yes")))))))</f>
        <v>no</v>
      </c>
      <c r="N315" s="69" t="str">
        <f t="shared" ref="N315:N321" si="77">IF(M315="No","N/A",IF(G315="Springer Mountain","Emory Local&amp; raised w/o antibiotics)",IF(G315="mayfield","Emory local &amp; raised w/o hormones",IF(G315="white oak pastures","F2F &amp; grassfed",IF(G315="atlanta fresh","F2F &amp; raised w/o hormones",IF(G315="southern swiss", "yes", IF(G315="batdorf &amp; bronson", "Emory Local &amp; fair trade")))))))</f>
        <v>N/A</v>
      </c>
      <c r="O315" s="70">
        <v>396.4</v>
      </c>
      <c r="P315" s="70">
        <v>1</v>
      </c>
      <c r="Q315" s="75">
        <f>O:O*P:P</f>
        <v>396.4</v>
      </c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45">
      <c r="A316" s="177" t="s">
        <v>52</v>
      </c>
      <c r="B316" s="175"/>
      <c r="C316" s="178" t="s">
        <v>53</v>
      </c>
      <c r="D316" s="177" t="s">
        <v>264</v>
      </c>
      <c r="E316" s="167" t="s">
        <v>302</v>
      </c>
      <c r="F316" s="177" t="s">
        <v>54</v>
      </c>
      <c r="G316" s="177" t="s">
        <v>55</v>
      </c>
      <c r="H316" s="177" t="s">
        <v>82</v>
      </c>
      <c r="I316" s="174" t="str">
        <f t="shared" si="74"/>
        <v>No</v>
      </c>
      <c r="J316" s="141" t="str">
        <f t="shared" si="75"/>
        <v>No</v>
      </c>
      <c r="K316" s="177" t="s">
        <v>20</v>
      </c>
      <c r="L316" s="177" t="s">
        <v>145</v>
      </c>
      <c r="M316" s="142" t="str">
        <f t="shared" si="76"/>
        <v>no</v>
      </c>
      <c r="N316" s="72" t="str">
        <f t="shared" si="77"/>
        <v>N/A</v>
      </c>
      <c r="O316" s="77">
        <v>185.31</v>
      </c>
      <c r="P316" s="77">
        <v>1</v>
      </c>
      <c r="Q316" s="78">
        <f>O:O*P:P</f>
        <v>185.31</v>
      </c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45">
      <c r="A317" s="174" t="s">
        <v>52</v>
      </c>
      <c r="B317" s="175"/>
      <c r="C317" s="175" t="s">
        <v>53</v>
      </c>
      <c r="D317" s="174" t="s">
        <v>264</v>
      </c>
      <c r="E317" s="167" t="s">
        <v>302</v>
      </c>
      <c r="F317" s="174" t="s">
        <v>54</v>
      </c>
      <c r="G317" s="174" t="s">
        <v>58</v>
      </c>
      <c r="H317" s="174" t="s">
        <v>258</v>
      </c>
      <c r="I317" s="174" t="str">
        <f t="shared" si="74"/>
        <v>No</v>
      </c>
      <c r="J317" s="141" t="str">
        <f t="shared" si="75"/>
        <v>No</v>
      </c>
      <c r="K317" s="174" t="s">
        <v>59</v>
      </c>
      <c r="L317" s="174" t="s">
        <v>145</v>
      </c>
      <c r="M317" s="142" t="str">
        <f t="shared" si="76"/>
        <v>no</v>
      </c>
      <c r="N317" s="72" t="str">
        <f t="shared" si="77"/>
        <v>N/A</v>
      </c>
      <c r="O317" s="77">
        <v>346.32</v>
      </c>
      <c r="P317" s="77">
        <v>1</v>
      </c>
      <c r="Q317" s="78">
        <f>O:O*P:P</f>
        <v>346.32</v>
      </c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45">
      <c r="A318" s="79" t="s">
        <v>15</v>
      </c>
      <c r="B318" s="79"/>
      <c r="C318" s="79" t="s">
        <v>280</v>
      </c>
      <c r="D318" s="79" t="s">
        <v>279</v>
      </c>
      <c r="E318" s="79"/>
      <c r="F318" s="79" t="s">
        <v>265</v>
      </c>
      <c r="G318" s="79" t="s">
        <v>18</v>
      </c>
      <c r="H318" s="79"/>
      <c r="I318" s="79" t="str">
        <f>IF(G318="Mayfield","Yes",IF(G318="Royal Local","Yes",IF(A318="sysco","No",IF(G318="atlanta fresh","Yes",IF(G318="Springer Mountain","Yes",IF(G318="white oak Pastures","Yes",IF(G318="Southern Swiss", "Yes")))))))</f>
        <v>Yes</v>
      </c>
      <c r="J318" s="80" t="str">
        <f>IF(G318="Mayfield","No",IF(G318="Royal Local","No",IF(A318="sysco","No",IF(G318="Springer Mountain","No",IF(G318="white oak pastures","Yes",IF(G318="Southern Swiss","Yes"))))))</f>
        <v>No</v>
      </c>
      <c r="K318" s="79" t="s">
        <v>33</v>
      </c>
      <c r="L318" s="79" t="str">
        <f>IF(K318="No","N/A",IF(G318="mayfield","raised w/o hormones",IF(G318="springer mountain","raised w/o antibiotics",IF(G318="white oak pastures","grassfed",IF(G318="inland","seafood watch",IF(G318="atlanta fresh","raised w/o hormones",IF(G318="southern swiss","raised w/o hormones)))))))")))))))</f>
        <v>N/A</v>
      </c>
      <c r="M318" s="79" t="str">
        <f>IF(G318="white oak pastures", "Yes",IF(G318="mayfield","yes",IF(G318="oxford farm","yes",IF(K318="No","No", IF(I318="no", "no", IF(G318="springer mountain", "yes", IF(G318="atlanta fresh","yes")))))))</f>
        <v>yes</v>
      </c>
      <c r="N318" s="65" t="str">
        <f t="shared" si="77"/>
        <v>Emory local &amp; raised w/o hormones</v>
      </c>
      <c r="O318" s="79">
        <v>1533.59</v>
      </c>
      <c r="P318" s="79">
        <v>1</v>
      </c>
      <c r="Q318" s="81">
        <f>O:O*P:P</f>
        <v>1533.59</v>
      </c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45">
      <c r="A319" s="70" t="s">
        <v>152</v>
      </c>
      <c r="B319" s="70"/>
      <c r="C319" s="76" t="s">
        <v>280</v>
      </c>
      <c r="D319" s="79" t="s">
        <v>279</v>
      </c>
      <c r="E319" s="70"/>
      <c r="F319" s="70" t="s">
        <v>4</v>
      </c>
      <c r="G319" s="70" t="s">
        <v>62</v>
      </c>
      <c r="H319" s="70" t="s">
        <v>191</v>
      </c>
      <c r="I319" s="70" t="s">
        <v>33</v>
      </c>
      <c r="J319" s="74" t="s">
        <v>33</v>
      </c>
      <c r="K319" s="70" t="s">
        <v>20</v>
      </c>
      <c r="L319" s="70" t="s">
        <v>63</v>
      </c>
      <c r="M319" s="70" t="str">
        <f t="shared" si="76"/>
        <v>no</v>
      </c>
      <c r="N319" s="69" t="str">
        <f t="shared" si="77"/>
        <v>N/A</v>
      </c>
      <c r="O319" s="70">
        <v>103.5</v>
      </c>
      <c r="P319" s="70">
        <v>1</v>
      </c>
      <c r="Q319" s="75">
        <f>O:O*P:P</f>
        <v>103.5</v>
      </c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45">
      <c r="A320" s="70" t="s">
        <v>66</v>
      </c>
      <c r="B320" s="70">
        <v>827369</v>
      </c>
      <c r="C320" s="76">
        <v>42339</v>
      </c>
      <c r="D320" s="79" t="s">
        <v>279</v>
      </c>
      <c r="E320" s="70"/>
      <c r="F320" s="70" t="s">
        <v>1</v>
      </c>
      <c r="G320" s="70" t="s">
        <v>23</v>
      </c>
      <c r="H320" s="70" t="s">
        <v>121</v>
      </c>
      <c r="I320" s="70" t="str">
        <f t="shared" si="74"/>
        <v>Yes</v>
      </c>
      <c r="J320" s="74" t="str">
        <f t="shared" si="75"/>
        <v>Yes</v>
      </c>
      <c r="K320" s="70" t="str">
        <f t="shared" ref="K320" si="78">IF(G320="Mayfield","Yes", IF(G320="Royal Local","No",IF(G320="butterball", "yes",IF(G320="Springer Mountain","Yes",IF(G320="white oak pastures","Yes",IF(G320="Southern Swiss", "Yes", IF(G320="atlanta fresh", "yes")))))))</f>
        <v>Yes</v>
      </c>
      <c r="L320" s="70" t="str">
        <f t="shared" ref="L320:L321" si="79">IF(K320="No","N/A",IF(G320="mayfield","raised w/o hormones",IF(G320="springer mountain","raised w/o antibiotics",IF(G320="white oak pastures","grassfed",IF(G320="inland","seafood watch",IF(G320="atlanta fresh","raised w/o hormones",IF(G320="southern swiss","raised w/o hormones)))))))")))))))</f>
        <v>grassfed</v>
      </c>
      <c r="M320" s="70" t="str">
        <f t="shared" si="76"/>
        <v>Yes</v>
      </c>
      <c r="N320" s="69" t="str">
        <f t="shared" si="77"/>
        <v>F2F &amp; grassfed</v>
      </c>
      <c r="O320" s="70">
        <v>587.70000000000005</v>
      </c>
      <c r="P320" s="70">
        <v>1</v>
      </c>
      <c r="Q320" s="75">
        <f>O:O*P:P</f>
        <v>587.70000000000005</v>
      </c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45">
      <c r="A321" s="70" t="s">
        <v>66</v>
      </c>
      <c r="B321" s="70">
        <v>827369</v>
      </c>
      <c r="C321" s="76">
        <v>42339</v>
      </c>
      <c r="D321" s="79" t="s">
        <v>279</v>
      </c>
      <c r="E321" s="70"/>
      <c r="F321" s="70" t="s">
        <v>1</v>
      </c>
      <c r="G321" s="70" t="s">
        <v>148</v>
      </c>
      <c r="H321" s="70" t="s">
        <v>124</v>
      </c>
      <c r="I321" s="70" t="s">
        <v>20</v>
      </c>
      <c r="J321" s="74" t="s">
        <v>33</v>
      </c>
      <c r="K321" s="70" t="s">
        <v>33</v>
      </c>
      <c r="L321" s="70" t="str">
        <f t="shared" si="79"/>
        <v>N/A</v>
      </c>
      <c r="M321" s="70" t="str">
        <f t="shared" si="76"/>
        <v>No</v>
      </c>
      <c r="N321" s="69" t="str">
        <f t="shared" si="77"/>
        <v>N/A</v>
      </c>
      <c r="O321" s="70">
        <f>246+501.3</f>
        <v>747.3</v>
      </c>
      <c r="P321" s="70">
        <v>1</v>
      </c>
      <c r="Q321" s="75">
        <f>O:O*P:P</f>
        <v>747.3</v>
      </c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45">
      <c r="A322" s="70" t="s">
        <v>66</v>
      </c>
      <c r="B322" s="70">
        <v>827663</v>
      </c>
      <c r="C322" s="76">
        <v>42339</v>
      </c>
      <c r="D322" s="79" t="s">
        <v>279</v>
      </c>
      <c r="E322" s="70"/>
      <c r="F322" s="70" t="s">
        <v>1</v>
      </c>
      <c r="G322" s="70" t="s">
        <v>23</v>
      </c>
      <c r="H322" s="70" t="s">
        <v>121</v>
      </c>
      <c r="I322" s="70" t="str">
        <f t="shared" ref="I322:I358" si="80">IF(G322="Mayfield","Yes",IF(G322="Royal Local","Yes",IF(A322="sysco","No",IF(G322="atlanta fresh","Yes",IF(G322="Springer Mountain","Yes",IF(G322="white oak Pastures","Yes",IF(G322="Southern Swiss", "Yes")))))))</f>
        <v>Yes</v>
      </c>
      <c r="J322" s="74" t="str">
        <f t="shared" ref="J322:J357" si="81">IF(G322="Mayfield","No",IF(G322="Royal Local","No",IF(A322="sysco","No",IF(G322="Springer Mountain","No",IF(G322="white oak pastures","Yes",IF(G322="Southern Swiss","Yes"))))))</f>
        <v>Yes</v>
      </c>
      <c r="K322" s="70" t="str">
        <f t="shared" ref="K322:K357" si="82">IF(G322="Mayfield","Yes", IF(G322="Royal Local","No",IF(G322="butterball", "yes",IF(G322="Springer Mountain","Yes",IF(G322="white oak pastures","Yes",IF(G322="Southern Swiss", "Yes", IF(G322="atlanta fresh", "yes")))))))</f>
        <v>Yes</v>
      </c>
      <c r="L322" s="70" t="str">
        <f t="shared" ref="L322:L358" si="83">IF(K322="No","N/A",IF(G322="mayfield","raised w/o hormones",IF(G322="springer mountain","raised w/o antibiotics",IF(G322="white oak pastures","grassfed",IF(G322="inland","seafood watch",IF(G322="atlanta fresh","raised w/o hormones",IF(G322="southern swiss","raised w/o hormones)))))))")))))))</f>
        <v>grassfed</v>
      </c>
      <c r="M322" s="70" t="str">
        <f t="shared" ref="M322:M358" si="84">IF(G322="white oak pastures", "Yes",IF(G322="mayfield","yes",IF(G322="oxford farm","yes",IF(K322="No","No", IF(I322="no", "no", IF(G322="springer mountain", "yes", IF(G322="atlanta fresh","yes")))))))</f>
        <v>Yes</v>
      </c>
      <c r="N322" s="69" t="str">
        <f t="shared" ref="N322:N358" si="85">IF(M322="No","N/A",IF(G322="Springer Mountain","Emory Local&amp; raised w/o antibiotics)",IF(G322="mayfield","Emory local &amp; raised w/o hormones",IF(G322="white oak pastures","F2F &amp; grassfed",IF(G322="atlanta fresh","F2F &amp; raised w/o hormones",IF(G322="southern swiss", "yes", IF(G322="batdorf &amp; bronson", "Emory Local &amp; fair trade")))))))</f>
        <v>F2F &amp; grassfed</v>
      </c>
      <c r="O322" s="70">
        <v>308</v>
      </c>
      <c r="P322" s="70">
        <v>1</v>
      </c>
      <c r="Q322" s="75">
        <f>O:O*P:P</f>
        <v>308</v>
      </c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45">
      <c r="A323" s="70" t="s">
        <v>28</v>
      </c>
      <c r="B323" s="70">
        <v>657830</v>
      </c>
      <c r="C323" s="76">
        <v>42341</v>
      </c>
      <c r="D323" s="79" t="s">
        <v>279</v>
      </c>
      <c r="E323" s="70"/>
      <c r="F323" s="70" t="s">
        <v>2</v>
      </c>
      <c r="G323" s="70" t="s">
        <v>30</v>
      </c>
      <c r="H323" s="70" t="s">
        <v>281</v>
      </c>
      <c r="I323" s="70" t="str">
        <f t="shared" si="80"/>
        <v>Yes</v>
      </c>
      <c r="J323" s="74" t="str">
        <f t="shared" si="81"/>
        <v>No</v>
      </c>
      <c r="K323" s="70" t="str">
        <f t="shared" si="82"/>
        <v>No</v>
      </c>
      <c r="L323" s="70" t="str">
        <f t="shared" si="83"/>
        <v>N/A</v>
      </c>
      <c r="M323" s="70" t="str">
        <f t="shared" si="84"/>
        <v>No</v>
      </c>
      <c r="N323" s="69" t="str">
        <f t="shared" si="85"/>
        <v>N/A</v>
      </c>
      <c r="O323" s="70">
        <f>67.92+51.06+78.6+77.64+63.27+69.27</f>
        <v>407.75999999999993</v>
      </c>
      <c r="P323" s="70">
        <v>1</v>
      </c>
      <c r="Q323" s="75">
        <f>O:O*P:P</f>
        <v>407.75999999999993</v>
      </c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45">
      <c r="A324" s="70" t="s">
        <v>28</v>
      </c>
      <c r="B324" s="70">
        <v>657712</v>
      </c>
      <c r="C324" s="76">
        <v>42341</v>
      </c>
      <c r="D324" s="79" t="s">
        <v>279</v>
      </c>
      <c r="E324" s="70"/>
      <c r="F324" s="70" t="s">
        <v>2</v>
      </c>
      <c r="G324" s="70" t="s">
        <v>30</v>
      </c>
      <c r="H324" s="70" t="s">
        <v>282</v>
      </c>
      <c r="I324" s="70" t="str">
        <f t="shared" si="80"/>
        <v>Yes</v>
      </c>
      <c r="J324" s="74" t="str">
        <f t="shared" si="81"/>
        <v>No</v>
      </c>
      <c r="K324" s="70" t="str">
        <f t="shared" si="82"/>
        <v>No</v>
      </c>
      <c r="L324" s="70" t="str">
        <f t="shared" si="83"/>
        <v>N/A</v>
      </c>
      <c r="M324" s="70" t="str">
        <f t="shared" si="84"/>
        <v>No</v>
      </c>
      <c r="N324" s="69" t="str">
        <f t="shared" si="85"/>
        <v>N/A</v>
      </c>
      <c r="O324" s="70">
        <f>30.53+32.53+30.53+24.03+25.53+97.05+128.2+42.18+46.18+21.64+106.1</f>
        <v>584.5</v>
      </c>
      <c r="P324" s="70">
        <v>1</v>
      </c>
      <c r="Q324" s="75">
        <f>O:O*P:P</f>
        <v>584.5</v>
      </c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45">
      <c r="A325" s="70" t="s">
        <v>28</v>
      </c>
      <c r="B325" s="70">
        <v>655640</v>
      </c>
      <c r="C325" s="76">
        <v>42339</v>
      </c>
      <c r="D325" s="79" t="s">
        <v>279</v>
      </c>
      <c r="E325" s="70"/>
      <c r="F325" s="70" t="s">
        <v>2</v>
      </c>
      <c r="G325" s="70" t="s">
        <v>30</v>
      </c>
      <c r="H325" s="70" t="s">
        <v>282</v>
      </c>
      <c r="I325" s="70" t="str">
        <f t="shared" si="80"/>
        <v>Yes</v>
      </c>
      <c r="J325" s="74" t="str">
        <f t="shared" si="81"/>
        <v>No</v>
      </c>
      <c r="K325" s="70" t="str">
        <f t="shared" si="82"/>
        <v>No</v>
      </c>
      <c r="L325" s="70" t="str">
        <f t="shared" si="83"/>
        <v>N/A</v>
      </c>
      <c r="M325" s="70" t="str">
        <f t="shared" si="84"/>
        <v>No</v>
      </c>
      <c r="N325" s="69" t="str">
        <f t="shared" si="85"/>
        <v>N/A</v>
      </c>
      <c r="O325" s="70">
        <f>30.53+97.59+91.59+96.12+25.53+78.6+77.64+79.88+64.59+40.7+63.27+69.27+61.68+20.56+169.76+50.18+5.93</f>
        <v>1123.42</v>
      </c>
      <c r="P325" s="70">
        <v>1</v>
      </c>
      <c r="Q325" s="75">
        <f>O:O*P:P</f>
        <v>1123.42</v>
      </c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45">
      <c r="A326" s="70" t="s">
        <v>28</v>
      </c>
      <c r="B326" s="70">
        <v>652277</v>
      </c>
      <c r="C326" s="76">
        <v>42336</v>
      </c>
      <c r="D326" s="79" t="s">
        <v>279</v>
      </c>
      <c r="E326" s="70"/>
      <c r="F326" s="70" t="s">
        <v>70</v>
      </c>
      <c r="G326" s="70" t="s">
        <v>283</v>
      </c>
      <c r="H326" s="70" t="s">
        <v>284</v>
      </c>
      <c r="I326" s="70" t="s">
        <v>20</v>
      </c>
      <c r="J326" s="74" t="s">
        <v>33</v>
      </c>
      <c r="K326" s="70" t="s">
        <v>33</v>
      </c>
      <c r="L326" s="70" t="s">
        <v>32</v>
      </c>
      <c r="M326" s="70" t="str">
        <f t="shared" si="84"/>
        <v>No</v>
      </c>
      <c r="N326" s="69" t="str">
        <f t="shared" si="85"/>
        <v>N/A</v>
      </c>
      <c r="O326" s="70">
        <v>96</v>
      </c>
      <c r="P326" s="70">
        <v>1</v>
      </c>
      <c r="Q326" s="75">
        <f>O:O*P:P</f>
        <v>96</v>
      </c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45">
      <c r="A327" s="70" t="s">
        <v>28</v>
      </c>
      <c r="B327" s="70">
        <v>652273</v>
      </c>
      <c r="C327" s="76">
        <v>42336</v>
      </c>
      <c r="D327" s="79" t="s">
        <v>279</v>
      </c>
      <c r="E327" s="70"/>
      <c r="F327" s="70" t="s">
        <v>2</v>
      </c>
      <c r="G327" s="70" t="s">
        <v>30</v>
      </c>
      <c r="H327" s="70" t="s">
        <v>285</v>
      </c>
      <c r="I327" s="70" t="str">
        <f t="shared" si="80"/>
        <v>Yes</v>
      </c>
      <c r="J327" s="74" t="str">
        <f t="shared" si="81"/>
        <v>No</v>
      </c>
      <c r="K327" s="70" t="str">
        <f t="shared" si="82"/>
        <v>No</v>
      </c>
      <c r="L327" s="70" t="str">
        <f t="shared" si="83"/>
        <v>N/A</v>
      </c>
      <c r="M327" s="70" t="str">
        <f t="shared" si="84"/>
        <v>No</v>
      </c>
      <c r="N327" s="69" t="str">
        <f t="shared" si="85"/>
        <v>N/A</v>
      </c>
      <c r="O327" s="70">
        <f>32.53+22.64+19.97+21.62</f>
        <v>96.76</v>
      </c>
      <c r="P327" s="70">
        <v>1</v>
      </c>
      <c r="Q327" s="75">
        <f>O:O*P:P</f>
        <v>96.76</v>
      </c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45">
      <c r="A328" s="70" t="s">
        <v>28</v>
      </c>
      <c r="B328" s="70">
        <v>652273</v>
      </c>
      <c r="C328" s="76">
        <v>42336</v>
      </c>
      <c r="D328" s="79" t="s">
        <v>279</v>
      </c>
      <c r="E328" s="70"/>
      <c r="F328" s="70" t="s">
        <v>265</v>
      </c>
      <c r="G328" s="70" t="s">
        <v>34</v>
      </c>
      <c r="H328" s="70" t="s">
        <v>86</v>
      </c>
      <c r="I328" s="70" t="str">
        <f t="shared" si="80"/>
        <v>Yes</v>
      </c>
      <c r="J328" s="74" t="s">
        <v>20</v>
      </c>
      <c r="K328" s="70" t="s">
        <v>33</v>
      </c>
      <c r="L328" s="70" t="str">
        <f t="shared" si="83"/>
        <v>N/A</v>
      </c>
      <c r="M328" s="70" t="str">
        <f t="shared" si="84"/>
        <v>No</v>
      </c>
      <c r="N328" s="69" t="str">
        <f t="shared" si="85"/>
        <v>N/A</v>
      </c>
      <c r="O328" s="70">
        <v>293.52</v>
      </c>
      <c r="P328" s="70">
        <v>1</v>
      </c>
      <c r="Q328" s="75">
        <f>O:O*P:P</f>
        <v>293.52</v>
      </c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45">
      <c r="A329" s="70" t="s">
        <v>28</v>
      </c>
      <c r="B329" s="70">
        <v>652274</v>
      </c>
      <c r="C329" s="76">
        <v>42336</v>
      </c>
      <c r="D329" s="79" t="s">
        <v>279</v>
      </c>
      <c r="E329" s="70"/>
      <c r="F329" s="70" t="s">
        <v>2</v>
      </c>
      <c r="G329" s="70" t="s">
        <v>30</v>
      </c>
      <c r="H329" s="70" t="s">
        <v>212</v>
      </c>
      <c r="I329" s="70" t="str">
        <f t="shared" si="80"/>
        <v>Yes</v>
      </c>
      <c r="J329" s="74" t="str">
        <f t="shared" si="81"/>
        <v>No</v>
      </c>
      <c r="K329" s="70" t="str">
        <f t="shared" si="82"/>
        <v>No</v>
      </c>
      <c r="L329" s="70" t="str">
        <f t="shared" si="83"/>
        <v>N/A</v>
      </c>
      <c r="M329" s="70" t="str">
        <f t="shared" si="84"/>
        <v>No</v>
      </c>
      <c r="N329" s="69" t="str">
        <f t="shared" si="85"/>
        <v>N/A</v>
      </c>
      <c r="O329" s="70">
        <f>21.62+5.93</f>
        <v>27.55</v>
      </c>
      <c r="P329" s="70">
        <v>1</v>
      </c>
      <c r="Q329" s="75">
        <f>O:O*P:P</f>
        <v>27.55</v>
      </c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45">
      <c r="A330" s="70" t="s">
        <v>28</v>
      </c>
      <c r="B330" s="70">
        <v>652276</v>
      </c>
      <c r="C330" s="76">
        <v>42336</v>
      </c>
      <c r="D330" s="79" t="s">
        <v>279</v>
      </c>
      <c r="E330" s="70"/>
      <c r="F330" s="70" t="s">
        <v>2</v>
      </c>
      <c r="G330" s="70" t="s">
        <v>30</v>
      </c>
      <c r="H330" s="70" t="s">
        <v>286</v>
      </c>
      <c r="I330" s="70" t="str">
        <f t="shared" si="80"/>
        <v>Yes</v>
      </c>
      <c r="J330" s="74" t="str">
        <f t="shared" si="81"/>
        <v>No</v>
      </c>
      <c r="K330" s="70" t="str">
        <f t="shared" si="82"/>
        <v>No</v>
      </c>
      <c r="L330" s="70" t="str">
        <f t="shared" si="83"/>
        <v>N/A</v>
      </c>
      <c r="M330" s="70" t="str">
        <f t="shared" si="84"/>
        <v>No</v>
      </c>
      <c r="N330" s="69" t="str">
        <f t="shared" si="85"/>
        <v>N/A</v>
      </c>
      <c r="O330" s="70">
        <f>91.59+97.59+294.04+49.06+58.95+199.7+192.3+67.59+98.28+81.4+126.75+126.54+132.54+410.9+39.44</f>
        <v>2066.67</v>
      </c>
      <c r="P330" s="70">
        <v>1</v>
      </c>
      <c r="Q330" s="75">
        <f>O:O*P:P</f>
        <v>2066.67</v>
      </c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45">
      <c r="A331" s="70" t="s">
        <v>28</v>
      </c>
      <c r="B331" s="70">
        <v>652276</v>
      </c>
      <c r="C331" s="76">
        <v>42336</v>
      </c>
      <c r="D331" s="79" t="s">
        <v>279</v>
      </c>
      <c r="E331" s="70"/>
      <c r="F331" s="70" t="s">
        <v>265</v>
      </c>
      <c r="G331" s="70" t="s">
        <v>34</v>
      </c>
      <c r="H331" s="70" t="s">
        <v>271</v>
      </c>
      <c r="I331" s="70" t="str">
        <f t="shared" si="80"/>
        <v>Yes</v>
      </c>
      <c r="J331" s="74" t="s">
        <v>20</v>
      </c>
      <c r="K331" s="70" t="s">
        <v>33</v>
      </c>
      <c r="L331" s="70" t="str">
        <f t="shared" si="83"/>
        <v>N/A</v>
      </c>
      <c r="M331" s="70" t="str">
        <f t="shared" si="84"/>
        <v>No</v>
      </c>
      <c r="N331" s="69" t="str">
        <f t="shared" si="85"/>
        <v>N/A</v>
      </c>
      <c r="O331" s="70">
        <f>183.45+183.45</f>
        <v>366.9</v>
      </c>
      <c r="P331" s="70">
        <v>1</v>
      </c>
      <c r="Q331" s="75">
        <f>O:O*P:P</f>
        <v>366.9</v>
      </c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45">
      <c r="A332" s="70" t="s">
        <v>28</v>
      </c>
      <c r="B332" s="70">
        <v>654332</v>
      </c>
      <c r="C332" s="76">
        <v>42338</v>
      </c>
      <c r="D332" s="79" t="s">
        <v>279</v>
      </c>
      <c r="E332" s="70"/>
      <c r="F332" s="70" t="s">
        <v>2</v>
      </c>
      <c r="G332" s="70" t="s">
        <v>30</v>
      </c>
      <c r="H332" s="70" t="s">
        <v>287</v>
      </c>
      <c r="I332" s="70" t="str">
        <f t="shared" si="80"/>
        <v>Yes</v>
      </c>
      <c r="J332" s="74" t="str">
        <f t="shared" si="81"/>
        <v>No</v>
      </c>
      <c r="K332" s="70" t="str">
        <f t="shared" si="82"/>
        <v>No</v>
      </c>
      <c r="L332" s="70" t="str">
        <f t="shared" si="83"/>
        <v>N/A</v>
      </c>
      <c r="M332" s="70" t="str">
        <f t="shared" si="84"/>
        <v>No</v>
      </c>
      <c r="N332" s="69" t="str">
        <f t="shared" si="85"/>
        <v>N/A</v>
      </c>
      <c r="O332" s="70">
        <f>30.53+30.53+113.2+48.06+39.3+89.74+64.59+40.7+126.54+138.54+293.5+169.76</f>
        <v>1184.99</v>
      </c>
      <c r="P332" s="70">
        <v>1</v>
      </c>
      <c r="Q332" s="75">
        <f>O:O*P:P</f>
        <v>1184.99</v>
      </c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45">
      <c r="A333" s="70" t="s">
        <v>28</v>
      </c>
      <c r="B333" s="70">
        <v>654332</v>
      </c>
      <c r="C333" s="76">
        <v>42338</v>
      </c>
      <c r="D333" s="79" t="s">
        <v>279</v>
      </c>
      <c r="E333" s="70"/>
      <c r="F333" s="70" t="s">
        <v>265</v>
      </c>
      <c r="G333" s="70" t="s">
        <v>34</v>
      </c>
      <c r="H333" s="70" t="s">
        <v>86</v>
      </c>
      <c r="I333" s="70" t="str">
        <f t="shared" si="80"/>
        <v>Yes</v>
      </c>
      <c r="J333" s="74" t="s">
        <v>20</v>
      </c>
      <c r="K333" s="70" t="s">
        <v>33</v>
      </c>
      <c r="L333" s="70" t="str">
        <f t="shared" si="83"/>
        <v>N/A</v>
      </c>
      <c r="M333" s="70" t="str">
        <f t="shared" si="84"/>
        <v>No</v>
      </c>
      <c r="N333" s="69" t="str">
        <f t="shared" si="85"/>
        <v>N/A</v>
      </c>
      <c r="O333" s="70">
        <f>183.45+183.45</f>
        <v>366.9</v>
      </c>
      <c r="P333" s="70">
        <v>1</v>
      </c>
      <c r="Q333" s="75">
        <f>O:O*P:P</f>
        <v>366.9</v>
      </c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45">
      <c r="A334" s="70" t="s">
        <v>28</v>
      </c>
      <c r="B334" s="70">
        <v>656518</v>
      </c>
      <c r="C334" s="76">
        <v>42340</v>
      </c>
      <c r="D334" s="79" t="s">
        <v>279</v>
      </c>
      <c r="E334" s="70"/>
      <c r="F334" s="70" t="s">
        <v>2</v>
      </c>
      <c r="G334" s="70" t="s">
        <v>30</v>
      </c>
      <c r="H334" s="70" t="s">
        <v>288</v>
      </c>
      <c r="I334" s="70" t="str">
        <f t="shared" si="80"/>
        <v>Yes</v>
      </c>
      <c r="J334" s="74" t="str">
        <f t="shared" si="81"/>
        <v>No</v>
      </c>
      <c r="K334" s="70" t="str">
        <f t="shared" si="82"/>
        <v>No</v>
      </c>
      <c r="L334" s="70" t="str">
        <f t="shared" si="83"/>
        <v>N/A</v>
      </c>
      <c r="M334" s="70" t="str">
        <f t="shared" si="84"/>
        <v>No</v>
      </c>
      <c r="N334" s="69" t="str">
        <f t="shared" si="85"/>
        <v>N/A</v>
      </c>
      <c r="O334" s="70">
        <f>61.06+65.06+61.06+67.92+24.03+25.53+39.3+102.56+43.06+40.7+69.27+117.4+61.68+212.2+75.27</f>
        <v>1066.0999999999999</v>
      </c>
      <c r="P334" s="70">
        <v>1</v>
      </c>
      <c r="Q334" s="75">
        <f>O:O*P:P</f>
        <v>1066.0999999999999</v>
      </c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45">
      <c r="A335" s="70" t="s">
        <v>64</v>
      </c>
      <c r="B335" s="70">
        <v>1973</v>
      </c>
      <c r="C335" s="76">
        <v>42336</v>
      </c>
      <c r="D335" s="79" t="s">
        <v>279</v>
      </c>
      <c r="E335" s="70"/>
      <c r="F335" s="70" t="s">
        <v>2</v>
      </c>
      <c r="G335" s="70" t="s">
        <v>65</v>
      </c>
      <c r="H335" s="70" t="s">
        <v>289</v>
      </c>
      <c r="I335" s="70" t="s">
        <v>20</v>
      </c>
      <c r="J335" s="74" t="s">
        <v>20</v>
      </c>
      <c r="K335" s="70" t="s">
        <v>33</v>
      </c>
      <c r="L335" s="70" t="s">
        <v>32</v>
      </c>
      <c r="M335" s="70" t="str">
        <f t="shared" si="84"/>
        <v>No</v>
      </c>
      <c r="N335" s="69" t="str">
        <f t="shared" si="85"/>
        <v>N/A</v>
      </c>
      <c r="O335" s="70">
        <v>607.5</v>
      </c>
      <c r="P335" s="70">
        <v>1</v>
      </c>
      <c r="Q335" s="75">
        <f>O:O*P:P</f>
        <v>607.5</v>
      </c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45">
      <c r="A336" s="70" t="s">
        <v>64</v>
      </c>
      <c r="B336" s="70">
        <v>1986</v>
      </c>
      <c r="C336" s="76">
        <v>42339</v>
      </c>
      <c r="D336" s="79" t="s">
        <v>279</v>
      </c>
      <c r="E336" s="70"/>
      <c r="F336" s="70" t="s">
        <v>2</v>
      </c>
      <c r="G336" s="70" t="s">
        <v>65</v>
      </c>
      <c r="H336" s="70" t="s">
        <v>289</v>
      </c>
      <c r="I336" s="70" t="s">
        <v>20</v>
      </c>
      <c r="J336" s="74" t="s">
        <v>20</v>
      </c>
      <c r="K336" s="70" t="s">
        <v>33</v>
      </c>
      <c r="L336" s="70" t="str">
        <f t="shared" si="83"/>
        <v>N/A</v>
      </c>
      <c r="M336" s="70" t="str">
        <f t="shared" si="84"/>
        <v>No</v>
      </c>
      <c r="N336" s="69" t="str">
        <f t="shared" si="85"/>
        <v>N/A</v>
      </c>
      <c r="O336" s="70">
        <v>672.6</v>
      </c>
      <c r="P336" s="70">
        <v>1</v>
      </c>
      <c r="Q336" s="75">
        <f>O:O*P:P</f>
        <v>672.6</v>
      </c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45">
      <c r="A337" s="70" t="s">
        <v>15</v>
      </c>
      <c r="B337" s="70"/>
      <c r="C337" s="70" t="s">
        <v>280</v>
      </c>
      <c r="D337" s="79" t="s">
        <v>290</v>
      </c>
      <c r="E337" s="70"/>
      <c r="F337" s="70" t="s">
        <v>3</v>
      </c>
      <c r="G337" s="70" t="s">
        <v>18</v>
      </c>
      <c r="H337" s="70" t="s">
        <v>291</v>
      </c>
      <c r="I337" s="70" t="str">
        <f t="shared" si="80"/>
        <v>Yes</v>
      </c>
      <c r="J337" s="74" t="str">
        <f t="shared" si="81"/>
        <v>No</v>
      </c>
      <c r="K337" s="70" t="s">
        <v>33</v>
      </c>
      <c r="L337" s="70" t="str">
        <f t="shared" si="83"/>
        <v>N/A</v>
      </c>
      <c r="M337" s="70" t="str">
        <f t="shared" si="84"/>
        <v>yes</v>
      </c>
      <c r="N337" s="69" t="str">
        <f t="shared" si="85"/>
        <v>Emory local &amp; raised w/o hormones</v>
      </c>
      <c r="O337" s="70">
        <v>2385.5300000000002</v>
      </c>
      <c r="P337" s="70">
        <v>1</v>
      </c>
      <c r="Q337" s="75">
        <f>O:O*P:P</f>
        <v>2385.5300000000002</v>
      </c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45">
      <c r="A338" s="70" t="s">
        <v>193</v>
      </c>
      <c r="B338" s="70">
        <v>2023</v>
      </c>
      <c r="C338" s="76">
        <v>42346</v>
      </c>
      <c r="D338" s="79" t="s">
        <v>290</v>
      </c>
      <c r="E338" s="70"/>
      <c r="F338" s="70" t="s">
        <v>2</v>
      </c>
      <c r="G338" s="70" t="s">
        <v>65</v>
      </c>
      <c r="H338" s="70" t="s">
        <v>289</v>
      </c>
      <c r="I338" s="70" t="s">
        <v>20</v>
      </c>
      <c r="J338" s="74" t="s">
        <v>20</v>
      </c>
      <c r="K338" s="70" t="s">
        <v>33</v>
      </c>
      <c r="L338" s="70" t="str">
        <f t="shared" si="83"/>
        <v>N/A</v>
      </c>
      <c r="M338" s="70" t="str">
        <f t="shared" si="84"/>
        <v>No</v>
      </c>
      <c r="N338" s="69" t="str">
        <f t="shared" si="85"/>
        <v>N/A</v>
      </c>
      <c r="O338" s="70">
        <v>702.53</v>
      </c>
      <c r="P338" s="70">
        <v>1</v>
      </c>
      <c r="Q338" s="75">
        <f>O:O*P:P</f>
        <v>702.53</v>
      </c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45">
      <c r="A339" s="70" t="s">
        <v>217</v>
      </c>
      <c r="B339" s="70" t="s">
        <v>292</v>
      </c>
      <c r="C339" s="70" t="s">
        <v>293</v>
      </c>
      <c r="D339" s="79" t="s">
        <v>290</v>
      </c>
      <c r="E339" s="70"/>
      <c r="F339" s="70" t="s">
        <v>2</v>
      </c>
      <c r="G339" s="70" t="s">
        <v>294</v>
      </c>
      <c r="H339" s="70" t="s">
        <v>289</v>
      </c>
      <c r="I339" s="70" t="s">
        <v>20</v>
      </c>
      <c r="J339" s="74" t="s">
        <v>33</v>
      </c>
      <c r="K339" s="70" t="s">
        <v>33</v>
      </c>
      <c r="L339" s="70" t="str">
        <f t="shared" si="83"/>
        <v>N/A</v>
      </c>
      <c r="M339" s="70" t="str">
        <f t="shared" si="84"/>
        <v>No</v>
      </c>
      <c r="N339" s="69" t="str">
        <f t="shared" si="85"/>
        <v>N/A</v>
      </c>
      <c r="O339" s="70">
        <f>78+288</f>
        <v>366</v>
      </c>
      <c r="P339" s="70">
        <v>1</v>
      </c>
      <c r="Q339" s="75">
        <f>O:O*P:P</f>
        <v>366</v>
      </c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45">
      <c r="A340" s="70" t="s">
        <v>66</v>
      </c>
      <c r="B340" s="70">
        <v>828995</v>
      </c>
      <c r="C340" s="76">
        <v>42342</v>
      </c>
      <c r="D340" s="79" t="s">
        <v>290</v>
      </c>
      <c r="E340" s="70"/>
      <c r="F340" s="70" t="s">
        <v>1</v>
      </c>
      <c r="G340" s="70" t="s">
        <v>23</v>
      </c>
      <c r="H340" s="70" t="s">
        <v>121</v>
      </c>
      <c r="I340" s="70" t="str">
        <f t="shared" si="80"/>
        <v>Yes</v>
      </c>
      <c r="J340" s="74" t="str">
        <f t="shared" si="81"/>
        <v>Yes</v>
      </c>
      <c r="K340" s="70" t="str">
        <f t="shared" si="82"/>
        <v>Yes</v>
      </c>
      <c r="L340" s="70" t="str">
        <f t="shared" si="83"/>
        <v>grassfed</v>
      </c>
      <c r="M340" s="70" t="str">
        <f t="shared" si="84"/>
        <v>Yes</v>
      </c>
      <c r="N340" s="69" t="str">
        <f t="shared" si="85"/>
        <v>F2F &amp; grassfed</v>
      </c>
      <c r="O340" s="70">
        <v>783.6</v>
      </c>
      <c r="P340" s="70">
        <v>1</v>
      </c>
      <c r="Q340" s="75">
        <f>O:O*P:P</f>
        <v>783.6</v>
      </c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45">
      <c r="A341" s="70" t="s">
        <v>66</v>
      </c>
      <c r="B341" s="70">
        <v>829477</v>
      </c>
      <c r="C341" s="76">
        <v>42345</v>
      </c>
      <c r="D341" s="79" t="s">
        <v>290</v>
      </c>
      <c r="E341" s="70"/>
      <c r="F341" s="70" t="s">
        <v>1</v>
      </c>
      <c r="G341" s="70" t="s">
        <v>148</v>
      </c>
      <c r="H341" s="70" t="s">
        <v>124</v>
      </c>
      <c r="I341" s="70" t="s">
        <v>20</v>
      </c>
      <c r="J341" s="74" t="s">
        <v>33</v>
      </c>
      <c r="K341" s="70" t="s">
        <v>33</v>
      </c>
      <c r="L341" s="70" t="str">
        <f t="shared" si="83"/>
        <v>N/A</v>
      </c>
      <c r="M341" s="70" t="str">
        <f t="shared" si="84"/>
        <v>No</v>
      </c>
      <c r="N341" s="69" t="str">
        <f t="shared" si="85"/>
        <v>N/A</v>
      </c>
      <c r="O341" s="70">
        <f>246+510.3+1009.68+358.49+277.13</f>
        <v>2401.6000000000004</v>
      </c>
      <c r="P341" s="70">
        <v>1</v>
      </c>
      <c r="Q341" s="75">
        <f>O:O*P:P</f>
        <v>2401.6000000000004</v>
      </c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45">
      <c r="A342" s="70" t="s">
        <v>66</v>
      </c>
      <c r="B342" s="70">
        <v>829477</v>
      </c>
      <c r="C342" s="76">
        <v>42345</v>
      </c>
      <c r="D342" s="79" t="s">
        <v>290</v>
      </c>
      <c r="E342" s="70"/>
      <c r="F342" s="70" t="s">
        <v>1</v>
      </c>
      <c r="G342" s="70" t="s">
        <v>120</v>
      </c>
      <c r="H342" s="70" t="s">
        <v>121</v>
      </c>
      <c r="I342" s="70" t="s">
        <v>20</v>
      </c>
      <c r="J342" s="74" t="s">
        <v>33</v>
      </c>
      <c r="K342" s="70" t="s">
        <v>20</v>
      </c>
      <c r="L342" s="70" t="s">
        <v>25</v>
      </c>
      <c r="M342" s="70" t="s">
        <v>20</v>
      </c>
      <c r="N342" s="69" t="s">
        <v>122</v>
      </c>
      <c r="O342" s="70">
        <v>403.19</v>
      </c>
      <c r="P342" s="70">
        <v>1</v>
      </c>
      <c r="Q342" s="75">
        <f>O:O*P:P</f>
        <v>403.19</v>
      </c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45">
      <c r="A343" s="70" t="s">
        <v>66</v>
      </c>
      <c r="B343" s="70">
        <v>829477</v>
      </c>
      <c r="C343" s="76">
        <v>42345</v>
      </c>
      <c r="D343" s="79" t="s">
        <v>290</v>
      </c>
      <c r="E343" s="70"/>
      <c r="F343" s="70" t="s">
        <v>1</v>
      </c>
      <c r="G343" s="70" t="s">
        <v>23</v>
      </c>
      <c r="H343" s="70" t="s">
        <v>121</v>
      </c>
      <c r="I343" s="70" t="str">
        <f t="shared" si="80"/>
        <v>Yes</v>
      </c>
      <c r="J343" s="74" t="str">
        <f t="shared" si="81"/>
        <v>Yes</v>
      </c>
      <c r="K343" s="70" t="str">
        <f t="shared" si="82"/>
        <v>Yes</v>
      </c>
      <c r="L343" s="70" t="str">
        <f t="shared" si="83"/>
        <v>grassfed</v>
      </c>
      <c r="M343" s="70" t="str">
        <f t="shared" si="84"/>
        <v>Yes</v>
      </c>
      <c r="N343" s="69" t="str">
        <f t="shared" si="85"/>
        <v>F2F &amp; grassfed</v>
      </c>
      <c r="O343" s="70">
        <v>1175.4000000000001</v>
      </c>
      <c r="P343" s="70">
        <v>1</v>
      </c>
      <c r="Q343" s="75">
        <f>O:O*P:P</f>
        <v>1175.4000000000001</v>
      </c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45">
      <c r="A344" s="70" t="s">
        <v>66</v>
      </c>
      <c r="B344" s="70">
        <v>831317</v>
      </c>
      <c r="C344" s="76">
        <v>42348</v>
      </c>
      <c r="D344" s="79" t="s">
        <v>290</v>
      </c>
      <c r="E344" s="70"/>
      <c r="F344" s="70" t="s">
        <v>1</v>
      </c>
      <c r="G344" s="70" t="s">
        <v>23</v>
      </c>
      <c r="H344" s="70" t="s">
        <v>121</v>
      </c>
      <c r="I344" s="70" t="str">
        <f t="shared" si="80"/>
        <v>Yes</v>
      </c>
      <c r="J344" s="74" t="str">
        <f t="shared" si="81"/>
        <v>Yes</v>
      </c>
      <c r="K344" s="70" t="str">
        <f t="shared" si="82"/>
        <v>Yes</v>
      </c>
      <c r="L344" s="70" t="str">
        <f t="shared" si="83"/>
        <v>grassfed</v>
      </c>
      <c r="M344" s="70" t="str">
        <f t="shared" si="84"/>
        <v>Yes</v>
      </c>
      <c r="N344" s="69" t="str">
        <f t="shared" si="85"/>
        <v>F2F &amp; grassfed</v>
      </c>
      <c r="O344" s="70">
        <v>3391.8</v>
      </c>
      <c r="P344" s="70">
        <v>1</v>
      </c>
      <c r="Q344" s="75">
        <f>O:O*P:P</f>
        <v>3391.8</v>
      </c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45">
      <c r="A345" s="70" t="s">
        <v>66</v>
      </c>
      <c r="B345" s="70">
        <v>831317</v>
      </c>
      <c r="C345" s="76">
        <v>42348</v>
      </c>
      <c r="D345" s="79" t="s">
        <v>290</v>
      </c>
      <c r="E345" s="70"/>
      <c r="F345" s="70" t="s">
        <v>1</v>
      </c>
      <c r="G345" s="70" t="s">
        <v>148</v>
      </c>
      <c r="H345" s="70" t="s">
        <v>295</v>
      </c>
      <c r="I345" s="70" t="s">
        <v>20</v>
      </c>
      <c r="J345" s="74" t="s">
        <v>33</v>
      </c>
      <c r="K345" s="70" t="s">
        <v>33</v>
      </c>
      <c r="L345" s="70" t="str">
        <f t="shared" si="83"/>
        <v>N/A</v>
      </c>
      <c r="M345" s="70" t="str">
        <f t="shared" si="84"/>
        <v>No</v>
      </c>
      <c r="N345" s="69" t="str">
        <f t="shared" si="85"/>
        <v>N/A</v>
      </c>
      <c r="O345" s="70">
        <v>164</v>
      </c>
      <c r="P345" s="70">
        <v>1</v>
      </c>
      <c r="Q345" s="75">
        <f>O:O*P:P</f>
        <v>164</v>
      </c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45">
      <c r="A346" s="70" t="s">
        <v>28</v>
      </c>
      <c r="B346" s="70">
        <v>659785</v>
      </c>
      <c r="C346" s="76">
        <v>42343</v>
      </c>
      <c r="D346" s="79" t="s">
        <v>290</v>
      </c>
      <c r="E346" s="70"/>
      <c r="F346" s="70" t="s">
        <v>2</v>
      </c>
      <c r="G346" s="70" t="s">
        <v>30</v>
      </c>
      <c r="H346" s="70" t="s">
        <v>282</v>
      </c>
      <c r="I346" s="70" t="str">
        <f t="shared" si="80"/>
        <v>Yes</v>
      </c>
      <c r="J346" s="74" t="str">
        <f t="shared" si="81"/>
        <v>No</v>
      </c>
      <c r="K346" s="70" t="str">
        <f t="shared" si="82"/>
        <v>No</v>
      </c>
      <c r="L346" s="70" t="str">
        <f t="shared" si="83"/>
        <v>N/A</v>
      </c>
      <c r="M346" s="70" t="str">
        <f t="shared" si="84"/>
        <v>No</v>
      </c>
      <c r="N346" s="69" t="str">
        <f t="shared" si="85"/>
        <v>N/A</v>
      </c>
      <c r="O346" s="70">
        <f>91.59+97.59+30.53+48.06+76.59+128.2+43.06+61.05+25.35+92.36+88.05+129.84</f>
        <v>912.27</v>
      </c>
      <c r="P346" s="70">
        <v>1</v>
      </c>
      <c r="Q346" s="75">
        <f>O:O*P:P</f>
        <v>912.27</v>
      </c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45">
      <c r="A347" s="70" t="s">
        <v>28</v>
      </c>
      <c r="B347" s="70">
        <v>659785</v>
      </c>
      <c r="C347" s="76">
        <v>42343</v>
      </c>
      <c r="D347" s="79" t="s">
        <v>290</v>
      </c>
      <c r="E347" s="70"/>
      <c r="F347" s="70" t="s">
        <v>265</v>
      </c>
      <c r="G347" s="70" t="s">
        <v>34</v>
      </c>
      <c r="H347" s="70" t="s">
        <v>271</v>
      </c>
      <c r="I347" s="70" t="str">
        <f t="shared" si="80"/>
        <v>Yes</v>
      </c>
      <c r="J347" s="74" t="s">
        <v>20</v>
      </c>
      <c r="K347" s="70" t="s">
        <v>33</v>
      </c>
      <c r="L347" s="70" t="str">
        <f t="shared" si="83"/>
        <v>N/A</v>
      </c>
      <c r="M347" s="70" t="str">
        <f t="shared" si="84"/>
        <v>No</v>
      </c>
      <c r="N347" s="69" t="str">
        <f t="shared" si="85"/>
        <v>N/A</v>
      </c>
      <c r="O347" s="70">
        <f>220.14+110.07</f>
        <v>330.21</v>
      </c>
      <c r="P347" s="70">
        <v>1</v>
      </c>
      <c r="Q347" s="75">
        <f>O:O*P:P</f>
        <v>330.21</v>
      </c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45">
      <c r="A348" s="70" t="s">
        <v>28</v>
      </c>
      <c r="B348" s="70">
        <v>658909</v>
      </c>
      <c r="C348" s="76">
        <v>42342</v>
      </c>
      <c r="D348" s="79" t="s">
        <v>290</v>
      </c>
      <c r="E348" s="70"/>
      <c r="F348" s="70" t="s">
        <v>2</v>
      </c>
      <c r="G348" s="70" t="s">
        <v>30</v>
      </c>
      <c r="H348" s="70" t="s">
        <v>296</v>
      </c>
      <c r="I348" s="70" t="str">
        <f t="shared" si="80"/>
        <v>Yes</v>
      </c>
      <c r="J348" s="74" t="str">
        <f t="shared" si="81"/>
        <v>No</v>
      </c>
      <c r="K348" s="70" t="str">
        <f t="shared" si="82"/>
        <v>No</v>
      </c>
      <c r="L348" s="70" t="str">
        <f t="shared" si="83"/>
        <v>N/A</v>
      </c>
      <c r="M348" s="70" t="str">
        <f t="shared" si="84"/>
        <v>No</v>
      </c>
      <c r="N348" s="69" t="str">
        <f t="shared" si="85"/>
        <v>N/A</v>
      </c>
      <c r="O348" s="70">
        <v>186.75</v>
      </c>
      <c r="P348" s="70">
        <v>1</v>
      </c>
      <c r="Q348" s="75">
        <f>O:O*P:P</f>
        <v>186.75</v>
      </c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45">
      <c r="A349" s="70" t="s">
        <v>28</v>
      </c>
      <c r="B349" s="70">
        <v>663287</v>
      </c>
      <c r="C349" s="76">
        <v>42347</v>
      </c>
      <c r="D349" s="79" t="s">
        <v>290</v>
      </c>
      <c r="E349" s="70"/>
      <c r="F349" s="70" t="s">
        <v>2</v>
      </c>
      <c r="G349" s="70" t="s">
        <v>30</v>
      </c>
      <c r="H349" s="70" t="s">
        <v>286</v>
      </c>
      <c r="I349" s="70" t="str">
        <f t="shared" si="80"/>
        <v>Yes</v>
      </c>
      <c r="J349" s="74" t="str">
        <f t="shared" si="81"/>
        <v>No</v>
      </c>
      <c r="K349" s="70" t="str">
        <f t="shared" si="82"/>
        <v>No</v>
      </c>
      <c r="L349" s="70" t="str">
        <f t="shared" si="83"/>
        <v>N/A</v>
      </c>
      <c r="M349" s="70" t="str">
        <f t="shared" si="84"/>
        <v>No</v>
      </c>
      <c r="N349" s="69" t="str">
        <f t="shared" si="85"/>
        <v>N/A</v>
      </c>
      <c r="O349" s="70">
        <f>92.67+92.67+89.67+188+25.06+70.75+68.28+61.05+170.8+240.4+260.4+117.4+53.5</f>
        <v>1530.65</v>
      </c>
      <c r="P349" s="70"/>
      <c r="Q349" s="75">
        <f>O:O*P:P</f>
        <v>0</v>
      </c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45">
      <c r="A350" s="70" t="s">
        <v>28</v>
      </c>
      <c r="B350" s="70">
        <v>664371</v>
      </c>
      <c r="C350" s="76">
        <v>42348</v>
      </c>
      <c r="D350" s="79" t="s">
        <v>290</v>
      </c>
      <c r="E350" s="70"/>
      <c r="F350" s="70" t="s">
        <v>2</v>
      </c>
      <c r="G350" s="70" t="s">
        <v>30</v>
      </c>
      <c r="H350" s="70" t="s">
        <v>297</v>
      </c>
      <c r="I350" s="70" t="str">
        <f t="shared" si="80"/>
        <v>Yes</v>
      </c>
      <c r="J350" s="74" t="str">
        <f t="shared" si="81"/>
        <v>No</v>
      </c>
      <c r="K350" s="70" t="str">
        <f t="shared" si="82"/>
        <v>No</v>
      </c>
      <c r="L350" s="70" t="str">
        <f t="shared" si="83"/>
        <v>N/A</v>
      </c>
      <c r="M350" s="70" t="str">
        <f t="shared" si="84"/>
        <v>No</v>
      </c>
      <c r="N350" s="69" t="str">
        <f t="shared" si="85"/>
        <v>N/A</v>
      </c>
      <c r="O350" s="70">
        <f>22.76+80.25</f>
        <v>103.01</v>
      </c>
      <c r="P350" s="70">
        <v>1</v>
      </c>
      <c r="Q350" s="75">
        <f>O:O*P:P</f>
        <v>103.01</v>
      </c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45">
      <c r="A351" s="70" t="s">
        <v>28</v>
      </c>
      <c r="B351" s="70">
        <v>664371</v>
      </c>
      <c r="C351" s="76">
        <v>42348</v>
      </c>
      <c r="D351" s="79" t="s">
        <v>290</v>
      </c>
      <c r="E351" s="70"/>
      <c r="F351" s="70" t="s">
        <v>265</v>
      </c>
      <c r="G351" s="70" t="s">
        <v>34</v>
      </c>
      <c r="H351" s="70" t="s">
        <v>271</v>
      </c>
      <c r="I351" s="70" t="str">
        <f t="shared" si="80"/>
        <v>Yes</v>
      </c>
      <c r="J351" s="74" t="s">
        <v>20</v>
      </c>
      <c r="K351" s="70" t="s">
        <v>33</v>
      </c>
      <c r="L351" s="70" t="str">
        <f t="shared" si="83"/>
        <v>N/A</v>
      </c>
      <c r="M351" s="70" t="str">
        <f t="shared" si="84"/>
        <v>No</v>
      </c>
      <c r="N351" s="69" t="str">
        <f t="shared" si="85"/>
        <v>N/A</v>
      </c>
      <c r="O351" s="70">
        <v>183.45</v>
      </c>
      <c r="P351" s="70">
        <v>1</v>
      </c>
      <c r="Q351" s="75">
        <f>O:O*P:P</f>
        <v>183.45</v>
      </c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45">
      <c r="A352" s="70" t="s">
        <v>28</v>
      </c>
      <c r="B352" s="70">
        <v>662404</v>
      </c>
      <c r="C352" s="76">
        <v>42346</v>
      </c>
      <c r="D352" s="79" t="s">
        <v>290</v>
      </c>
      <c r="E352" s="70"/>
      <c r="F352" s="70" t="s">
        <v>2</v>
      </c>
      <c r="G352" s="70" t="s">
        <v>30</v>
      </c>
      <c r="H352" s="70" t="s">
        <v>298</v>
      </c>
      <c r="I352" s="70" t="str">
        <f t="shared" si="80"/>
        <v>Yes</v>
      </c>
      <c r="J352" s="74" t="str">
        <f t="shared" si="81"/>
        <v>No</v>
      </c>
      <c r="K352" s="70" t="str">
        <f t="shared" si="82"/>
        <v>No</v>
      </c>
      <c r="L352" s="70" t="str">
        <f t="shared" si="83"/>
        <v>N/A</v>
      </c>
      <c r="M352" s="70" t="str">
        <f t="shared" si="84"/>
        <v>No</v>
      </c>
      <c r="N352" s="69" t="str">
        <f t="shared" si="85"/>
        <v>N/A</v>
      </c>
      <c r="O352" s="70">
        <f>22.76+88.05+67.4</f>
        <v>178.21</v>
      </c>
      <c r="P352" s="70">
        <v>1</v>
      </c>
      <c r="Q352" s="75">
        <f>O:O*P:P</f>
        <v>178.21</v>
      </c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45">
      <c r="A353" s="70" t="s">
        <v>28</v>
      </c>
      <c r="B353" s="70">
        <v>662405</v>
      </c>
      <c r="C353" s="76">
        <v>42346</v>
      </c>
      <c r="D353" s="79" t="s">
        <v>290</v>
      </c>
      <c r="E353" s="70"/>
      <c r="F353" s="70" t="s">
        <v>2</v>
      </c>
      <c r="G353" s="70" t="s">
        <v>30</v>
      </c>
      <c r="H353" s="70" t="s">
        <v>299</v>
      </c>
      <c r="I353" s="70" t="str">
        <f t="shared" si="80"/>
        <v>Yes</v>
      </c>
      <c r="J353" s="74" t="str">
        <f t="shared" si="81"/>
        <v>No</v>
      </c>
      <c r="K353" s="70" t="str">
        <f t="shared" si="82"/>
        <v>No</v>
      </c>
      <c r="L353" s="70" t="str">
        <f t="shared" si="83"/>
        <v>N/A</v>
      </c>
      <c r="M353" s="70" t="str">
        <f t="shared" si="84"/>
        <v>No</v>
      </c>
      <c r="N353" s="69" t="str">
        <f t="shared" si="85"/>
        <v>N/A</v>
      </c>
      <c r="O353" s="70">
        <f>5.91+6.91</f>
        <v>12.82</v>
      </c>
      <c r="P353" s="70">
        <v>1</v>
      </c>
      <c r="Q353" s="75">
        <f>O:O*P:P</f>
        <v>12.82</v>
      </c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45">
      <c r="A354" s="70" t="s">
        <v>28</v>
      </c>
      <c r="B354" s="70">
        <v>658907</v>
      </c>
      <c r="C354" s="76">
        <v>42342</v>
      </c>
      <c r="D354" s="79" t="s">
        <v>290</v>
      </c>
      <c r="E354" s="70"/>
      <c r="F354" s="70" t="s">
        <v>2</v>
      </c>
      <c r="G354" s="70" t="s">
        <v>30</v>
      </c>
      <c r="H354" s="70" t="s">
        <v>286</v>
      </c>
      <c r="I354" s="70" t="str">
        <f t="shared" si="80"/>
        <v>Yes</v>
      </c>
      <c r="J354" s="74" t="str">
        <f t="shared" si="81"/>
        <v>No</v>
      </c>
      <c r="K354" s="70" t="str">
        <f t="shared" si="82"/>
        <v>No</v>
      </c>
      <c r="L354" s="70" t="str">
        <f t="shared" si="83"/>
        <v>N/A</v>
      </c>
      <c r="M354" s="70" t="str">
        <f t="shared" si="84"/>
        <v>No</v>
      </c>
      <c r="N354" s="69" t="str">
        <f t="shared" si="85"/>
        <v>N/A</v>
      </c>
      <c r="O354" s="70">
        <f>91.59+97.59+91.59+271.68+48.06+25.53+58.95+38.82+128.2+64.59+61.05+162.8+126.54+138.54+58.7+82.24+169.76+50.18</f>
        <v>1766.41</v>
      </c>
      <c r="P354" s="70">
        <v>1</v>
      </c>
      <c r="Q354" s="75">
        <f>O:O*P:P</f>
        <v>1766.41</v>
      </c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45">
      <c r="A355" s="70" t="s">
        <v>28</v>
      </c>
      <c r="B355" s="70">
        <v>658907</v>
      </c>
      <c r="C355" s="76">
        <v>42342</v>
      </c>
      <c r="D355" s="79" t="s">
        <v>290</v>
      </c>
      <c r="E355" s="70"/>
      <c r="F355" s="70" t="s">
        <v>265</v>
      </c>
      <c r="G355" s="70" t="s">
        <v>34</v>
      </c>
      <c r="H355" s="70" t="s">
        <v>271</v>
      </c>
      <c r="I355" s="70" t="str">
        <f t="shared" si="80"/>
        <v>Yes</v>
      </c>
      <c r="J355" s="74" t="s">
        <v>20</v>
      </c>
      <c r="K355" s="70" t="s">
        <v>33</v>
      </c>
      <c r="L355" s="70" t="str">
        <f t="shared" si="83"/>
        <v>N/A</v>
      </c>
      <c r="M355" s="70" t="str">
        <f t="shared" si="84"/>
        <v>No</v>
      </c>
      <c r="N355" s="69" t="str">
        <f t="shared" si="85"/>
        <v>N/A</v>
      </c>
      <c r="O355" s="70">
        <f>183.45+366.9</f>
        <v>550.34999999999991</v>
      </c>
      <c r="P355" s="70">
        <v>1</v>
      </c>
      <c r="Q355" s="75">
        <f>O:O*P:P</f>
        <v>550.34999999999991</v>
      </c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45">
      <c r="A356" s="70" t="s">
        <v>28</v>
      </c>
      <c r="B356" s="70">
        <v>661180</v>
      </c>
      <c r="C356" s="76">
        <v>42345</v>
      </c>
      <c r="D356" s="79" t="s">
        <v>290</v>
      </c>
      <c r="E356" s="70"/>
      <c r="F356" s="70" t="s">
        <v>2</v>
      </c>
      <c r="G356" s="70" t="s">
        <v>30</v>
      </c>
      <c r="H356" s="70" t="s">
        <v>300</v>
      </c>
      <c r="I356" s="70" t="str">
        <f t="shared" si="80"/>
        <v>Yes</v>
      </c>
      <c r="J356" s="74" t="str">
        <f t="shared" si="81"/>
        <v>No</v>
      </c>
      <c r="K356" s="70" t="str">
        <f t="shared" si="82"/>
        <v>No</v>
      </c>
      <c r="L356" s="70" t="str">
        <f t="shared" si="83"/>
        <v>N/A</v>
      </c>
      <c r="M356" s="70" t="str">
        <f t="shared" si="84"/>
        <v>No</v>
      </c>
      <c r="N356" s="69" t="str">
        <f t="shared" si="85"/>
        <v>N/A</v>
      </c>
      <c r="O356" s="70">
        <f>30.89+89.67+23.93+39.3+58.29+141.5+22.76+20.35+130.2+26.75</f>
        <v>583.6400000000001</v>
      </c>
      <c r="P356" s="70">
        <v>1</v>
      </c>
      <c r="Q356" s="75">
        <f>O:O*P:P</f>
        <v>583.6400000000001</v>
      </c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45">
      <c r="A357" s="70" t="s">
        <v>28</v>
      </c>
      <c r="B357" s="70">
        <v>662406</v>
      </c>
      <c r="C357" s="76">
        <v>42346</v>
      </c>
      <c r="D357" s="79" t="s">
        <v>290</v>
      </c>
      <c r="E357" s="70"/>
      <c r="F357" s="70" t="s">
        <v>2</v>
      </c>
      <c r="G357" s="70" t="s">
        <v>30</v>
      </c>
      <c r="H357" s="70" t="s">
        <v>286</v>
      </c>
      <c r="I357" s="70" t="str">
        <f t="shared" si="80"/>
        <v>Yes</v>
      </c>
      <c r="J357" s="74" t="str">
        <f t="shared" si="81"/>
        <v>No</v>
      </c>
      <c r="K357" s="70" t="str">
        <f t="shared" si="82"/>
        <v>No</v>
      </c>
      <c r="L357" s="70" t="str">
        <f t="shared" si="83"/>
        <v>N/A</v>
      </c>
      <c r="M357" s="70" t="str">
        <f t="shared" si="84"/>
        <v>No</v>
      </c>
      <c r="N357" s="69" t="str">
        <f t="shared" si="85"/>
        <v>N/A</v>
      </c>
      <c r="O357" s="70">
        <f>30.89+30.89+29.89+595+25.06+98.25+254.7+68.28+61.05+208.32+176.1+80.25</f>
        <v>1658.6799999999996</v>
      </c>
      <c r="P357" s="70"/>
      <c r="Q357" s="75">
        <f>O:O*P:P</f>
        <v>0</v>
      </c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45">
      <c r="A358" s="70" t="s">
        <v>28</v>
      </c>
      <c r="B358" s="70">
        <v>662406</v>
      </c>
      <c r="C358" s="76">
        <v>42346</v>
      </c>
      <c r="D358" s="79" t="s">
        <v>290</v>
      </c>
      <c r="E358" s="70"/>
      <c r="F358" s="70" t="s">
        <v>265</v>
      </c>
      <c r="G358" s="70" t="s">
        <v>34</v>
      </c>
      <c r="H358" s="70" t="s">
        <v>271</v>
      </c>
      <c r="I358" s="70" t="str">
        <f t="shared" si="80"/>
        <v>Yes</v>
      </c>
      <c r="J358" s="74" t="s">
        <v>20</v>
      </c>
      <c r="K358" s="70" t="s">
        <v>33</v>
      </c>
      <c r="L358" s="70" t="str">
        <f t="shared" si="83"/>
        <v>N/A</v>
      </c>
      <c r="M358" s="70" t="str">
        <f t="shared" si="84"/>
        <v>No</v>
      </c>
      <c r="N358" s="69" t="str">
        <f t="shared" si="85"/>
        <v>N/A</v>
      </c>
      <c r="O358" s="70">
        <v>73.38</v>
      </c>
      <c r="P358" s="70">
        <v>1</v>
      </c>
      <c r="Q358" s="75">
        <f>O:O*P:P</f>
        <v>73.38</v>
      </c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45">
      <c r="A359" s="164" t="s">
        <v>499</v>
      </c>
      <c r="B359" s="179">
        <v>792687</v>
      </c>
      <c r="C359" s="164"/>
      <c r="D359" s="164" t="s">
        <v>500</v>
      </c>
      <c r="E359" s="164" t="s">
        <v>501</v>
      </c>
      <c r="F359" s="164" t="s">
        <v>1</v>
      </c>
      <c r="G359" s="164" t="s">
        <v>371</v>
      </c>
      <c r="H359" s="164" t="s">
        <v>502</v>
      </c>
      <c r="I359" s="164" t="s">
        <v>20</v>
      </c>
      <c r="J359" s="143" t="s">
        <v>20</v>
      </c>
      <c r="K359" s="164" t="s">
        <v>20</v>
      </c>
      <c r="L359" s="164" t="s">
        <v>506</v>
      </c>
      <c r="M359" s="1"/>
      <c r="N359" s="45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45">
      <c r="A360" s="164" t="s">
        <v>503</v>
      </c>
      <c r="B360" s="179">
        <v>1281</v>
      </c>
      <c r="C360" s="164"/>
      <c r="D360" s="164" t="s">
        <v>500</v>
      </c>
      <c r="E360" s="164" t="s">
        <v>501</v>
      </c>
      <c r="F360" s="164" t="s">
        <v>70</v>
      </c>
      <c r="G360" s="164" t="s">
        <v>504</v>
      </c>
      <c r="H360" s="164" t="s">
        <v>505</v>
      </c>
      <c r="I360" s="164" t="s">
        <v>33</v>
      </c>
      <c r="J360" s="106" t="s">
        <v>20</v>
      </c>
      <c r="K360" s="164" t="s">
        <v>20</v>
      </c>
      <c r="L360" s="164" t="s">
        <v>398</v>
      </c>
      <c r="M360" s="1"/>
      <c r="N360" s="45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45">
      <c r="A361" s="164" t="s">
        <v>341</v>
      </c>
      <c r="B361" s="179">
        <v>23447</v>
      </c>
      <c r="C361" s="164"/>
      <c r="D361" s="164" t="s">
        <v>500</v>
      </c>
      <c r="E361" s="164" t="s">
        <v>501</v>
      </c>
      <c r="F361" s="164" t="s">
        <v>3</v>
      </c>
      <c r="G361" s="164" t="s">
        <v>341</v>
      </c>
      <c r="H361" s="164" t="s">
        <v>144</v>
      </c>
      <c r="I361" s="164" t="s">
        <v>20</v>
      </c>
      <c r="J361" s="106" t="s">
        <v>33</v>
      </c>
      <c r="K361" s="164" t="s">
        <v>33</v>
      </c>
      <c r="L361" s="164" t="s">
        <v>32</v>
      </c>
      <c r="M361" s="1"/>
      <c r="N361" s="45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45">
      <c r="A362" s="164" t="s">
        <v>507</v>
      </c>
      <c r="B362" s="179">
        <v>1767</v>
      </c>
      <c r="C362" s="164"/>
      <c r="D362" s="164" t="s">
        <v>500</v>
      </c>
      <c r="E362" s="164" t="s">
        <v>501</v>
      </c>
      <c r="F362" s="164" t="s">
        <v>70</v>
      </c>
      <c r="G362" s="164" t="s">
        <v>508</v>
      </c>
      <c r="H362" s="164" t="s">
        <v>509</v>
      </c>
      <c r="I362" s="164" t="s">
        <v>20</v>
      </c>
      <c r="J362" s="106" t="s">
        <v>33</v>
      </c>
      <c r="K362" s="164" t="s">
        <v>33</v>
      </c>
      <c r="L362" s="164" t="s">
        <v>32</v>
      </c>
      <c r="M362" s="1"/>
      <c r="N362" s="45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45">
      <c r="A363" s="164" t="s">
        <v>28</v>
      </c>
      <c r="B363" s="179" t="s">
        <v>510</v>
      </c>
      <c r="C363" s="164"/>
      <c r="D363" s="164" t="s">
        <v>500</v>
      </c>
      <c r="E363" s="164" t="s">
        <v>511</v>
      </c>
      <c r="F363" s="164" t="s">
        <v>3</v>
      </c>
      <c r="G363" s="164" t="s">
        <v>412</v>
      </c>
      <c r="H363" s="164" t="s">
        <v>271</v>
      </c>
      <c r="I363" s="164" t="s">
        <v>20</v>
      </c>
      <c r="J363" s="106" t="s">
        <v>20</v>
      </c>
      <c r="K363" s="164" t="s">
        <v>20</v>
      </c>
      <c r="L363" s="164" t="s">
        <v>512</v>
      </c>
      <c r="M363" s="1"/>
      <c r="N363" s="45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45">
      <c r="A364" s="164" t="s">
        <v>499</v>
      </c>
      <c r="B364" s="179">
        <v>791332</v>
      </c>
      <c r="C364" s="164"/>
      <c r="D364" s="164" t="s">
        <v>500</v>
      </c>
      <c r="E364" s="164" t="s">
        <v>513</v>
      </c>
      <c r="F364" s="164" t="s">
        <v>1</v>
      </c>
      <c r="G364" s="164" t="s">
        <v>514</v>
      </c>
      <c r="H364" s="164" t="s">
        <v>502</v>
      </c>
      <c r="I364" s="164" t="s">
        <v>20</v>
      </c>
      <c r="J364" s="106" t="s">
        <v>20</v>
      </c>
      <c r="K364" s="164" t="s">
        <v>20</v>
      </c>
      <c r="L364" s="164" t="s">
        <v>506</v>
      </c>
      <c r="M364" s="1"/>
      <c r="N364" s="45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45">
      <c r="A365" s="164" t="s">
        <v>499</v>
      </c>
      <c r="B365" s="165" t="s">
        <v>515</v>
      </c>
      <c r="C365" s="164"/>
      <c r="D365" s="164" t="s">
        <v>500</v>
      </c>
      <c r="E365" s="164" t="s">
        <v>516</v>
      </c>
      <c r="F365" s="164" t="s">
        <v>1</v>
      </c>
      <c r="G365" s="164" t="s">
        <v>514</v>
      </c>
      <c r="H365" s="164" t="s">
        <v>502</v>
      </c>
      <c r="I365" s="164" t="s">
        <v>20</v>
      </c>
      <c r="J365" s="106" t="s">
        <v>20</v>
      </c>
      <c r="K365" s="164" t="s">
        <v>20</v>
      </c>
      <c r="L365" s="164" t="s">
        <v>506</v>
      </c>
      <c r="M365" s="1"/>
      <c r="N365" s="45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45">
      <c r="A366" s="164" t="s">
        <v>28</v>
      </c>
      <c r="B366" s="180" t="s">
        <v>517</v>
      </c>
      <c r="C366" s="164"/>
      <c r="D366" s="164" t="s">
        <v>500</v>
      </c>
      <c r="E366" s="164" t="s">
        <v>516</v>
      </c>
      <c r="F366" s="164" t="s">
        <v>3</v>
      </c>
      <c r="G366" s="164" t="s">
        <v>412</v>
      </c>
      <c r="H366" s="164" t="s">
        <v>271</v>
      </c>
      <c r="I366" s="164" t="s">
        <v>20</v>
      </c>
      <c r="J366" s="106" t="s">
        <v>33</v>
      </c>
      <c r="K366" s="164" t="s">
        <v>33</v>
      </c>
      <c r="L366" s="164" t="s">
        <v>32</v>
      </c>
      <c r="M366" s="1"/>
      <c r="N366" s="45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45">
      <c r="A367" s="164" t="s">
        <v>499</v>
      </c>
      <c r="B367" s="180" t="s">
        <v>518</v>
      </c>
      <c r="C367" s="164"/>
      <c r="D367" s="164" t="s">
        <v>519</v>
      </c>
      <c r="E367" s="164" t="s">
        <v>501</v>
      </c>
      <c r="F367" s="164" t="s">
        <v>1</v>
      </c>
      <c r="G367" s="164" t="s">
        <v>514</v>
      </c>
      <c r="H367" s="164" t="s">
        <v>502</v>
      </c>
      <c r="I367" s="164" t="s">
        <v>20</v>
      </c>
      <c r="J367" s="106" t="s">
        <v>20</v>
      </c>
      <c r="K367" s="164" t="s">
        <v>20</v>
      </c>
      <c r="L367" s="164" t="s">
        <v>506</v>
      </c>
      <c r="M367" s="1"/>
      <c r="N367" s="45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45">
      <c r="A368" s="164" t="s">
        <v>28</v>
      </c>
      <c r="B368" s="179" t="s">
        <v>520</v>
      </c>
      <c r="C368" s="164"/>
      <c r="D368" s="164" t="s">
        <v>519</v>
      </c>
      <c r="E368" s="164" t="s">
        <v>511</v>
      </c>
      <c r="F368" s="164" t="s">
        <v>3</v>
      </c>
      <c r="G368" s="164" t="s">
        <v>412</v>
      </c>
      <c r="H368" s="164" t="s">
        <v>271</v>
      </c>
      <c r="I368" s="164" t="s">
        <v>20</v>
      </c>
      <c r="J368" s="106" t="s">
        <v>33</v>
      </c>
      <c r="K368" s="164" t="s">
        <v>33</v>
      </c>
      <c r="L368" s="164" t="s">
        <v>32</v>
      </c>
      <c r="M368" s="1"/>
      <c r="N368" s="45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45">
      <c r="A369" s="164" t="s">
        <v>499</v>
      </c>
      <c r="B369" s="165" t="s">
        <v>521</v>
      </c>
      <c r="C369" s="164"/>
      <c r="D369" s="164" t="s">
        <v>519</v>
      </c>
      <c r="E369" s="164" t="s">
        <v>516</v>
      </c>
      <c r="F369" s="164" t="s">
        <v>1</v>
      </c>
      <c r="G369" s="164" t="s">
        <v>514</v>
      </c>
      <c r="H369" s="164" t="s">
        <v>502</v>
      </c>
      <c r="I369" s="164" t="s">
        <v>20</v>
      </c>
      <c r="J369" s="106" t="s">
        <v>20</v>
      </c>
      <c r="K369" s="164" t="s">
        <v>20</v>
      </c>
      <c r="L369" s="164" t="s">
        <v>506</v>
      </c>
      <c r="M369" s="1"/>
      <c r="N369" s="45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45">
      <c r="A370" s="164" t="s">
        <v>28</v>
      </c>
      <c r="B370" s="179" t="s">
        <v>522</v>
      </c>
      <c r="C370" s="164"/>
      <c r="D370" s="164" t="s">
        <v>519</v>
      </c>
      <c r="E370" s="164" t="s">
        <v>516</v>
      </c>
      <c r="F370" s="164" t="s">
        <v>3</v>
      </c>
      <c r="G370" s="164" t="s">
        <v>412</v>
      </c>
      <c r="H370" s="164" t="s">
        <v>271</v>
      </c>
      <c r="I370" s="164" t="s">
        <v>20</v>
      </c>
      <c r="J370" s="106" t="s">
        <v>33</v>
      </c>
      <c r="K370" s="164" t="s">
        <v>33</v>
      </c>
      <c r="L370" s="164" t="s">
        <v>32</v>
      </c>
      <c r="M370" s="1"/>
      <c r="N370" s="45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45">
      <c r="A371" s="167" t="s">
        <v>66</v>
      </c>
      <c r="B371" s="168">
        <v>789538</v>
      </c>
      <c r="C371" s="181">
        <v>42248</v>
      </c>
      <c r="D371" s="167" t="s">
        <v>301</v>
      </c>
      <c r="E371" s="167" t="s">
        <v>523</v>
      </c>
      <c r="F371" s="167" t="s">
        <v>1</v>
      </c>
      <c r="G371" s="167" t="s">
        <v>371</v>
      </c>
      <c r="H371" s="167" t="s">
        <v>121</v>
      </c>
      <c r="I371" s="167" t="s">
        <v>20</v>
      </c>
      <c r="J371" s="144" t="s">
        <v>20</v>
      </c>
      <c r="K371" s="167" t="s">
        <v>20</v>
      </c>
      <c r="L371" s="167" t="s">
        <v>506</v>
      </c>
      <c r="M371" s="1"/>
      <c r="N371" s="45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45">
      <c r="A372" s="167" t="s">
        <v>524</v>
      </c>
      <c r="B372" s="168">
        <v>23367</v>
      </c>
      <c r="C372" s="182">
        <v>42247</v>
      </c>
      <c r="D372" s="167" t="s">
        <v>301</v>
      </c>
      <c r="E372" s="167" t="s">
        <v>523</v>
      </c>
      <c r="F372" s="167" t="s">
        <v>3</v>
      </c>
      <c r="G372" s="167" t="s">
        <v>525</v>
      </c>
      <c r="H372" s="167" t="s">
        <v>144</v>
      </c>
      <c r="I372" s="167" t="s">
        <v>20</v>
      </c>
      <c r="J372" s="144" t="s">
        <v>33</v>
      </c>
      <c r="K372" s="167" t="s">
        <v>33</v>
      </c>
      <c r="L372" s="167" t="s">
        <v>32</v>
      </c>
      <c r="M372" s="1"/>
      <c r="N372" s="45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45">
      <c r="A373" s="167" t="s">
        <v>64</v>
      </c>
      <c r="B373" s="168">
        <v>1485</v>
      </c>
      <c r="C373" s="182">
        <v>42244</v>
      </c>
      <c r="D373" s="167" t="s">
        <v>301</v>
      </c>
      <c r="E373" s="167" t="s">
        <v>523</v>
      </c>
      <c r="F373" s="167" t="s">
        <v>2</v>
      </c>
      <c r="G373" s="167" t="s">
        <v>64</v>
      </c>
      <c r="H373" s="167" t="s">
        <v>289</v>
      </c>
      <c r="I373" s="167" t="s">
        <v>20</v>
      </c>
      <c r="J373" s="144" t="s">
        <v>33</v>
      </c>
      <c r="K373" s="167" t="s">
        <v>33</v>
      </c>
      <c r="L373" s="167" t="s">
        <v>32</v>
      </c>
      <c r="M373" s="1"/>
      <c r="N373" s="45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45">
      <c r="A374" s="167" t="s">
        <v>526</v>
      </c>
      <c r="B374" s="168">
        <v>930998</v>
      </c>
      <c r="C374" s="182">
        <v>42248</v>
      </c>
      <c r="D374" s="167" t="s">
        <v>301</v>
      </c>
      <c r="E374" s="167" t="s">
        <v>523</v>
      </c>
      <c r="F374" s="167" t="s">
        <v>2</v>
      </c>
      <c r="G374" s="167" t="s">
        <v>527</v>
      </c>
      <c r="H374" s="167" t="s">
        <v>289</v>
      </c>
      <c r="I374" s="167" t="s">
        <v>20</v>
      </c>
      <c r="J374" s="144" t="s">
        <v>20</v>
      </c>
      <c r="K374" s="167" t="s">
        <v>20</v>
      </c>
      <c r="L374" s="167" t="s">
        <v>332</v>
      </c>
      <c r="M374" s="1"/>
      <c r="N374" s="45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45">
      <c r="A375" s="167" t="s">
        <v>503</v>
      </c>
      <c r="B375" s="168" t="s">
        <v>528</v>
      </c>
      <c r="C375" s="182">
        <v>42248</v>
      </c>
      <c r="D375" s="167" t="s">
        <v>301</v>
      </c>
      <c r="E375" s="167" t="s">
        <v>523</v>
      </c>
      <c r="F375" s="167" t="s">
        <v>529</v>
      </c>
      <c r="G375" s="167" t="s">
        <v>530</v>
      </c>
      <c r="H375" s="167" t="s">
        <v>191</v>
      </c>
      <c r="I375" s="167" t="s">
        <v>20</v>
      </c>
      <c r="J375" s="144" t="s">
        <v>20</v>
      </c>
      <c r="K375" s="167" t="s">
        <v>20</v>
      </c>
      <c r="L375" s="167" t="s">
        <v>63</v>
      </c>
      <c r="M375" s="1"/>
      <c r="N375" s="45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45">
      <c r="A376" s="167" t="s">
        <v>524</v>
      </c>
      <c r="B376" s="168">
        <v>23406</v>
      </c>
      <c r="C376" s="182">
        <v>42249</v>
      </c>
      <c r="D376" s="167" t="s">
        <v>301</v>
      </c>
      <c r="E376" s="167" t="s">
        <v>523</v>
      </c>
      <c r="F376" s="167" t="s">
        <v>3</v>
      </c>
      <c r="G376" s="167" t="s">
        <v>525</v>
      </c>
      <c r="H376" s="167" t="s">
        <v>144</v>
      </c>
      <c r="I376" s="167" t="s">
        <v>20</v>
      </c>
      <c r="J376" s="144" t="s">
        <v>33</v>
      </c>
      <c r="K376" s="167" t="s">
        <v>33</v>
      </c>
      <c r="L376" s="167" t="s">
        <v>32</v>
      </c>
      <c r="M376" s="1"/>
      <c r="N376" s="45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45">
      <c r="A377" s="167" t="s">
        <v>64</v>
      </c>
      <c r="B377" s="168">
        <v>1507</v>
      </c>
      <c r="C377" s="182">
        <v>42248</v>
      </c>
      <c r="D377" s="167" t="s">
        <v>301</v>
      </c>
      <c r="E377" s="167" t="s">
        <v>523</v>
      </c>
      <c r="F377" s="167" t="s">
        <v>2</v>
      </c>
      <c r="G377" s="167" t="s">
        <v>64</v>
      </c>
      <c r="H377" s="167" t="s">
        <v>289</v>
      </c>
      <c r="I377" s="167" t="s">
        <v>20</v>
      </c>
      <c r="J377" s="144" t="s">
        <v>33</v>
      </c>
      <c r="K377" s="167" t="s">
        <v>33</v>
      </c>
      <c r="L377" s="167" t="s">
        <v>32</v>
      </c>
      <c r="M377" s="1"/>
      <c r="N377" s="45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45">
      <c r="A378" s="167" t="s">
        <v>27</v>
      </c>
      <c r="B378" s="168">
        <v>7967240</v>
      </c>
      <c r="C378" s="182">
        <v>42244</v>
      </c>
      <c r="D378" s="167" t="s">
        <v>301</v>
      </c>
      <c r="E378" s="167" t="s">
        <v>523</v>
      </c>
      <c r="F378" s="167" t="s">
        <v>54</v>
      </c>
      <c r="G378" s="167" t="s">
        <v>27</v>
      </c>
      <c r="H378" s="167" t="s">
        <v>531</v>
      </c>
      <c r="I378" s="167" t="s">
        <v>33</v>
      </c>
      <c r="J378" s="144" t="s">
        <v>20</v>
      </c>
      <c r="K378" s="167" t="s">
        <v>20</v>
      </c>
      <c r="L378" s="167" t="s">
        <v>533</v>
      </c>
      <c r="M378" s="1"/>
      <c r="N378" s="45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45">
      <c r="A379" s="167" t="s">
        <v>27</v>
      </c>
      <c r="B379" s="168">
        <v>79767059</v>
      </c>
      <c r="C379" s="182">
        <v>42244</v>
      </c>
      <c r="D379" s="167" t="s">
        <v>301</v>
      </c>
      <c r="E379" s="167" t="s">
        <v>523</v>
      </c>
      <c r="F379" s="167" t="s">
        <v>54</v>
      </c>
      <c r="G379" s="167" t="s">
        <v>27</v>
      </c>
      <c r="H379" s="167" t="s">
        <v>532</v>
      </c>
      <c r="I379" s="167" t="s">
        <v>33</v>
      </c>
      <c r="J379" s="144" t="s">
        <v>20</v>
      </c>
      <c r="K379" s="167" t="s">
        <v>20</v>
      </c>
      <c r="L379" s="167" t="s">
        <v>533</v>
      </c>
      <c r="M379" s="1"/>
      <c r="N379" s="45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45">
      <c r="A380" s="167" t="s">
        <v>27</v>
      </c>
      <c r="B380" s="168">
        <v>7974033</v>
      </c>
      <c r="C380" s="182">
        <v>42249</v>
      </c>
      <c r="D380" s="167" t="s">
        <v>301</v>
      </c>
      <c r="E380" s="167" t="s">
        <v>523</v>
      </c>
      <c r="F380" s="167" t="s">
        <v>54</v>
      </c>
      <c r="G380" s="167" t="s">
        <v>27</v>
      </c>
      <c r="H380" s="167" t="s">
        <v>534</v>
      </c>
      <c r="I380" s="167" t="s">
        <v>33</v>
      </c>
      <c r="J380" s="144" t="s">
        <v>20</v>
      </c>
      <c r="K380" s="167" t="s">
        <v>20</v>
      </c>
      <c r="L380" s="167" t="s">
        <v>533</v>
      </c>
      <c r="M380" s="1"/>
      <c r="N380" s="45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45">
      <c r="A381" s="167" t="s">
        <v>52</v>
      </c>
      <c r="B381" s="168"/>
      <c r="C381" s="167" t="s">
        <v>535</v>
      </c>
      <c r="D381" s="167" t="s">
        <v>301</v>
      </c>
      <c r="E381" s="167" t="s">
        <v>523</v>
      </c>
      <c r="F381" s="167" t="s">
        <v>54</v>
      </c>
      <c r="G381" s="167" t="s">
        <v>303</v>
      </c>
      <c r="H381" s="167" t="s">
        <v>536</v>
      </c>
      <c r="I381" s="167" t="s">
        <v>33</v>
      </c>
      <c r="J381" s="115" t="s">
        <v>20</v>
      </c>
      <c r="K381" s="167" t="s">
        <v>20</v>
      </c>
      <c r="L381" s="167" t="s">
        <v>537</v>
      </c>
      <c r="M381" s="1"/>
      <c r="N381" s="45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45">
      <c r="A382" s="167" t="s">
        <v>27</v>
      </c>
      <c r="B382" s="168">
        <v>7972949</v>
      </c>
      <c r="C382" s="182">
        <v>42248</v>
      </c>
      <c r="D382" s="167" t="s">
        <v>301</v>
      </c>
      <c r="E382" s="167" t="s">
        <v>523</v>
      </c>
      <c r="F382" s="167" t="s">
        <v>538</v>
      </c>
      <c r="G382" s="167" t="s">
        <v>27</v>
      </c>
      <c r="H382" s="167" t="s">
        <v>539</v>
      </c>
      <c r="I382" s="167" t="s">
        <v>33</v>
      </c>
      <c r="J382" s="118" t="s">
        <v>20</v>
      </c>
      <c r="K382" s="167" t="s">
        <v>20</v>
      </c>
      <c r="L382" s="167" t="s">
        <v>533</v>
      </c>
      <c r="M382" s="1"/>
      <c r="N382" s="45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45">
      <c r="A383" s="167" t="s">
        <v>540</v>
      </c>
      <c r="B383" s="168"/>
      <c r="C383" s="182">
        <v>42244</v>
      </c>
      <c r="D383" s="167" t="s">
        <v>301</v>
      </c>
      <c r="E383" s="167" t="s">
        <v>523</v>
      </c>
      <c r="F383" s="167" t="s">
        <v>4</v>
      </c>
      <c r="G383" s="167" t="s">
        <v>540</v>
      </c>
      <c r="H383" s="167" t="s">
        <v>541</v>
      </c>
      <c r="I383" s="167" t="s">
        <v>33</v>
      </c>
      <c r="J383" s="25" t="s">
        <v>20</v>
      </c>
      <c r="K383" s="167" t="s">
        <v>20</v>
      </c>
      <c r="L383" s="167" t="s">
        <v>63</v>
      </c>
      <c r="M383" s="1"/>
      <c r="N383" s="45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45">
      <c r="A384" s="167" t="s">
        <v>52</v>
      </c>
      <c r="B384" s="168"/>
      <c r="C384" s="167" t="s">
        <v>53</v>
      </c>
      <c r="D384" s="167" t="s">
        <v>61</v>
      </c>
      <c r="E384" s="167" t="s">
        <v>523</v>
      </c>
      <c r="F384" s="167" t="s">
        <v>54</v>
      </c>
      <c r="G384" s="167" t="s">
        <v>55</v>
      </c>
      <c r="H384" s="167" t="s">
        <v>82</v>
      </c>
      <c r="I384" s="167" t="s">
        <v>33</v>
      </c>
      <c r="J384" s="145" t="s">
        <v>20</v>
      </c>
      <c r="K384" s="167" t="s">
        <v>20</v>
      </c>
      <c r="L384" s="167" t="s">
        <v>422</v>
      </c>
      <c r="M384" s="1"/>
      <c r="N384" s="45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45">
      <c r="A385" s="167" t="s">
        <v>150</v>
      </c>
      <c r="B385" s="168"/>
      <c r="C385" s="167" t="s">
        <v>53</v>
      </c>
      <c r="D385" s="167" t="s">
        <v>61</v>
      </c>
      <c r="E385" s="167" t="s">
        <v>523</v>
      </c>
      <c r="F385" s="167" t="s">
        <v>54</v>
      </c>
      <c r="G385" s="167" t="s">
        <v>58</v>
      </c>
      <c r="H385" s="167" t="s">
        <v>258</v>
      </c>
      <c r="I385" s="167" t="s">
        <v>33</v>
      </c>
      <c r="J385" s="145" t="s">
        <v>59</v>
      </c>
      <c r="K385" s="167" t="s">
        <v>59</v>
      </c>
      <c r="L385" s="167" t="s">
        <v>422</v>
      </c>
      <c r="M385" s="1"/>
      <c r="N385" s="45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45">
      <c r="A386" s="167" t="s">
        <v>542</v>
      </c>
      <c r="B386" s="168">
        <v>1755</v>
      </c>
      <c r="C386" s="182">
        <v>42283</v>
      </c>
      <c r="D386" s="167" t="s">
        <v>61</v>
      </c>
      <c r="E386" s="167" t="s">
        <v>523</v>
      </c>
      <c r="F386" s="167" t="s">
        <v>4</v>
      </c>
      <c r="G386" s="167" t="s">
        <v>543</v>
      </c>
      <c r="H386" s="167" t="s">
        <v>191</v>
      </c>
      <c r="I386" s="167" t="s">
        <v>33</v>
      </c>
      <c r="J386" s="145" t="s">
        <v>59</v>
      </c>
      <c r="K386" s="167" t="s">
        <v>59</v>
      </c>
      <c r="L386" s="167" t="s">
        <v>63</v>
      </c>
      <c r="M386" s="1"/>
      <c r="N386" s="45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45">
      <c r="A387" s="167" t="s">
        <v>66</v>
      </c>
      <c r="B387" s="168">
        <v>804329</v>
      </c>
      <c r="C387" s="182">
        <v>42283</v>
      </c>
      <c r="D387" s="167" t="s">
        <v>61</v>
      </c>
      <c r="E387" s="167" t="s">
        <v>523</v>
      </c>
      <c r="F387" s="167" t="s">
        <v>544</v>
      </c>
      <c r="G387" s="167" t="s">
        <v>23</v>
      </c>
      <c r="H387" s="167" t="s">
        <v>545</v>
      </c>
      <c r="I387" s="167" t="s">
        <v>20</v>
      </c>
      <c r="J387" s="145" t="s">
        <v>20</v>
      </c>
      <c r="K387" s="167" t="s">
        <v>20</v>
      </c>
      <c r="L387" s="167" t="s">
        <v>506</v>
      </c>
      <c r="M387" s="1"/>
      <c r="N387" s="45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45">
      <c r="A388" s="167" t="s">
        <v>193</v>
      </c>
      <c r="B388" s="168">
        <v>1687</v>
      </c>
      <c r="C388" s="182">
        <v>42279</v>
      </c>
      <c r="D388" s="167" t="s">
        <v>61</v>
      </c>
      <c r="E388" s="167" t="s">
        <v>523</v>
      </c>
      <c r="F388" s="167" t="s">
        <v>2</v>
      </c>
      <c r="G388" s="167" t="s">
        <v>65</v>
      </c>
      <c r="H388" s="167" t="s">
        <v>289</v>
      </c>
      <c r="I388" s="167" t="s">
        <v>20</v>
      </c>
      <c r="J388" s="145" t="s">
        <v>33</v>
      </c>
      <c r="K388" s="167" t="s">
        <v>33</v>
      </c>
      <c r="L388" s="167" t="s">
        <v>32</v>
      </c>
      <c r="M388" s="1"/>
      <c r="N388" s="45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45">
      <c r="A389" s="167" t="s">
        <v>66</v>
      </c>
      <c r="B389" s="168">
        <v>805377</v>
      </c>
      <c r="C389" s="182">
        <v>42285</v>
      </c>
      <c r="D389" s="167" t="s">
        <v>61</v>
      </c>
      <c r="E389" s="167" t="s">
        <v>523</v>
      </c>
      <c r="F389" s="167" t="s">
        <v>544</v>
      </c>
      <c r="G389" s="167" t="s">
        <v>23</v>
      </c>
      <c r="H389" s="167" t="s">
        <v>546</v>
      </c>
      <c r="I389" s="167" t="s">
        <v>20</v>
      </c>
      <c r="J389" s="145" t="s">
        <v>20</v>
      </c>
      <c r="K389" s="167" t="s">
        <v>20</v>
      </c>
      <c r="L389" s="167" t="s">
        <v>506</v>
      </c>
      <c r="M389" s="1"/>
      <c r="N389" s="45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45">
      <c r="A390" s="167" t="s">
        <v>66</v>
      </c>
      <c r="B390" s="168">
        <v>805377</v>
      </c>
      <c r="C390" s="182">
        <v>42285</v>
      </c>
      <c r="D390" s="167" t="s">
        <v>61</v>
      </c>
      <c r="E390" s="167" t="s">
        <v>523</v>
      </c>
      <c r="F390" s="167" t="s">
        <v>544</v>
      </c>
      <c r="G390" s="167" t="s">
        <v>547</v>
      </c>
      <c r="H390" s="167" t="s">
        <v>121</v>
      </c>
      <c r="I390" s="167" t="s">
        <v>20</v>
      </c>
      <c r="J390" s="145" t="s">
        <v>20</v>
      </c>
      <c r="K390" s="167" t="s">
        <v>20</v>
      </c>
      <c r="L390" s="167" t="s">
        <v>506</v>
      </c>
      <c r="M390" s="1"/>
      <c r="N390" s="45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45">
      <c r="A391" s="167" t="s">
        <v>28</v>
      </c>
      <c r="B391" s="168" t="s">
        <v>548</v>
      </c>
      <c r="C391" s="182">
        <v>42284</v>
      </c>
      <c r="D391" s="167" t="s">
        <v>61</v>
      </c>
      <c r="E391" s="167" t="s">
        <v>523</v>
      </c>
      <c r="F391" s="167" t="s">
        <v>549</v>
      </c>
      <c r="G391" s="167" t="s">
        <v>34</v>
      </c>
      <c r="H391" s="167" t="s">
        <v>86</v>
      </c>
      <c r="I391" s="167" t="s">
        <v>20</v>
      </c>
      <c r="J391" s="145" t="s">
        <v>33</v>
      </c>
      <c r="K391" s="167" t="s">
        <v>33</v>
      </c>
      <c r="L391" s="167" t="s">
        <v>32</v>
      </c>
      <c r="M391" s="1"/>
      <c r="N391" s="45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45">
      <c r="A392" s="167" t="s">
        <v>28</v>
      </c>
      <c r="B392" s="168" t="s">
        <v>550</v>
      </c>
      <c r="C392" s="182">
        <v>42279</v>
      </c>
      <c r="D392" s="167" t="s">
        <v>61</v>
      </c>
      <c r="E392" s="167" t="s">
        <v>523</v>
      </c>
      <c r="F392" s="167" t="s">
        <v>551</v>
      </c>
      <c r="G392" s="167" t="s">
        <v>34</v>
      </c>
      <c r="H392" s="167" t="s">
        <v>552</v>
      </c>
      <c r="I392" s="167" t="s">
        <v>20</v>
      </c>
      <c r="J392" s="145" t="s">
        <v>33</v>
      </c>
      <c r="K392" s="167" t="s">
        <v>33</v>
      </c>
      <c r="L392" s="167" t="s">
        <v>32</v>
      </c>
      <c r="M392" s="1"/>
      <c r="N392" s="45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45">
      <c r="A393" s="167" t="s">
        <v>28</v>
      </c>
      <c r="B393" s="168" t="s">
        <v>553</v>
      </c>
      <c r="C393" s="182">
        <v>42282</v>
      </c>
      <c r="D393" s="167" t="s">
        <v>61</v>
      </c>
      <c r="E393" s="167" t="s">
        <v>523</v>
      </c>
      <c r="F393" s="167" t="s">
        <v>551</v>
      </c>
      <c r="G393" s="167" t="s">
        <v>34</v>
      </c>
      <c r="H393" s="167" t="s">
        <v>552</v>
      </c>
      <c r="I393" s="167" t="s">
        <v>20</v>
      </c>
      <c r="J393" s="145" t="s">
        <v>33</v>
      </c>
      <c r="K393" s="167" t="s">
        <v>33</v>
      </c>
      <c r="L393" s="167" t="s">
        <v>32</v>
      </c>
      <c r="M393" s="1"/>
      <c r="N393" s="45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45">
      <c r="A394" s="167" t="s">
        <v>28</v>
      </c>
      <c r="B394" s="168" t="s">
        <v>554</v>
      </c>
      <c r="C394" s="182">
        <v>42285</v>
      </c>
      <c r="D394" s="167" t="s">
        <v>61</v>
      </c>
      <c r="E394" s="167" t="s">
        <v>523</v>
      </c>
      <c r="F394" s="167" t="s">
        <v>551</v>
      </c>
      <c r="G394" s="167" t="s">
        <v>34</v>
      </c>
      <c r="H394" s="167" t="s">
        <v>45</v>
      </c>
      <c r="I394" s="167" t="s">
        <v>20</v>
      </c>
      <c r="J394" s="145" t="s">
        <v>33</v>
      </c>
      <c r="K394" s="167" t="s">
        <v>33</v>
      </c>
      <c r="L394" s="167" t="s">
        <v>32</v>
      </c>
      <c r="M394" s="1"/>
      <c r="N394" s="45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45">
      <c r="A395" s="167" t="s">
        <v>28</v>
      </c>
      <c r="B395" s="168" t="s">
        <v>555</v>
      </c>
      <c r="C395" s="182">
        <v>42283</v>
      </c>
      <c r="D395" s="167" t="s">
        <v>61</v>
      </c>
      <c r="E395" s="167" t="s">
        <v>523</v>
      </c>
      <c r="F395" s="167" t="s">
        <v>551</v>
      </c>
      <c r="G395" s="167" t="s">
        <v>34</v>
      </c>
      <c r="H395" s="167" t="s">
        <v>202</v>
      </c>
      <c r="I395" s="167" t="s">
        <v>20</v>
      </c>
      <c r="J395" s="145" t="s">
        <v>33</v>
      </c>
      <c r="K395" s="167" t="s">
        <v>33</v>
      </c>
      <c r="L395" s="167" t="s">
        <v>32</v>
      </c>
      <c r="M395" s="1"/>
      <c r="N395" s="45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45">
      <c r="A396" s="167" t="s">
        <v>28</v>
      </c>
      <c r="B396" s="168" t="s">
        <v>555</v>
      </c>
      <c r="C396" s="182">
        <v>42283</v>
      </c>
      <c r="D396" s="167" t="s">
        <v>61</v>
      </c>
      <c r="E396" s="167" t="s">
        <v>523</v>
      </c>
      <c r="F396" s="167" t="s">
        <v>551</v>
      </c>
      <c r="G396" s="167" t="s">
        <v>556</v>
      </c>
      <c r="H396" s="167" t="s">
        <v>557</v>
      </c>
      <c r="I396" s="167" t="s">
        <v>20</v>
      </c>
      <c r="J396" s="145" t="s">
        <v>33</v>
      </c>
      <c r="K396" s="167" t="s">
        <v>33</v>
      </c>
      <c r="L396" s="167" t="s">
        <v>32</v>
      </c>
      <c r="M396" s="1"/>
      <c r="N396" s="45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45">
      <c r="A397" s="167" t="s">
        <v>27</v>
      </c>
      <c r="B397" s="168">
        <v>8033161</v>
      </c>
      <c r="C397" s="182">
        <v>42282</v>
      </c>
      <c r="D397" s="167" t="s">
        <v>61</v>
      </c>
      <c r="E397" s="167" t="s">
        <v>523</v>
      </c>
      <c r="F397" s="167" t="s">
        <v>54</v>
      </c>
      <c r="G397" s="167" t="s">
        <v>97</v>
      </c>
      <c r="H397" s="167" t="s">
        <v>558</v>
      </c>
      <c r="I397" s="167" t="s">
        <v>33</v>
      </c>
      <c r="J397" s="145" t="s">
        <v>20</v>
      </c>
      <c r="K397" s="167" t="s">
        <v>20</v>
      </c>
      <c r="L397" s="167" t="s">
        <v>57</v>
      </c>
      <c r="M397" s="1"/>
      <c r="N397" s="45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45">
      <c r="A398" s="167" t="s">
        <v>27</v>
      </c>
      <c r="B398" s="168">
        <v>8033161</v>
      </c>
      <c r="C398" s="182">
        <v>42282</v>
      </c>
      <c r="D398" s="167" t="s">
        <v>61</v>
      </c>
      <c r="E398" s="167" t="s">
        <v>523</v>
      </c>
      <c r="F398" s="167" t="s">
        <v>54</v>
      </c>
      <c r="G398" s="167" t="s">
        <v>559</v>
      </c>
      <c r="H398" s="167" t="s">
        <v>83</v>
      </c>
      <c r="I398" s="167" t="s">
        <v>20</v>
      </c>
      <c r="J398" s="145" t="s">
        <v>20</v>
      </c>
      <c r="K398" s="167" t="s">
        <v>20</v>
      </c>
      <c r="L398" s="167" t="s">
        <v>57</v>
      </c>
      <c r="M398" s="1"/>
      <c r="N398" s="45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45">
      <c r="A399" s="167" t="s">
        <v>27</v>
      </c>
      <c r="B399" s="168">
        <v>8035503</v>
      </c>
      <c r="C399" s="182">
        <v>42284</v>
      </c>
      <c r="D399" s="167" t="s">
        <v>61</v>
      </c>
      <c r="E399" s="167" t="s">
        <v>523</v>
      </c>
      <c r="F399" s="167" t="s">
        <v>54</v>
      </c>
      <c r="G399" s="167" t="s">
        <v>97</v>
      </c>
      <c r="H399" s="167" t="s">
        <v>560</v>
      </c>
      <c r="I399" s="167" t="s">
        <v>33</v>
      </c>
      <c r="J399" s="145" t="s">
        <v>20</v>
      </c>
      <c r="K399" s="167" t="s">
        <v>20</v>
      </c>
      <c r="L399" s="167" t="s">
        <v>57</v>
      </c>
      <c r="M399" s="1"/>
      <c r="N399" s="45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45">
      <c r="A400" s="167" t="s">
        <v>395</v>
      </c>
      <c r="B400" s="168">
        <v>3449790</v>
      </c>
      <c r="C400" s="182">
        <v>42282</v>
      </c>
      <c r="D400" s="167" t="s">
        <v>61</v>
      </c>
      <c r="E400" s="167" t="s">
        <v>523</v>
      </c>
      <c r="F400" s="167" t="s">
        <v>70</v>
      </c>
      <c r="G400" s="167" t="s">
        <v>561</v>
      </c>
      <c r="H400" s="167" t="s">
        <v>562</v>
      </c>
      <c r="I400" s="167" t="s">
        <v>33</v>
      </c>
      <c r="J400" s="145" t="s">
        <v>20</v>
      </c>
      <c r="K400" s="167" t="s">
        <v>20</v>
      </c>
      <c r="L400" s="167" t="s">
        <v>332</v>
      </c>
      <c r="M400" s="1"/>
      <c r="N400" s="45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45">
      <c r="A401" s="183" t="s">
        <v>378</v>
      </c>
      <c r="B401" s="173">
        <v>23938</v>
      </c>
      <c r="C401" s="184">
        <v>42285</v>
      </c>
      <c r="D401" s="183" t="s">
        <v>563</v>
      </c>
      <c r="E401" s="167" t="s">
        <v>523</v>
      </c>
      <c r="F401" s="183" t="s">
        <v>551</v>
      </c>
      <c r="G401" s="183" t="s">
        <v>564</v>
      </c>
      <c r="H401" s="183" t="s">
        <v>144</v>
      </c>
      <c r="I401" s="167" t="s">
        <v>20</v>
      </c>
      <c r="J401" s="145" t="s">
        <v>33</v>
      </c>
      <c r="K401" s="167" t="s">
        <v>33</v>
      </c>
      <c r="L401" s="167" t="s">
        <v>32</v>
      </c>
      <c r="M401" s="1"/>
      <c r="N401" s="45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45">
      <c r="A402" s="167" t="s">
        <v>64</v>
      </c>
      <c r="B402" s="168"/>
      <c r="C402" s="182">
        <v>42293</v>
      </c>
      <c r="D402" s="167" t="s">
        <v>117</v>
      </c>
      <c r="E402" s="167" t="s">
        <v>523</v>
      </c>
      <c r="F402" s="167" t="s">
        <v>2</v>
      </c>
      <c r="G402" s="167" t="s">
        <v>565</v>
      </c>
      <c r="H402" s="167" t="s">
        <v>566</v>
      </c>
      <c r="I402" s="167" t="s">
        <v>20</v>
      </c>
      <c r="J402" s="145" t="s">
        <v>33</v>
      </c>
      <c r="K402" s="167" t="s">
        <v>33</v>
      </c>
      <c r="L402" s="167" t="s">
        <v>32</v>
      </c>
      <c r="M402" s="1"/>
      <c r="N402" s="45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45">
      <c r="A403" s="167" t="s">
        <v>395</v>
      </c>
      <c r="B403" s="168">
        <v>3464777</v>
      </c>
      <c r="C403" s="182">
        <v>42296</v>
      </c>
      <c r="D403" s="167" t="s">
        <v>117</v>
      </c>
      <c r="E403" s="167" t="s">
        <v>523</v>
      </c>
      <c r="F403" s="167" t="s">
        <v>70</v>
      </c>
      <c r="G403" s="167" t="s">
        <v>561</v>
      </c>
      <c r="H403" s="167" t="s">
        <v>567</v>
      </c>
      <c r="I403" s="167" t="s">
        <v>33</v>
      </c>
      <c r="J403" s="145" t="s">
        <v>20</v>
      </c>
      <c r="K403" s="167" t="s">
        <v>20</v>
      </c>
      <c r="L403" s="167" t="s">
        <v>569</v>
      </c>
      <c r="M403" s="1"/>
      <c r="N403" s="45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45">
      <c r="A404" s="167" t="s">
        <v>66</v>
      </c>
      <c r="B404" s="168">
        <v>810283</v>
      </c>
      <c r="C404" s="182">
        <v>42297</v>
      </c>
      <c r="D404" s="167" t="s">
        <v>117</v>
      </c>
      <c r="E404" s="167" t="s">
        <v>523</v>
      </c>
      <c r="F404" s="167" t="s">
        <v>1</v>
      </c>
      <c r="G404" s="167" t="s">
        <v>23</v>
      </c>
      <c r="H404" s="185" t="s">
        <v>546</v>
      </c>
      <c r="I404" s="167" t="s">
        <v>20</v>
      </c>
      <c r="J404" s="145" t="s">
        <v>20</v>
      </c>
      <c r="K404" s="167" t="s">
        <v>20</v>
      </c>
      <c r="L404" s="167" t="s">
        <v>25</v>
      </c>
      <c r="M404" s="1"/>
      <c r="N404" s="45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45">
      <c r="A405" s="167" t="s">
        <v>27</v>
      </c>
      <c r="B405" s="168">
        <v>8053549</v>
      </c>
      <c r="C405" s="182">
        <v>42293</v>
      </c>
      <c r="D405" s="167" t="s">
        <v>117</v>
      </c>
      <c r="E405" s="167" t="s">
        <v>523</v>
      </c>
      <c r="F405" s="167" t="s">
        <v>54</v>
      </c>
      <c r="G405" s="167" t="s">
        <v>97</v>
      </c>
      <c r="H405" s="167" t="s">
        <v>568</v>
      </c>
      <c r="I405" s="167" t="s">
        <v>33</v>
      </c>
      <c r="J405" s="145" t="s">
        <v>20</v>
      </c>
      <c r="K405" s="167" t="s">
        <v>20</v>
      </c>
      <c r="L405" s="167" t="s">
        <v>57</v>
      </c>
      <c r="M405" s="1"/>
      <c r="N405" s="45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45">
      <c r="A406" s="167" t="s">
        <v>27</v>
      </c>
      <c r="B406" s="168">
        <v>8058651</v>
      </c>
      <c r="C406" s="182">
        <v>42296</v>
      </c>
      <c r="D406" s="167" t="s">
        <v>117</v>
      </c>
      <c r="E406" s="167" t="s">
        <v>523</v>
      </c>
      <c r="F406" s="167" t="s">
        <v>54</v>
      </c>
      <c r="G406" s="167" t="s">
        <v>97</v>
      </c>
      <c r="H406" s="167" t="s">
        <v>568</v>
      </c>
      <c r="I406" s="167" t="s">
        <v>33</v>
      </c>
      <c r="J406" s="145" t="s">
        <v>20</v>
      </c>
      <c r="K406" s="167" t="s">
        <v>20</v>
      </c>
      <c r="L406" s="167" t="s">
        <v>57</v>
      </c>
      <c r="M406" s="1"/>
      <c r="N406" s="45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45">
      <c r="A407" s="167" t="s">
        <v>27</v>
      </c>
      <c r="B407" s="168">
        <v>8058651</v>
      </c>
      <c r="C407" s="182">
        <v>42296</v>
      </c>
      <c r="D407" s="167" t="s">
        <v>117</v>
      </c>
      <c r="E407" s="167" t="s">
        <v>523</v>
      </c>
      <c r="F407" s="167" t="s">
        <v>54</v>
      </c>
      <c r="G407" s="167" t="s">
        <v>570</v>
      </c>
      <c r="H407" s="167" t="s">
        <v>571</v>
      </c>
      <c r="I407" s="167" t="s">
        <v>20</v>
      </c>
      <c r="J407" s="145" t="s">
        <v>20</v>
      </c>
      <c r="K407" s="167" t="s">
        <v>20</v>
      </c>
      <c r="L407" s="167" t="s">
        <v>422</v>
      </c>
      <c r="M407" s="1"/>
      <c r="N407" s="45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45">
      <c r="A408" s="167" t="s">
        <v>27</v>
      </c>
      <c r="B408" s="168">
        <v>8065420</v>
      </c>
      <c r="C408" s="182">
        <v>42299</v>
      </c>
      <c r="D408" s="167" t="s">
        <v>117</v>
      </c>
      <c r="E408" s="167" t="s">
        <v>523</v>
      </c>
      <c r="F408" s="167" t="s">
        <v>54</v>
      </c>
      <c r="G408" s="167" t="s">
        <v>570</v>
      </c>
      <c r="H408" s="167" t="s">
        <v>572</v>
      </c>
      <c r="I408" s="167" t="s">
        <v>20</v>
      </c>
      <c r="J408" s="145" t="s">
        <v>20</v>
      </c>
      <c r="K408" s="167" t="s">
        <v>20</v>
      </c>
      <c r="L408" s="167" t="s">
        <v>422</v>
      </c>
      <c r="M408" s="1"/>
      <c r="N408" s="45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45">
      <c r="A409" s="167" t="s">
        <v>28</v>
      </c>
      <c r="B409" s="168" t="s">
        <v>573</v>
      </c>
      <c r="C409" s="182">
        <v>42293</v>
      </c>
      <c r="D409" s="167" t="s">
        <v>117</v>
      </c>
      <c r="E409" s="167" t="s">
        <v>523</v>
      </c>
      <c r="F409" s="167" t="s">
        <v>3</v>
      </c>
      <c r="G409" s="167" t="s">
        <v>34</v>
      </c>
      <c r="H409" s="167" t="s">
        <v>86</v>
      </c>
      <c r="I409" s="167" t="s">
        <v>20</v>
      </c>
      <c r="J409" s="145" t="s">
        <v>33</v>
      </c>
      <c r="K409" s="167" t="s">
        <v>33</v>
      </c>
      <c r="L409" s="167" t="s">
        <v>32</v>
      </c>
      <c r="M409" s="1"/>
      <c r="N409" s="45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45">
      <c r="A410" s="167" t="s">
        <v>28</v>
      </c>
      <c r="B410" s="168" t="s">
        <v>574</v>
      </c>
      <c r="C410" s="182">
        <v>42298</v>
      </c>
      <c r="D410" s="167" t="s">
        <v>117</v>
      </c>
      <c r="E410" s="167" t="s">
        <v>523</v>
      </c>
      <c r="F410" s="167" t="s">
        <v>3</v>
      </c>
      <c r="G410" s="167" t="s">
        <v>34</v>
      </c>
      <c r="H410" s="167" t="s">
        <v>575</v>
      </c>
      <c r="I410" s="167" t="s">
        <v>20</v>
      </c>
      <c r="J410" s="145" t="s">
        <v>33</v>
      </c>
      <c r="K410" s="167" t="s">
        <v>33</v>
      </c>
      <c r="L410" s="167" t="s">
        <v>32</v>
      </c>
      <c r="M410" s="1"/>
      <c r="N410" s="45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45">
      <c r="A411" s="167" t="s">
        <v>28</v>
      </c>
      <c r="B411" s="168" t="s">
        <v>576</v>
      </c>
      <c r="C411" s="182">
        <v>42299</v>
      </c>
      <c r="D411" s="167" t="s">
        <v>117</v>
      </c>
      <c r="E411" s="167" t="s">
        <v>523</v>
      </c>
      <c r="F411" s="167" t="s">
        <v>3</v>
      </c>
      <c r="G411" s="167" t="s">
        <v>34</v>
      </c>
      <c r="H411" s="167" t="s">
        <v>86</v>
      </c>
      <c r="I411" s="167" t="s">
        <v>20</v>
      </c>
      <c r="J411" s="145" t="s">
        <v>33</v>
      </c>
      <c r="K411" s="167" t="s">
        <v>33</v>
      </c>
      <c r="L411" s="167" t="s">
        <v>32</v>
      </c>
      <c r="M411" s="1"/>
      <c r="N411" s="45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45">
      <c r="A412" s="167" t="s">
        <v>28</v>
      </c>
      <c r="B412" s="168" t="s">
        <v>577</v>
      </c>
      <c r="C412" s="182">
        <v>42297</v>
      </c>
      <c r="D412" s="167" t="s">
        <v>117</v>
      </c>
      <c r="E412" s="167" t="s">
        <v>523</v>
      </c>
      <c r="F412" s="167" t="s">
        <v>3</v>
      </c>
      <c r="G412" s="167" t="s">
        <v>34</v>
      </c>
      <c r="H412" s="167" t="s">
        <v>578</v>
      </c>
      <c r="I412" s="167" t="s">
        <v>20</v>
      </c>
      <c r="J412" s="145" t="s">
        <v>194</v>
      </c>
      <c r="K412" s="167" t="s">
        <v>194</v>
      </c>
      <c r="L412" s="167" t="s">
        <v>32</v>
      </c>
      <c r="M412" s="1"/>
      <c r="N412" s="45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45">
      <c r="A413" s="167" t="s">
        <v>542</v>
      </c>
      <c r="B413" s="168">
        <v>1999</v>
      </c>
      <c r="C413" s="182">
        <v>42297</v>
      </c>
      <c r="D413" s="167" t="s">
        <v>117</v>
      </c>
      <c r="E413" s="167" t="s">
        <v>523</v>
      </c>
      <c r="F413" s="167" t="s">
        <v>4</v>
      </c>
      <c r="G413" s="167" t="s">
        <v>543</v>
      </c>
      <c r="H413" s="167" t="s">
        <v>191</v>
      </c>
      <c r="I413" s="167" t="s">
        <v>33</v>
      </c>
      <c r="J413" s="145" t="s">
        <v>20</v>
      </c>
      <c r="K413" s="167" t="s">
        <v>20</v>
      </c>
      <c r="L413" s="167" t="s">
        <v>374</v>
      </c>
      <c r="M413" s="1"/>
      <c r="N413" s="45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45">
      <c r="A414" s="167" t="s">
        <v>217</v>
      </c>
      <c r="B414" s="168">
        <v>12099</v>
      </c>
      <c r="C414" s="182">
        <v>42296</v>
      </c>
      <c r="D414" s="167" t="s">
        <v>117</v>
      </c>
      <c r="E414" s="167" t="s">
        <v>523</v>
      </c>
      <c r="F414" s="167" t="s">
        <v>2</v>
      </c>
      <c r="G414" s="167" t="s">
        <v>579</v>
      </c>
      <c r="H414" s="167" t="s">
        <v>580</v>
      </c>
      <c r="I414" s="167" t="s">
        <v>20</v>
      </c>
      <c r="J414" s="145" t="s">
        <v>33</v>
      </c>
      <c r="K414" s="167" t="s">
        <v>33</v>
      </c>
      <c r="L414" s="167" t="s">
        <v>32</v>
      </c>
      <c r="M414" s="1"/>
      <c r="N414" s="45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45">
      <c r="A415" s="167" t="s">
        <v>217</v>
      </c>
      <c r="B415" s="168">
        <v>12099</v>
      </c>
      <c r="C415" s="182">
        <v>42296</v>
      </c>
      <c r="D415" s="167" t="s">
        <v>117</v>
      </c>
      <c r="E415" s="167" t="s">
        <v>523</v>
      </c>
      <c r="F415" s="167" t="s">
        <v>2</v>
      </c>
      <c r="G415" s="167" t="s">
        <v>581</v>
      </c>
      <c r="H415" s="167" t="s">
        <v>582</v>
      </c>
      <c r="I415" s="167" t="s">
        <v>20</v>
      </c>
      <c r="J415" s="145" t="s">
        <v>33</v>
      </c>
      <c r="K415" s="167" t="s">
        <v>33</v>
      </c>
      <c r="L415" s="167" t="s">
        <v>32</v>
      </c>
      <c r="M415" s="1"/>
      <c r="N415" s="45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45">
      <c r="A416" s="167" t="s">
        <v>542</v>
      </c>
      <c r="B416" s="168">
        <v>1999</v>
      </c>
      <c r="C416" s="168" t="s">
        <v>583</v>
      </c>
      <c r="D416" s="167" t="s">
        <v>117</v>
      </c>
      <c r="E416" s="167" t="s">
        <v>523</v>
      </c>
      <c r="F416" s="167" t="s">
        <v>4</v>
      </c>
      <c r="G416" s="167" t="s">
        <v>543</v>
      </c>
      <c r="H416" s="167" t="s">
        <v>191</v>
      </c>
      <c r="I416" s="167" t="s">
        <v>33</v>
      </c>
      <c r="J416" s="145" t="s">
        <v>20</v>
      </c>
      <c r="K416" s="167" t="s">
        <v>20</v>
      </c>
      <c r="L416" s="167" t="s">
        <v>587</v>
      </c>
      <c r="M416" s="1"/>
      <c r="N416" s="45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45">
      <c r="A417" s="167" t="s">
        <v>341</v>
      </c>
      <c r="B417" s="168">
        <v>24073</v>
      </c>
      <c r="C417" s="182">
        <v>42296</v>
      </c>
      <c r="D417" s="167" t="s">
        <v>117</v>
      </c>
      <c r="E417" s="167" t="s">
        <v>523</v>
      </c>
      <c r="F417" s="167" t="s">
        <v>3</v>
      </c>
      <c r="G417" s="167" t="s">
        <v>564</v>
      </c>
      <c r="H417" s="167" t="s">
        <v>584</v>
      </c>
      <c r="I417" s="167" t="s">
        <v>20</v>
      </c>
      <c r="J417" s="145" t="s">
        <v>33</v>
      </c>
      <c r="K417" s="167" t="s">
        <v>33</v>
      </c>
      <c r="L417" s="167" t="s">
        <v>32</v>
      </c>
      <c r="M417" s="1"/>
      <c r="N417" s="45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45">
      <c r="A418" s="167" t="s">
        <v>341</v>
      </c>
      <c r="B418" s="168">
        <v>24109</v>
      </c>
      <c r="C418" s="182">
        <v>42298</v>
      </c>
      <c r="D418" s="167" t="s">
        <v>117</v>
      </c>
      <c r="E418" s="167" t="s">
        <v>523</v>
      </c>
      <c r="F418" s="167" t="s">
        <v>3</v>
      </c>
      <c r="G418" s="167" t="s">
        <v>564</v>
      </c>
      <c r="H418" s="167" t="s">
        <v>585</v>
      </c>
      <c r="I418" s="167" t="s">
        <v>20</v>
      </c>
      <c r="J418" s="145" t="s">
        <v>194</v>
      </c>
      <c r="K418" s="167" t="s">
        <v>194</v>
      </c>
      <c r="L418" s="167" t="s">
        <v>32</v>
      </c>
      <c r="M418" s="1"/>
      <c r="N418" s="45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45">
      <c r="A419" s="167" t="s">
        <v>52</v>
      </c>
      <c r="B419" s="168"/>
      <c r="C419" s="167" t="s">
        <v>53</v>
      </c>
      <c r="D419" s="167" t="s">
        <v>117</v>
      </c>
      <c r="E419" s="167" t="s">
        <v>523</v>
      </c>
      <c r="F419" s="167" t="s">
        <v>3</v>
      </c>
      <c r="G419" s="167" t="s">
        <v>171</v>
      </c>
      <c r="H419" s="167" t="s">
        <v>586</v>
      </c>
      <c r="I419" s="167" t="s">
        <v>33</v>
      </c>
      <c r="J419" s="145" t="s">
        <v>20</v>
      </c>
      <c r="K419" s="167" t="s">
        <v>20</v>
      </c>
      <c r="L419" s="167" t="s">
        <v>588</v>
      </c>
      <c r="M419" s="1"/>
      <c r="N419" s="45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45">
      <c r="A420" s="167" t="s">
        <v>52</v>
      </c>
      <c r="B420" s="168"/>
      <c r="C420" s="167" t="s">
        <v>53</v>
      </c>
      <c r="D420" s="167" t="s">
        <v>117</v>
      </c>
      <c r="E420" s="167" t="s">
        <v>523</v>
      </c>
      <c r="F420" s="167" t="s">
        <v>54</v>
      </c>
      <c r="G420" s="167" t="s">
        <v>58</v>
      </c>
      <c r="H420" s="167" t="s">
        <v>173</v>
      </c>
      <c r="I420" s="167" t="s">
        <v>33</v>
      </c>
      <c r="J420" s="92" t="s">
        <v>20</v>
      </c>
      <c r="K420" s="167" t="s">
        <v>20</v>
      </c>
      <c r="L420" s="167" t="s">
        <v>422</v>
      </c>
      <c r="M420" s="1"/>
      <c r="N420" s="45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45">
      <c r="A421" s="167" t="s">
        <v>193</v>
      </c>
      <c r="B421" s="168">
        <v>1761</v>
      </c>
      <c r="C421" s="182">
        <v>42293</v>
      </c>
      <c r="D421" s="167" t="s">
        <v>117</v>
      </c>
      <c r="E421" s="167" t="s">
        <v>523</v>
      </c>
      <c r="F421" s="167" t="s">
        <v>2</v>
      </c>
      <c r="G421" s="167" t="s">
        <v>447</v>
      </c>
      <c r="H421" s="167"/>
      <c r="I421" s="167" t="s">
        <v>20</v>
      </c>
      <c r="J421" s="25" t="s">
        <v>194</v>
      </c>
      <c r="K421" s="167" t="s">
        <v>194</v>
      </c>
      <c r="L421" s="167" t="s">
        <v>589</v>
      </c>
      <c r="M421" s="1"/>
      <c r="N421" s="45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45">
      <c r="A422" s="167" t="s">
        <v>217</v>
      </c>
      <c r="B422" s="168">
        <v>12099</v>
      </c>
      <c r="C422" s="182">
        <v>42296</v>
      </c>
      <c r="D422" s="167" t="s">
        <v>117</v>
      </c>
      <c r="E422" s="167" t="s">
        <v>523</v>
      </c>
      <c r="F422" s="167" t="s">
        <v>2</v>
      </c>
      <c r="G422" s="167" t="s">
        <v>579</v>
      </c>
      <c r="H422" s="167" t="s">
        <v>289</v>
      </c>
      <c r="I422" s="167" t="s">
        <v>20</v>
      </c>
      <c r="J422" s="25" t="s">
        <v>33</v>
      </c>
      <c r="K422" s="167" t="s">
        <v>33</v>
      </c>
      <c r="L422" s="167" t="s">
        <v>589</v>
      </c>
      <c r="M422" s="1"/>
      <c r="N422" s="45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45">
      <c r="A423" s="164" t="s">
        <v>499</v>
      </c>
      <c r="B423" s="165" t="s">
        <v>590</v>
      </c>
      <c r="C423" s="164"/>
      <c r="D423" s="164" t="s">
        <v>591</v>
      </c>
      <c r="E423" s="164" t="s">
        <v>501</v>
      </c>
      <c r="F423" s="164" t="s">
        <v>1</v>
      </c>
      <c r="G423" s="164" t="s">
        <v>514</v>
      </c>
      <c r="H423" s="164" t="s">
        <v>502</v>
      </c>
      <c r="I423" s="164" t="s">
        <v>20</v>
      </c>
      <c r="J423" s="106" t="s">
        <v>20</v>
      </c>
      <c r="K423" s="164" t="s">
        <v>20</v>
      </c>
      <c r="L423" s="164" t="s">
        <v>506</v>
      </c>
      <c r="M423" s="1"/>
      <c r="N423" s="45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45">
      <c r="A424" s="164" t="s">
        <v>28</v>
      </c>
      <c r="B424" s="179">
        <v>632594</v>
      </c>
      <c r="C424" s="164"/>
      <c r="D424" s="164" t="s">
        <v>591</v>
      </c>
      <c r="E424" s="164" t="s">
        <v>511</v>
      </c>
      <c r="F424" s="164" t="s">
        <v>3</v>
      </c>
      <c r="G424" s="164" t="s">
        <v>412</v>
      </c>
      <c r="H424" s="164" t="s">
        <v>271</v>
      </c>
      <c r="I424" s="164" t="s">
        <v>20</v>
      </c>
      <c r="J424" s="106" t="s">
        <v>33</v>
      </c>
      <c r="K424" s="164" t="s">
        <v>33</v>
      </c>
      <c r="L424" s="164" t="s">
        <v>32</v>
      </c>
      <c r="M424" s="1"/>
      <c r="N424" s="45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45">
      <c r="A425" s="164" t="s">
        <v>499</v>
      </c>
      <c r="B425" s="165" t="s">
        <v>592</v>
      </c>
      <c r="C425" s="164"/>
      <c r="D425" s="166" t="s">
        <v>591</v>
      </c>
      <c r="E425" s="164" t="s">
        <v>516</v>
      </c>
      <c r="F425" s="164" t="s">
        <v>1</v>
      </c>
      <c r="G425" s="164" t="s">
        <v>514</v>
      </c>
      <c r="H425" s="164" t="s">
        <v>502</v>
      </c>
      <c r="I425" s="164" t="s">
        <v>20</v>
      </c>
      <c r="J425" s="106" t="s">
        <v>20</v>
      </c>
      <c r="K425" s="164" t="s">
        <v>20</v>
      </c>
      <c r="L425" s="164" t="s">
        <v>506</v>
      </c>
      <c r="M425" s="1"/>
      <c r="N425" s="45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45">
      <c r="A426" s="164" t="s">
        <v>28</v>
      </c>
      <c r="B426" s="179" t="s">
        <v>593</v>
      </c>
      <c r="C426" s="164"/>
      <c r="D426" s="166" t="s">
        <v>591</v>
      </c>
      <c r="E426" s="164" t="s">
        <v>516</v>
      </c>
      <c r="F426" s="164" t="s">
        <v>3</v>
      </c>
      <c r="G426" s="164" t="s">
        <v>412</v>
      </c>
      <c r="H426" s="164" t="s">
        <v>271</v>
      </c>
      <c r="I426" s="164" t="s">
        <v>20</v>
      </c>
      <c r="J426" s="106" t="s">
        <v>33</v>
      </c>
      <c r="K426" s="164" t="s">
        <v>33</v>
      </c>
      <c r="L426" s="164" t="s">
        <v>32</v>
      </c>
      <c r="M426" s="1"/>
      <c r="N426" s="45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45">
      <c r="A427" s="164" t="s">
        <v>499</v>
      </c>
      <c r="B427" s="165">
        <v>815085</v>
      </c>
      <c r="C427" s="164"/>
      <c r="D427" s="166" t="s">
        <v>591</v>
      </c>
      <c r="E427" s="164" t="s">
        <v>513</v>
      </c>
      <c r="F427" s="164" t="s">
        <v>1</v>
      </c>
      <c r="G427" s="164" t="s">
        <v>514</v>
      </c>
      <c r="H427" s="164" t="s">
        <v>502</v>
      </c>
      <c r="I427" s="164" t="s">
        <v>20</v>
      </c>
      <c r="J427" s="106" t="s">
        <v>20</v>
      </c>
      <c r="K427" s="164" t="s">
        <v>20</v>
      </c>
      <c r="L427" s="164" t="s">
        <v>506</v>
      </c>
      <c r="M427" s="1"/>
      <c r="N427" s="45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45">
      <c r="A428" s="164" t="s">
        <v>28</v>
      </c>
      <c r="B428" s="165" t="s">
        <v>594</v>
      </c>
      <c r="C428" s="164"/>
      <c r="D428" s="166" t="s">
        <v>591</v>
      </c>
      <c r="E428" s="164" t="s">
        <v>513</v>
      </c>
      <c r="F428" s="164" t="s">
        <v>3</v>
      </c>
      <c r="G428" s="164" t="s">
        <v>412</v>
      </c>
      <c r="H428" s="164" t="s">
        <v>271</v>
      </c>
      <c r="I428" s="164" t="s">
        <v>20</v>
      </c>
      <c r="J428" s="106" t="s">
        <v>33</v>
      </c>
      <c r="K428" s="164" t="s">
        <v>33</v>
      </c>
      <c r="L428" s="164" t="s">
        <v>32</v>
      </c>
      <c r="M428" s="1"/>
      <c r="N428" s="45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45">
      <c r="A429" s="164" t="s">
        <v>341</v>
      </c>
      <c r="B429" s="179" t="s">
        <v>595</v>
      </c>
      <c r="C429" s="164"/>
      <c r="D429" s="166" t="s">
        <v>591</v>
      </c>
      <c r="E429" s="164" t="s">
        <v>523</v>
      </c>
      <c r="F429" s="164" t="s">
        <v>3</v>
      </c>
      <c r="G429" s="164" t="s">
        <v>341</v>
      </c>
      <c r="H429" s="164" t="s">
        <v>144</v>
      </c>
      <c r="I429" s="164" t="s">
        <v>20</v>
      </c>
      <c r="J429" s="106" t="s">
        <v>33</v>
      </c>
      <c r="K429" s="164" t="s">
        <v>33</v>
      </c>
      <c r="L429" s="164" t="s">
        <v>32</v>
      </c>
      <c r="M429" s="1"/>
      <c r="N429" s="45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45">
      <c r="A430" s="164" t="s">
        <v>499</v>
      </c>
      <c r="B430" s="179">
        <v>816344</v>
      </c>
      <c r="C430" s="164"/>
      <c r="D430" s="166" t="s">
        <v>591</v>
      </c>
      <c r="E430" s="164" t="s">
        <v>523</v>
      </c>
      <c r="F430" s="164" t="s">
        <v>1</v>
      </c>
      <c r="G430" s="164" t="s">
        <v>514</v>
      </c>
      <c r="H430" s="164" t="s">
        <v>502</v>
      </c>
      <c r="I430" s="164" t="s">
        <v>20</v>
      </c>
      <c r="J430" s="106" t="s">
        <v>20</v>
      </c>
      <c r="K430" s="164" t="s">
        <v>20</v>
      </c>
      <c r="L430" s="164" t="s">
        <v>506</v>
      </c>
      <c r="M430" s="1"/>
      <c r="N430" s="45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45">
      <c r="A431" s="164" t="s">
        <v>596</v>
      </c>
      <c r="B431" s="179">
        <v>2261</v>
      </c>
      <c r="C431" s="164"/>
      <c r="D431" s="166" t="s">
        <v>591</v>
      </c>
      <c r="E431" s="164" t="s">
        <v>523</v>
      </c>
      <c r="F431" s="164" t="s">
        <v>597</v>
      </c>
      <c r="G431" s="164" t="s">
        <v>598</v>
      </c>
      <c r="H431" s="164" t="s">
        <v>191</v>
      </c>
      <c r="I431" s="164" t="s">
        <v>33</v>
      </c>
      <c r="J431" s="106" t="s">
        <v>20</v>
      </c>
      <c r="K431" s="164" t="s">
        <v>20</v>
      </c>
      <c r="L431" s="164" t="s">
        <v>374</v>
      </c>
      <c r="M431" s="1"/>
      <c r="N431" s="45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45">
      <c r="A432" s="164" t="s">
        <v>193</v>
      </c>
      <c r="B432" s="179">
        <v>1761</v>
      </c>
      <c r="C432" s="164"/>
      <c r="D432" s="166" t="s">
        <v>591</v>
      </c>
      <c r="E432" s="164" t="s">
        <v>523</v>
      </c>
      <c r="F432" s="164" t="s">
        <v>2</v>
      </c>
      <c r="G432" s="164" t="s">
        <v>447</v>
      </c>
      <c r="H432" s="164" t="s">
        <v>289</v>
      </c>
      <c r="I432" s="164" t="s">
        <v>20</v>
      </c>
      <c r="J432" s="106" t="s">
        <v>33</v>
      </c>
      <c r="K432" s="164" t="s">
        <v>33</v>
      </c>
      <c r="L432" s="164" t="s">
        <v>32</v>
      </c>
      <c r="M432" s="1"/>
      <c r="N432" s="45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45">
      <c r="A433" s="164" t="s">
        <v>599</v>
      </c>
      <c r="B433" s="179">
        <v>6229</v>
      </c>
      <c r="C433" s="164"/>
      <c r="D433" s="166" t="s">
        <v>591</v>
      </c>
      <c r="E433" s="164" t="s">
        <v>523</v>
      </c>
      <c r="F433" s="164" t="s">
        <v>70</v>
      </c>
      <c r="G433" s="164" t="s">
        <v>600</v>
      </c>
      <c r="H433" s="164" t="s">
        <v>601</v>
      </c>
      <c r="I433" s="164" t="s">
        <v>20</v>
      </c>
      <c r="J433" s="106" t="s">
        <v>20</v>
      </c>
      <c r="K433" s="164" t="s">
        <v>20</v>
      </c>
      <c r="L433" s="164" t="s">
        <v>261</v>
      </c>
      <c r="M433" s="1"/>
      <c r="N433" s="45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45">
      <c r="A434" s="164" t="s">
        <v>28</v>
      </c>
      <c r="B434" s="179" t="s">
        <v>602</v>
      </c>
      <c r="C434" s="164"/>
      <c r="D434" s="166" t="s">
        <v>591</v>
      </c>
      <c r="E434" s="164" t="s">
        <v>523</v>
      </c>
      <c r="F434" s="164" t="s">
        <v>3</v>
      </c>
      <c r="G434" s="164" t="s">
        <v>412</v>
      </c>
      <c r="H434" s="164" t="s">
        <v>271</v>
      </c>
      <c r="I434" s="164" t="s">
        <v>20</v>
      </c>
      <c r="J434" s="106" t="s">
        <v>33</v>
      </c>
      <c r="K434" s="164" t="s">
        <v>33</v>
      </c>
      <c r="L434" s="164" t="s">
        <v>32</v>
      </c>
      <c r="M434" s="1"/>
      <c r="N434" s="45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45">
      <c r="A435" s="164" t="s">
        <v>603</v>
      </c>
      <c r="B435" s="165" t="s">
        <v>604</v>
      </c>
      <c r="C435" s="166"/>
      <c r="D435" s="166" t="s">
        <v>605</v>
      </c>
      <c r="E435" s="164" t="s">
        <v>523</v>
      </c>
      <c r="F435" s="164" t="s">
        <v>3</v>
      </c>
      <c r="G435" s="164" t="s">
        <v>606</v>
      </c>
      <c r="H435" s="164" t="s">
        <v>607</v>
      </c>
      <c r="I435" s="164" t="s">
        <v>59</v>
      </c>
      <c r="J435" s="106" t="s">
        <v>194</v>
      </c>
      <c r="K435" s="164" t="s">
        <v>194</v>
      </c>
      <c r="L435" s="164" t="s">
        <v>32</v>
      </c>
      <c r="M435" s="1"/>
      <c r="N435" s="45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45">
      <c r="A436" s="164" t="s">
        <v>603</v>
      </c>
      <c r="B436" s="165" t="s">
        <v>604</v>
      </c>
      <c r="C436" s="166"/>
      <c r="D436" s="166" t="s">
        <v>605</v>
      </c>
      <c r="E436" s="164" t="s">
        <v>523</v>
      </c>
      <c r="F436" s="164" t="s">
        <v>70</v>
      </c>
      <c r="G436" s="164" t="s">
        <v>608</v>
      </c>
      <c r="H436" s="164" t="s">
        <v>609</v>
      </c>
      <c r="I436" s="164" t="s">
        <v>194</v>
      </c>
      <c r="J436" s="106" t="s">
        <v>59</v>
      </c>
      <c r="K436" s="164" t="s">
        <v>59</v>
      </c>
      <c r="L436" s="164" t="s">
        <v>261</v>
      </c>
      <c r="M436" s="1"/>
      <c r="N436" s="45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45">
      <c r="A437" s="164" t="s">
        <v>341</v>
      </c>
      <c r="B437" s="165" t="s">
        <v>610</v>
      </c>
      <c r="C437" s="166"/>
      <c r="D437" s="166" t="s">
        <v>605</v>
      </c>
      <c r="E437" s="164" t="s">
        <v>523</v>
      </c>
      <c r="F437" s="164" t="s">
        <v>3</v>
      </c>
      <c r="G437" s="164" t="s">
        <v>341</v>
      </c>
      <c r="H437" s="164" t="s">
        <v>144</v>
      </c>
      <c r="I437" s="164" t="s">
        <v>59</v>
      </c>
      <c r="J437" s="106" t="s">
        <v>33</v>
      </c>
      <c r="K437" s="164" t="s">
        <v>33</v>
      </c>
      <c r="L437" s="164" t="s">
        <v>32</v>
      </c>
      <c r="M437" s="1"/>
      <c r="N437" s="45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45">
      <c r="A438" s="164" t="s">
        <v>217</v>
      </c>
      <c r="B438" s="165" t="s">
        <v>611</v>
      </c>
      <c r="C438" s="166"/>
      <c r="D438" s="166" t="s">
        <v>605</v>
      </c>
      <c r="E438" s="164" t="s">
        <v>523</v>
      </c>
      <c r="F438" s="164" t="s">
        <v>2</v>
      </c>
      <c r="G438" s="164" t="s">
        <v>612</v>
      </c>
      <c r="H438" s="164" t="s">
        <v>289</v>
      </c>
      <c r="I438" s="164" t="s">
        <v>20</v>
      </c>
      <c r="J438" s="106" t="s">
        <v>471</v>
      </c>
      <c r="K438" s="164" t="s">
        <v>471</v>
      </c>
      <c r="L438" s="164" t="s">
        <v>32</v>
      </c>
      <c r="M438" s="1"/>
      <c r="N438" s="45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45">
      <c r="A439" s="164" t="s">
        <v>217</v>
      </c>
      <c r="B439" s="165" t="s">
        <v>611</v>
      </c>
      <c r="C439" s="166"/>
      <c r="D439" s="166" t="s">
        <v>605</v>
      </c>
      <c r="E439" s="164" t="s">
        <v>523</v>
      </c>
      <c r="F439" s="164" t="s">
        <v>2</v>
      </c>
      <c r="G439" s="164" t="s">
        <v>613</v>
      </c>
      <c r="H439" s="164" t="s">
        <v>289</v>
      </c>
      <c r="I439" s="164" t="s">
        <v>20</v>
      </c>
      <c r="J439" s="106" t="s">
        <v>33</v>
      </c>
      <c r="K439" s="164" t="s">
        <v>33</v>
      </c>
      <c r="L439" s="164" t="s">
        <v>32</v>
      </c>
      <c r="M439" s="1"/>
      <c r="N439" s="45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45">
      <c r="A440" s="164" t="s">
        <v>596</v>
      </c>
      <c r="B440" s="165">
        <v>2373</v>
      </c>
      <c r="C440" s="166"/>
      <c r="D440" s="166" t="s">
        <v>605</v>
      </c>
      <c r="E440" s="164" t="s">
        <v>523</v>
      </c>
      <c r="F440" s="164" t="s">
        <v>597</v>
      </c>
      <c r="G440" s="164" t="s">
        <v>598</v>
      </c>
      <c r="H440" s="164" t="s">
        <v>614</v>
      </c>
      <c r="I440" s="164" t="s">
        <v>194</v>
      </c>
      <c r="J440" s="106" t="s">
        <v>59</v>
      </c>
      <c r="K440" s="164" t="s">
        <v>59</v>
      </c>
      <c r="L440" s="164" t="s">
        <v>374</v>
      </c>
      <c r="M440" s="1"/>
      <c r="N440" s="45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45">
      <c r="A441" s="164" t="s">
        <v>224</v>
      </c>
      <c r="B441" s="165">
        <v>2675</v>
      </c>
      <c r="C441" s="166"/>
      <c r="D441" s="166" t="s">
        <v>605</v>
      </c>
      <c r="E441" s="164" t="s">
        <v>523</v>
      </c>
      <c r="F441" s="164" t="s">
        <v>1</v>
      </c>
      <c r="G441" s="164" t="s">
        <v>615</v>
      </c>
      <c r="H441" s="164" t="s">
        <v>124</v>
      </c>
      <c r="I441" s="164" t="s">
        <v>59</v>
      </c>
      <c r="J441" s="106" t="s">
        <v>59</v>
      </c>
      <c r="K441" s="164" t="s">
        <v>59</v>
      </c>
      <c r="L441" s="164" t="s">
        <v>492</v>
      </c>
      <c r="M441" s="1"/>
      <c r="N441" s="45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45">
      <c r="A442" s="164" t="s">
        <v>499</v>
      </c>
      <c r="B442" s="165" t="s">
        <v>616</v>
      </c>
      <c r="C442" s="166"/>
      <c r="D442" s="166" t="s">
        <v>605</v>
      </c>
      <c r="E442" s="164" t="s">
        <v>523</v>
      </c>
      <c r="F442" s="164" t="s">
        <v>1</v>
      </c>
      <c r="G442" s="164" t="s">
        <v>23</v>
      </c>
      <c r="H442" s="164" t="s">
        <v>121</v>
      </c>
      <c r="I442" s="164" t="s">
        <v>20</v>
      </c>
      <c r="J442" s="106" t="s">
        <v>59</v>
      </c>
      <c r="K442" s="164" t="s">
        <v>59</v>
      </c>
      <c r="L442" s="164" t="s">
        <v>506</v>
      </c>
      <c r="M442" s="1"/>
      <c r="N442" s="45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45">
      <c r="A443" s="164" t="s">
        <v>27</v>
      </c>
      <c r="B443" s="165" t="s">
        <v>617</v>
      </c>
      <c r="C443" s="166"/>
      <c r="D443" s="166" t="s">
        <v>605</v>
      </c>
      <c r="E443" s="164" t="s">
        <v>523</v>
      </c>
      <c r="F443" s="164" t="s">
        <v>1</v>
      </c>
      <c r="G443" s="164" t="s">
        <v>618</v>
      </c>
      <c r="H443" s="164" t="s">
        <v>619</v>
      </c>
      <c r="I443" s="164" t="s">
        <v>194</v>
      </c>
      <c r="J443" s="106" t="s">
        <v>59</v>
      </c>
      <c r="K443" s="164" t="s">
        <v>59</v>
      </c>
      <c r="L443" s="164" t="s">
        <v>620</v>
      </c>
      <c r="M443" s="1"/>
      <c r="N443" s="45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45">
      <c r="A444" s="164" t="s">
        <v>27</v>
      </c>
      <c r="B444" s="165" t="s">
        <v>617</v>
      </c>
      <c r="C444" s="166"/>
      <c r="D444" s="166" t="s">
        <v>605</v>
      </c>
      <c r="E444" s="164" t="s">
        <v>523</v>
      </c>
      <c r="F444" s="164" t="s">
        <v>54</v>
      </c>
      <c r="G444" s="164" t="s">
        <v>621</v>
      </c>
      <c r="H444" s="164" t="s">
        <v>572</v>
      </c>
      <c r="I444" s="164" t="s">
        <v>59</v>
      </c>
      <c r="J444" s="106" t="s">
        <v>59</v>
      </c>
      <c r="K444" s="164" t="s">
        <v>59</v>
      </c>
      <c r="L444" s="164" t="s">
        <v>145</v>
      </c>
      <c r="M444" s="1"/>
      <c r="N444" s="45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45">
      <c r="A445" s="164" t="s">
        <v>28</v>
      </c>
      <c r="B445" s="165" t="s">
        <v>622</v>
      </c>
      <c r="C445" s="166"/>
      <c r="D445" s="166" t="s">
        <v>605</v>
      </c>
      <c r="E445" s="164" t="s">
        <v>523</v>
      </c>
      <c r="F445" s="164" t="s">
        <v>3</v>
      </c>
      <c r="G445" s="164" t="s">
        <v>412</v>
      </c>
      <c r="H445" s="164" t="s">
        <v>271</v>
      </c>
      <c r="I445" s="164" t="s">
        <v>59</v>
      </c>
      <c r="J445" s="106" t="s">
        <v>33</v>
      </c>
      <c r="K445" s="164" t="s">
        <v>33</v>
      </c>
      <c r="L445" s="164" t="s">
        <v>32</v>
      </c>
      <c r="M445" s="1"/>
      <c r="N445" s="45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45">
      <c r="A446" s="164" t="s">
        <v>28</v>
      </c>
      <c r="B446" s="165" t="s">
        <v>622</v>
      </c>
      <c r="C446" s="166"/>
      <c r="D446" s="166" t="s">
        <v>605</v>
      </c>
      <c r="E446" s="164" t="s">
        <v>523</v>
      </c>
      <c r="F446" s="164" t="s">
        <v>289</v>
      </c>
      <c r="G446" s="164" t="s">
        <v>623</v>
      </c>
      <c r="H446" s="164" t="s">
        <v>289</v>
      </c>
      <c r="I446" s="164" t="s">
        <v>59</v>
      </c>
      <c r="J446" s="106" t="s">
        <v>194</v>
      </c>
      <c r="K446" s="164" t="s">
        <v>194</v>
      </c>
      <c r="L446" s="164" t="s">
        <v>32</v>
      </c>
      <c r="M446" s="1"/>
      <c r="N446" s="45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45">
      <c r="A447" s="164" t="s">
        <v>540</v>
      </c>
      <c r="B447" s="165" t="s">
        <v>624</v>
      </c>
      <c r="C447" s="166"/>
      <c r="D447" s="166" t="s">
        <v>625</v>
      </c>
      <c r="E447" s="164" t="s">
        <v>523</v>
      </c>
      <c r="F447" s="164" t="s">
        <v>4</v>
      </c>
      <c r="G447" s="164" t="s">
        <v>626</v>
      </c>
      <c r="H447" s="164" t="s">
        <v>191</v>
      </c>
      <c r="I447" s="164" t="s">
        <v>194</v>
      </c>
      <c r="J447" s="106" t="s">
        <v>59</v>
      </c>
      <c r="K447" s="164" t="s">
        <v>59</v>
      </c>
      <c r="L447" s="164" t="s">
        <v>374</v>
      </c>
      <c r="M447" s="1"/>
      <c r="N447" s="45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45">
      <c r="A448" s="164" t="s">
        <v>603</v>
      </c>
      <c r="B448" s="179">
        <v>3499777</v>
      </c>
      <c r="C448" s="164"/>
      <c r="D448" s="164" t="s">
        <v>627</v>
      </c>
      <c r="E448" s="164" t="s">
        <v>523</v>
      </c>
      <c r="F448" s="164" t="s">
        <v>70</v>
      </c>
      <c r="G448" s="164" t="s">
        <v>561</v>
      </c>
      <c r="H448" s="164" t="s">
        <v>562</v>
      </c>
      <c r="I448" s="164" t="s">
        <v>33</v>
      </c>
      <c r="J448" s="106" t="s">
        <v>20</v>
      </c>
      <c r="K448" s="164" t="s">
        <v>20</v>
      </c>
      <c r="L448" s="164" t="s">
        <v>261</v>
      </c>
      <c r="M448" s="1"/>
      <c r="N448" s="45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45">
      <c r="A449" s="164" t="s">
        <v>499</v>
      </c>
      <c r="B449" s="179" t="s">
        <v>628</v>
      </c>
      <c r="C449" s="164"/>
      <c r="D449" s="164" t="s">
        <v>629</v>
      </c>
      <c r="E449" s="164" t="s">
        <v>523</v>
      </c>
      <c r="F449" s="164" t="s">
        <v>1</v>
      </c>
      <c r="G449" s="164" t="s">
        <v>23</v>
      </c>
      <c r="H449" s="164" t="s">
        <v>630</v>
      </c>
      <c r="I449" s="164" t="s">
        <v>20</v>
      </c>
      <c r="J449" s="106" t="s">
        <v>20</v>
      </c>
      <c r="K449" s="164" t="s">
        <v>20</v>
      </c>
      <c r="L449" s="164" t="s">
        <v>506</v>
      </c>
      <c r="M449" s="1"/>
      <c r="N449" s="45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45">
      <c r="A450" s="164" t="s">
        <v>27</v>
      </c>
      <c r="B450" s="179">
        <v>8108567</v>
      </c>
      <c r="C450" s="164"/>
      <c r="D450" s="164" t="s">
        <v>627</v>
      </c>
      <c r="E450" s="164" t="s">
        <v>523</v>
      </c>
      <c r="F450" s="164" t="s">
        <v>54</v>
      </c>
      <c r="G450" s="164" t="s">
        <v>97</v>
      </c>
      <c r="H450" s="164" t="s">
        <v>631</v>
      </c>
      <c r="I450" s="164" t="s">
        <v>33</v>
      </c>
      <c r="J450" s="106" t="s">
        <v>20</v>
      </c>
      <c r="K450" s="164" t="s">
        <v>20</v>
      </c>
      <c r="L450" s="164" t="s">
        <v>57</v>
      </c>
      <c r="M450" s="1"/>
      <c r="N450" s="45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45">
      <c r="A451" s="164" t="s">
        <v>27</v>
      </c>
      <c r="B451" s="179">
        <v>8108567</v>
      </c>
      <c r="C451" s="164"/>
      <c r="D451" s="164" t="s">
        <v>627</v>
      </c>
      <c r="E451" s="164" t="s">
        <v>523</v>
      </c>
      <c r="F451" s="164" t="s">
        <v>1</v>
      </c>
      <c r="G451" s="164" t="s">
        <v>618</v>
      </c>
      <c r="H451" s="164" t="s">
        <v>619</v>
      </c>
      <c r="I451" s="164" t="s">
        <v>33</v>
      </c>
      <c r="J451" s="106" t="s">
        <v>20</v>
      </c>
      <c r="K451" s="164" t="s">
        <v>20</v>
      </c>
      <c r="L451" s="164" t="s">
        <v>492</v>
      </c>
      <c r="M451" s="1"/>
      <c r="N451" s="45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45">
      <c r="A452" s="164" t="s">
        <v>28</v>
      </c>
      <c r="B452" s="179">
        <v>642225</v>
      </c>
      <c r="C452" s="164"/>
      <c r="D452" s="164" t="s">
        <v>627</v>
      </c>
      <c r="E452" s="164" t="s">
        <v>523</v>
      </c>
      <c r="F452" s="164" t="s">
        <v>3</v>
      </c>
      <c r="G452" s="164" t="s">
        <v>412</v>
      </c>
      <c r="H452" s="164" t="s">
        <v>271</v>
      </c>
      <c r="I452" s="164" t="s">
        <v>20</v>
      </c>
      <c r="J452" s="106" t="s">
        <v>33</v>
      </c>
      <c r="K452" s="164" t="s">
        <v>33</v>
      </c>
      <c r="L452" s="164" t="s">
        <v>32</v>
      </c>
      <c r="M452" s="1"/>
      <c r="N452" s="45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45">
      <c r="A453" s="164" t="s">
        <v>28</v>
      </c>
      <c r="B453" s="179">
        <v>642226</v>
      </c>
      <c r="C453" s="164"/>
      <c r="D453" s="164" t="s">
        <v>627</v>
      </c>
      <c r="E453" s="164" t="s">
        <v>523</v>
      </c>
      <c r="F453" s="164" t="s">
        <v>2</v>
      </c>
      <c r="G453" s="164" t="s">
        <v>623</v>
      </c>
      <c r="H453" s="164" t="s">
        <v>632</v>
      </c>
      <c r="I453" s="164" t="s">
        <v>20</v>
      </c>
      <c r="J453" s="106" t="s">
        <v>33</v>
      </c>
      <c r="K453" s="164" t="s">
        <v>33</v>
      </c>
      <c r="L453" s="164" t="s">
        <v>32</v>
      </c>
      <c r="M453" s="1"/>
      <c r="N453" s="45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45">
      <c r="A454" s="164" t="s">
        <v>224</v>
      </c>
      <c r="B454" s="179">
        <v>2701</v>
      </c>
      <c r="C454" s="164"/>
      <c r="D454" s="164" t="s">
        <v>627</v>
      </c>
      <c r="E454" s="164" t="s">
        <v>523</v>
      </c>
      <c r="F454" s="164" t="s">
        <v>1</v>
      </c>
      <c r="G454" s="164" t="s">
        <v>615</v>
      </c>
      <c r="H454" s="164" t="s">
        <v>633</v>
      </c>
      <c r="I454" s="164" t="s">
        <v>20</v>
      </c>
      <c r="J454" s="106" t="s">
        <v>20</v>
      </c>
      <c r="K454" s="164" t="s">
        <v>20</v>
      </c>
      <c r="L454" s="164" t="s">
        <v>492</v>
      </c>
      <c r="M454" s="1"/>
      <c r="N454" s="45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45">
      <c r="A455" s="164" t="s">
        <v>596</v>
      </c>
      <c r="B455" s="179">
        <v>2502</v>
      </c>
      <c r="C455" s="164"/>
      <c r="D455" s="164" t="s">
        <v>627</v>
      </c>
      <c r="E455" s="164" t="s">
        <v>523</v>
      </c>
      <c r="F455" s="164" t="s">
        <v>597</v>
      </c>
      <c r="G455" s="164" t="s">
        <v>598</v>
      </c>
      <c r="H455" s="164" t="s">
        <v>614</v>
      </c>
      <c r="I455" s="164" t="s">
        <v>33</v>
      </c>
      <c r="J455" s="106" t="s">
        <v>20</v>
      </c>
      <c r="K455" s="164" t="s">
        <v>20</v>
      </c>
      <c r="L455" s="164" t="s">
        <v>374</v>
      </c>
      <c r="M455" s="1"/>
      <c r="N455" s="45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45">
      <c r="A456" s="164" t="s">
        <v>599</v>
      </c>
      <c r="B456" s="179">
        <v>6329</v>
      </c>
      <c r="C456" s="164"/>
      <c r="D456" s="164" t="s">
        <v>627</v>
      </c>
      <c r="E456" s="164" t="s">
        <v>523</v>
      </c>
      <c r="F456" s="164" t="s">
        <v>70</v>
      </c>
      <c r="G456" s="164" t="s">
        <v>600</v>
      </c>
      <c r="H456" s="164" t="s">
        <v>260</v>
      </c>
      <c r="I456" s="164" t="s">
        <v>20</v>
      </c>
      <c r="J456" s="106" t="s">
        <v>33</v>
      </c>
      <c r="K456" s="164" t="s">
        <v>33</v>
      </c>
      <c r="L456" s="164" t="s">
        <v>32</v>
      </c>
      <c r="M456" s="1"/>
      <c r="N456" s="45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45">
      <c r="A457" s="164" t="s">
        <v>341</v>
      </c>
      <c r="B457" s="179">
        <v>24469</v>
      </c>
      <c r="C457" s="164"/>
      <c r="D457" s="164" t="s">
        <v>627</v>
      </c>
      <c r="E457" s="164" t="s">
        <v>523</v>
      </c>
      <c r="F457" s="164" t="s">
        <v>3</v>
      </c>
      <c r="G457" s="164" t="s">
        <v>341</v>
      </c>
      <c r="H457" s="164" t="s">
        <v>144</v>
      </c>
      <c r="I457" s="164" t="s">
        <v>20</v>
      </c>
      <c r="J457" s="106" t="s">
        <v>33</v>
      </c>
      <c r="K457" s="164" t="s">
        <v>33</v>
      </c>
      <c r="L457" s="164" t="s">
        <v>32</v>
      </c>
      <c r="M457" s="1"/>
      <c r="N457" s="45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45">
      <c r="A458" s="164" t="s">
        <v>193</v>
      </c>
      <c r="B458" s="179"/>
      <c r="C458" s="164"/>
      <c r="D458" s="164" t="s">
        <v>627</v>
      </c>
      <c r="E458" s="164" t="s">
        <v>523</v>
      </c>
      <c r="F458" s="164" t="s">
        <v>2</v>
      </c>
      <c r="G458" s="164" t="s">
        <v>447</v>
      </c>
      <c r="H458" s="164" t="s">
        <v>289</v>
      </c>
      <c r="I458" s="164" t="s">
        <v>20</v>
      </c>
      <c r="J458" s="106" t="s">
        <v>33</v>
      </c>
      <c r="K458" s="164" t="s">
        <v>33</v>
      </c>
      <c r="L458" s="164" t="s">
        <v>32</v>
      </c>
      <c r="M458" s="1"/>
      <c r="N458" s="45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45">
      <c r="A459" s="164" t="s">
        <v>66</v>
      </c>
      <c r="B459" s="179">
        <v>818554</v>
      </c>
      <c r="C459" s="164"/>
      <c r="D459" s="164" t="s">
        <v>634</v>
      </c>
      <c r="E459" s="164" t="s">
        <v>501</v>
      </c>
      <c r="F459" s="164" t="s">
        <v>1</v>
      </c>
      <c r="G459" s="164" t="s">
        <v>23</v>
      </c>
      <c r="H459" s="164" t="s">
        <v>121</v>
      </c>
      <c r="I459" s="164" t="s">
        <v>20</v>
      </c>
      <c r="J459" s="106" t="s">
        <v>20</v>
      </c>
      <c r="K459" s="164" t="s">
        <v>20</v>
      </c>
      <c r="L459" s="164" t="s">
        <v>25</v>
      </c>
      <c r="M459" s="1"/>
      <c r="N459" s="45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45">
      <c r="A460" s="164" t="s">
        <v>341</v>
      </c>
      <c r="B460" s="179">
        <v>24391</v>
      </c>
      <c r="C460" s="164"/>
      <c r="D460" s="164" t="s">
        <v>634</v>
      </c>
      <c r="E460" s="164" t="s">
        <v>501</v>
      </c>
      <c r="F460" s="164" t="s">
        <v>3</v>
      </c>
      <c r="G460" s="164" t="s">
        <v>341</v>
      </c>
      <c r="H460" s="164" t="s">
        <v>144</v>
      </c>
      <c r="I460" s="164" t="s">
        <v>20</v>
      </c>
      <c r="J460" s="106" t="s">
        <v>33</v>
      </c>
      <c r="K460" s="164" t="s">
        <v>33</v>
      </c>
      <c r="L460" s="164" t="s">
        <v>32</v>
      </c>
      <c r="M460" s="1"/>
      <c r="N460" s="45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45">
      <c r="A461" s="164" t="s">
        <v>596</v>
      </c>
      <c r="B461" s="179">
        <v>12379</v>
      </c>
      <c r="C461" s="164"/>
      <c r="D461" s="164" t="s">
        <v>634</v>
      </c>
      <c r="E461" s="164" t="s">
        <v>501</v>
      </c>
      <c r="F461" s="164" t="s">
        <v>597</v>
      </c>
      <c r="G461" s="164" t="s">
        <v>598</v>
      </c>
      <c r="H461" s="164" t="s">
        <v>191</v>
      </c>
      <c r="I461" s="164" t="s">
        <v>33</v>
      </c>
      <c r="J461" s="106" t="s">
        <v>59</v>
      </c>
      <c r="K461" s="164" t="s">
        <v>59</v>
      </c>
      <c r="L461" s="164" t="s">
        <v>374</v>
      </c>
      <c r="M461" s="1"/>
      <c r="N461" s="45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45">
      <c r="A462" s="164" t="s">
        <v>28</v>
      </c>
      <c r="B462" s="179" t="s">
        <v>635</v>
      </c>
      <c r="C462" s="164"/>
      <c r="D462" s="164" t="s">
        <v>634</v>
      </c>
      <c r="E462" s="164" t="s">
        <v>511</v>
      </c>
      <c r="F462" s="164" t="s">
        <v>3</v>
      </c>
      <c r="G462" s="164" t="s">
        <v>412</v>
      </c>
      <c r="H462" s="164"/>
      <c r="I462" s="164" t="s">
        <v>20</v>
      </c>
      <c r="J462" s="106" t="s">
        <v>33</v>
      </c>
      <c r="K462" s="164" t="s">
        <v>33</v>
      </c>
      <c r="L462" s="164" t="s">
        <v>32</v>
      </c>
      <c r="M462" s="1"/>
      <c r="N462" s="45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45">
      <c r="A463" s="164" t="s">
        <v>28</v>
      </c>
      <c r="B463" s="179">
        <v>635749</v>
      </c>
      <c r="C463" s="164"/>
      <c r="D463" s="164" t="s">
        <v>634</v>
      </c>
      <c r="E463" s="164" t="s">
        <v>511</v>
      </c>
      <c r="F463" s="164" t="s">
        <v>70</v>
      </c>
      <c r="G463" s="164" t="s">
        <v>636</v>
      </c>
      <c r="H463" s="164" t="s">
        <v>284</v>
      </c>
      <c r="I463" s="164" t="s">
        <v>20</v>
      </c>
      <c r="J463" s="106" t="s">
        <v>33</v>
      </c>
      <c r="K463" s="164" t="s">
        <v>33</v>
      </c>
      <c r="L463" s="164" t="s">
        <v>32</v>
      </c>
      <c r="M463" s="1"/>
      <c r="N463" s="45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45">
      <c r="A464" s="164" t="s">
        <v>217</v>
      </c>
      <c r="B464" s="179">
        <v>12504</v>
      </c>
      <c r="C464" s="164"/>
      <c r="D464" s="164" t="s">
        <v>634</v>
      </c>
      <c r="E464" s="164" t="s">
        <v>511</v>
      </c>
      <c r="F464" s="164" t="s">
        <v>2</v>
      </c>
      <c r="G464" s="164" t="s">
        <v>637</v>
      </c>
      <c r="H464" s="164" t="s">
        <v>289</v>
      </c>
      <c r="I464" s="164" t="s">
        <v>20</v>
      </c>
      <c r="J464" s="106" t="s">
        <v>33</v>
      </c>
      <c r="K464" s="164" t="s">
        <v>33</v>
      </c>
      <c r="L464" s="164" t="s">
        <v>32</v>
      </c>
      <c r="M464" s="1"/>
      <c r="N464" s="45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45">
      <c r="A465" s="164" t="s">
        <v>66</v>
      </c>
      <c r="B465" s="179" t="s">
        <v>638</v>
      </c>
      <c r="C465" s="164"/>
      <c r="D465" s="164" t="s">
        <v>634</v>
      </c>
      <c r="E465" s="164" t="s">
        <v>516</v>
      </c>
      <c r="F465" s="164" t="s">
        <v>1</v>
      </c>
      <c r="G465" s="164" t="s">
        <v>23</v>
      </c>
      <c r="H465" s="164" t="s">
        <v>121</v>
      </c>
      <c r="I465" s="164" t="s">
        <v>20</v>
      </c>
      <c r="J465" s="106" t="s">
        <v>20</v>
      </c>
      <c r="K465" s="164" t="s">
        <v>20</v>
      </c>
      <c r="L465" s="164" t="s">
        <v>506</v>
      </c>
      <c r="M465" s="1"/>
      <c r="N465" s="45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45">
      <c r="A466" s="164" t="s">
        <v>66</v>
      </c>
      <c r="B466" s="179">
        <v>819409</v>
      </c>
      <c r="C466" s="164"/>
      <c r="D466" s="164" t="s">
        <v>634</v>
      </c>
      <c r="E466" s="164" t="s">
        <v>516</v>
      </c>
      <c r="F466" s="164" t="s">
        <v>1</v>
      </c>
      <c r="G466" s="164" t="s">
        <v>120</v>
      </c>
      <c r="H466" s="164" t="s">
        <v>121</v>
      </c>
      <c r="I466" s="164" t="s">
        <v>20</v>
      </c>
      <c r="J466" s="106" t="s">
        <v>20</v>
      </c>
      <c r="K466" s="164" t="s">
        <v>20</v>
      </c>
      <c r="L466" s="164" t="s">
        <v>506</v>
      </c>
      <c r="M466" s="1"/>
      <c r="N466" s="45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45">
      <c r="A467" s="164" t="s">
        <v>28</v>
      </c>
      <c r="B467" s="179">
        <v>637663</v>
      </c>
      <c r="C467" s="164"/>
      <c r="D467" s="164" t="s">
        <v>634</v>
      </c>
      <c r="E467" s="164" t="s">
        <v>516</v>
      </c>
      <c r="F467" s="164" t="s">
        <v>3</v>
      </c>
      <c r="G467" s="164" t="s">
        <v>412</v>
      </c>
      <c r="H467" s="164" t="s">
        <v>271</v>
      </c>
      <c r="I467" s="164" t="s">
        <v>20</v>
      </c>
      <c r="J467" s="106" t="s">
        <v>194</v>
      </c>
      <c r="K467" s="164" t="s">
        <v>194</v>
      </c>
      <c r="L467" s="164" t="s">
        <v>32</v>
      </c>
      <c r="M467" s="1"/>
      <c r="N467" s="45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45">
      <c r="A468" s="164" t="s">
        <v>66</v>
      </c>
      <c r="B468" s="179">
        <v>819807</v>
      </c>
      <c r="C468" s="164"/>
      <c r="D468" s="164" t="s">
        <v>634</v>
      </c>
      <c r="E468" s="164" t="s">
        <v>513</v>
      </c>
      <c r="F468" s="164" t="s">
        <v>1</v>
      </c>
      <c r="G468" s="164" t="s">
        <v>23</v>
      </c>
      <c r="H468" s="164" t="s">
        <v>121</v>
      </c>
      <c r="I468" s="164" t="s">
        <v>20</v>
      </c>
      <c r="J468" s="106" t="s">
        <v>20</v>
      </c>
      <c r="K468" s="164" t="s">
        <v>20</v>
      </c>
      <c r="L468" s="164" t="s">
        <v>506</v>
      </c>
      <c r="M468" s="1"/>
      <c r="N468" s="45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45">
      <c r="A469" s="164" t="s">
        <v>28</v>
      </c>
      <c r="B469" s="179">
        <v>637665</v>
      </c>
      <c r="C469" s="164"/>
      <c r="D469" s="164" t="s">
        <v>634</v>
      </c>
      <c r="E469" s="164" t="s">
        <v>513</v>
      </c>
      <c r="F469" s="164" t="s">
        <v>3</v>
      </c>
      <c r="G469" s="164" t="s">
        <v>412</v>
      </c>
      <c r="H469" s="164" t="s">
        <v>271</v>
      </c>
      <c r="I469" s="164" t="s">
        <v>20</v>
      </c>
      <c r="J469" s="106" t="s">
        <v>194</v>
      </c>
      <c r="K469" s="164" t="s">
        <v>194</v>
      </c>
      <c r="L469" s="164" t="s">
        <v>32</v>
      </c>
      <c r="M469" s="1"/>
      <c r="N469" s="45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45">
      <c r="A470" s="164" t="s">
        <v>66</v>
      </c>
      <c r="B470" s="179">
        <v>820460</v>
      </c>
      <c r="C470" s="164"/>
      <c r="D470" s="164" t="s">
        <v>629</v>
      </c>
      <c r="E470" s="164" t="s">
        <v>516</v>
      </c>
      <c r="F470" s="164" t="s">
        <v>1</v>
      </c>
      <c r="G470" s="164" t="s">
        <v>23</v>
      </c>
      <c r="H470" s="164" t="s">
        <v>121</v>
      </c>
      <c r="I470" s="164" t="s">
        <v>20</v>
      </c>
      <c r="J470" s="106" t="s">
        <v>20</v>
      </c>
      <c r="K470" s="164" t="s">
        <v>20</v>
      </c>
      <c r="L470" s="164" t="s">
        <v>506</v>
      </c>
      <c r="M470" s="1"/>
      <c r="N470" s="45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45">
      <c r="A471" s="164" t="s">
        <v>66</v>
      </c>
      <c r="B471" s="179">
        <v>820460</v>
      </c>
      <c r="C471" s="164"/>
      <c r="D471" s="164" t="s">
        <v>629</v>
      </c>
      <c r="E471" s="164" t="s">
        <v>516</v>
      </c>
      <c r="F471" s="164" t="s">
        <v>1</v>
      </c>
      <c r="G471" s="164" t="s">
        <v>120</v>
      </c>
      <c r="H471" s="164" t="s">
        <v>121</v>
      </c>
      <c r="I471" s="164" t="s">
        <v>20</v>
      </c>
      <c r="J471" s="106" t="s">
        <v>59</v>
      </c>
      <c r="K471" s="164" t="s">
        <v>59</v>
      </c>
      <c r="L471" s="164" t="s">
        <v>506</v>
      </c>
      <c r="M471" s="1"/>
      <c r="N471" s="45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45">
      <c r="A472" s="164" t="s">
        <v>28</v>
      </c>
      <c r="B472" s="179" t="s">
        <v>639</v>
      </c>
      <c r="C472" s="164"/>
      <c r="D472" s="164" t="s">
        <v>629</v>
      </c>
      <c r="E472" s="164" t="s">
        <v>516</v>
      </c>
      <c r="F472" s="164" t="s">
        <v>3</v>
      </c>
      <c r="G472" s="164" t="s">
        <v>412</v>
      </c>
      <c r="H472" s="164" t="s">
        <v>271</v>
      </c>
      <c r="I472" s="164" t="s">
        <v>20</v>
      </c>
      <c r="J472" s="106" t="s">
        <v>33</v>
      </c>
      <c r="K472" s="164" t="s">
        <v>33</v>
      </c>
      <c r="L472" s="164" t="s">
        <v>32</v>
      </c>
      <c r="M472" s="1"/>
      <c r="N472" s="45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45">
      <c r="A473" s="164" t="s">
        <v>341</v>
      </c>
      <c r="B473" s="179" t="s">
        <v>280</v>
      </c>
      <c r="C473" s="164"/>
      <c r="D473" s="164" t="s">
        <v>629</v>
      </c>
      <c r="E473" s="164" t="s">
        <v>501</v>
      </c>
      <c r="F473" s="164" t="s">
        <v>3</v>
      </c>
      <c r="G473" s="164" t="s">
        <v>341</v>
      </c>
      <c r="H473" s="164" t="s">
        <v>291</v>
      </c>
      <c r="I473" s="164" t="s">
        <v>20</v>
      </c>
      <c r="J473" s="106" t="s">
        <v>33</v>
      </c>
      <c r="K473" s="164" t="s">
        <v>33</v>
      </c>
      <c r="L473" s="164" t="s">
        <v>32</v>
      </c>
      <c r="M473" s="1"/>
      <c r="N473" s="45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45">
      <c r="A474" s="164" t="s">
        <v>66</v>
      </c>
      <c r="B474" s="179">
        <v>820538</v>
      </c>
      <c r="C474" s="164"/>
      <c r="D474" s="164" t="s">
        <v>629</v>
      </c>
      <c r="E474" s="164" t="s">
        <v>501</v>
      </c>
      <c r="F474" s="164" t="s">
        <v>1</v>
      </c>
      <c r="G474" s="164" t="s">
        <v>23</v>
      </c>
      <c r="H474" s="164" t="s">
        <v>121</v>
      </c>
      <c r="I474" s="164" t="s">
        <v>20</v>
      </c>
      <c r="J474" s="106" t="s">
        <v>20</v>
      </c>
      <c r="K474" s="164" t="s">
        <v>20</v>
      </c>
      <c r="L474" s="164" t="s">
        <v>506</v>
      </c>
      <c r="M474" s="1"/>
      <c r="N474" s="45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45">
      <c r="A475" s="164" t="s">
        <v>28</v>
      </c>
      <c r="B475" s="179">
        <v>646360</v>
      </c>
      <c r="C475" s="164"/>
      <c r="D475" s="164" t="s">
        <v>629</v>
      </c>
      <c r="E475" s="164" t="s">
        <v>511</v>
      </c>
      <c r="F475" s="164" t="s">
        <v>3</v>
      </c>
      <c r="G475" s="164" t="s">
        <v>412</v>
      </c>
      <c r="H475" s="164" t="s">
        <v>86</v>
      </c>
      <c r="I475" s="164" t="s">
        <v>20</v>
      </c>
      <c r="J475" s="106" t="s">
        <v>33</v>
      </c>
      <c r="K475" s="164" t="s">
        <v>33</v>
      </c>
      <c r="L475" s="164" t="s">
        <v>32</v>
      </c>
      <c r="M475" s="1"/>
      <c r="N475" s="45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45">
      <c r="A476" s="186" t="s">
        <v>341</v>
      </c>
      <c r="B476" s="187" t="s">
        <v>640</v>
      </c>
      <c r="C476" s="186"/>
      <c r="D476" s="186" t="s">
        <v>641</v>
      </c>
      <c r="E476" s="186" t="s">
        <v>642</v>
      </c>
      <c r="F476" s="186" t="s">
        <v>3</v>
      </c>
      <c r="G476" s="186" t="s">
        <v>341</v>
      </c>
      <c r="H476" s="186" t="s">
        <v>144</v>
      </c>
      <c r="I476" s="186" t="s">
        <v>20</v>
      </c>
      <c r="J476" s="186" t="s">
        <v>20</v>
      </c>
      <c r="K476" s="186" t="s">
        <v>20</v>
      </c>
      <c r="L476" s="186" t="s">
        <v>643</v>
      </c>
      <c r="M476" s="1"/>
      <c r="N476" s="45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45">
      <c r="A477" s="186" t="s">
        <v>259</v>
      </c>
      <c r="B477" s="188">
        <v>24424472</v>
      </c>
      <c r="C477" s="186"/>
      <c r="D477" s="186" t="s">
        <v>641</v>
      </c>
      <c r="E477" s="186" t="s">
        <v>642</v>
      </c>
      <c r="F477" s="186" t="s">
        <v>3</v>
      </c>
      <c r="G477" s="186" t="s">
        <v>644</v>
      </c>
      <c r="H477" s="186" t="s">
        <v>271</v>
      </c>
      <c r="I477" s="186" t="s">
        <v>33</v>
      </c>
      <c r="J477" s="186" t="s">
        <v>33</v>
      </c>
      <c r="K477" s="186" t="s">
        <v>20</v>
      </c>
      <c r="L477" s="186" t="s">
        <v>398</v>
      </c>
      <c r="M477" s="1"/>
      <c r="N477" s="45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45">
      <c r="A478" s="186" t="s">
        <v>259</v>
      </c>
      <c r="B478" s="188">
        <v>24424472</v>
      </c>
      <c r="C478" s="186"/>
      <c r="D478" s="186" t="s">
        <v>641</v>
      </c>
      <c r="E478" s="186" t="s">
        <v>642</v>
      </c>
      <c r="F478" s="186" t="s">
        <v>70</v>
      </c>
      <c r="G478" s="186" t="s">
        <v>645</v>
      </c>
      <c r="H478" s="186" t="s">
        <v>646</v>
      </c>
      <c r="I478" s="186" t="s">
        <v>33</v>
      </c>
      <c r="J478" s="186" t="s">
        <v>33</v>
      </c>
      <c r="K478" s="186" t="s">
        <v>20</v>
      </c>
      <c r="L478" s="186" t="s">
        <v>398</v>
      </c>
      <c r="M478" s="1"/>
      <c r="N478" s="45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45">
      <c r="A479" s="186" t="s">
        <v>259</v>
      </c>
      <c r="B479" s="188">
        <v>24424472</v>
      </c>
      <c r="C479" s="186"/>
      <c r="D479" s="186" t="s">
        <v>641</v>
      </c>
      <c r="E479" s="186" t="s">
        <v>642</v>
      </c>
      <c r="F479" s="186" t="s">
        <v>70</v>
      </c>
      <c r="G479" s="186" t="s">
        <v>647</v>
      </c>
      <c r="H479" s="186" t="s">
        <v>648</v>
      </c>
      <c r="I479" s="186" t="s">
        <v>33</v>
      </c>
      <c r="J479" s="186" t="s">
        <v>33</v>
      </c>
      <c r="K479" s="186" t="s">
        <v>20</v>
      </c>
      <c r="L479" s="186" t="s">
        <v>398</v>
      </c>
      <c r="M479" s="1"/>
      <c r="N479" s="45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45">
      <c r="A480" s="106" t="s">
        <v>507</v>
      </c>
      <c r="B480" s="189">
        <v>1760</v>
      </c>
      <c r="C480" s="106"/>
      <c r="D480" s="106" t="s">
        <v>500</v>
      </c>
      <c r="E480" s="106" t="s">
        <v>642</v>
      </c>
      <c r="F480" s="106" t="s">
        <v>70</v>
      </c>
      <c r="G480" s="186" t="s">
        <v>645</v>
      </c>
      <c r="H480" s="186" t="s">
        <v>646</v>
      </c>
      <c r="I480" s="106" t="s">
        <v>20</v>
      </c>
      <c r="J480" s="106" t="s">
        <v>33</v>
      </c>
      <c r="K480" s="106" t="s">
        <v>33</v>
      </c>
      <c r="L480" s="106" t="s">
        <v>261</v>
      </c>
      <c r="M480" s="1"/>
      <c r="N480" s="45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45">
      <c r="A481" s="106" t="s">
        <v>341</v>
      </c>
      <c r="B481" s="190" t="s">
        <v>649</v>
      </c>
      <c r="C481" s="106"/>
      <c r="D481" s="106" t="s">
        <v>500</v>
      </c>
      <c r="E481" s="106" t="s">
        <v>642</v>
      </c>
      <c r="F481" s="106" t="s">
        <v>3</v>
      </c>
      <c r="G481" s="106" t="s">
        <v>341</v>
      </c>
      <c r="H481" s="106" t="s">
        <v>144</v>
      </c>
      <c r="I481" s="106" t="s">
        <v>20</v>
      </c>
      <c r="J481" s="106" t="s">
        <v>20</v>
      </c>
      <c r="K481" s="106" t="s">
        <v>33</v>
      </c>
      <c r="L481" s="106" t="s">
        <v>32</v>
      </c>
      <c r="M481" s="1"/>
      <c r="N481" s="45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45">
      <c r="A482" s="106" t="s">
        <v>259</v>
      </c>
      <c r="B482" s="190" t="s">
        <v>485</v>
      </c>
      <c r="C482" s="106"/>
      <c r="D482" s="106" t="s">
        <v>500</v>
      </c>
      <c r="E482" s="106" t="s">
        <v>642</v>
      </c>
      <c r="F482" s="106" t="s">
        <v>70</v>
      </c>
      <c r="G482" s="106" t="s">
        <v>650</v>
      </c>
      <c r="H482" s="106" t="s">
        <v>651</v>
      </c>
      <c r="I482" s="106" t="s">
        <v>33</v>
      </c>
      <c r="J482" s="106" t="s">
        <v>33</v>
      </c>
      <c r="K482" s="106" t="s">
        <v>20</v>
      </c>
      <c r="L482" s="106" t="s">
        <v>261</v>
      </c>
      <c r="M482" s="1"/>
      <c r="N482" s="45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45">
      <c r="A483" s="106" t="s">
        <v>259</v>
      </c>
      <c r="B483" s="190" t="s">
        <v>485</v>
      </c>
      <c r="C483" s="106"/>
      <c r="D483" s="106" t="s">
        <v>500</v>
      </c>
      <c r="E483" s="106" t="s">
        <v>642</v>
      </c>
      <c r="F483" s="106" t="s">
        <v>70</v>
      </c>
      <c r="G483" s="106" t="s">
        <v>652</v>
      </c>
      <c r="H483" s="106" t="s">
        <v>653</v>
      </c>
      <c r="I483" s="106" t="s">
        <v>33</v>
      </c>
      <c r="J483" s="106" t="s">
        <v>33</v>
      </c>
      <c r="K483" s="106" t="s">
        <v>20</v>
      </c>
      <c r="L483" s="106" t="s">
        <v>261</v>
      </c>
      <c r="M483" s="1"/>
      <c r="N483" s="45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45">
      <c r="A484" s="106" t="s">
        <v>259</v>
      </c>
      <c r="B484" s="190" t="s">
        <v>485</v>
      </c>
      <c r="C484" s="106"/>
      <c r="D484" s="106" t="s">
        <v>500</v>
      </c>
      <c r="E484" s="106" t="s">
        <v>642</v>
      </c>
      <c r="F484" s="106" t="s">
        <v>4</v>
      </c>
      <c r="G484" s="106" t="s">
        <v>449</v>
      </c>
      <c r="H484" s="106" t="s">
        <v>494</v>
      </c>
      <c r="I484" s="106" t="s">
        <v>33</v>
      </c>
      <c r="J484" s="106" t="s">
        <v>33</v>
      </c>
      <c r="K484" s="106" t="s">
        <v>20</v>
      </c>
      <c r="L484" s="106" t="s">
        <v>654</v>
      </c>
      <c r="M484" s="1"/>
      <c r="N484" s="45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45">
      <c r="A485" s="106" t="s">
        <v>341</v>
      </c>
      <c r="B485" s="106" t="s">
        <v>655</v>
      </c>
      <c r="C485" s="106"/>
      <c r="D485" s="106" t="s">
        <v>519</v>
      </c>
      <c r="E485" s="106" t="s">
        <v>642</v>
      </c>
      <c r="F485" s="106" t="s">
        <v>3</v>
      </c>
      <c r="G485" s="106" t="s">
        <v>341</v>
      </c>
      <c r="H485" s="106" t="s">
        <v>144</v>
      </c>
      <c r="I485" s="106" t="s">
        <v>20</v>
      </c>
      <c r="J485" s="106" t="s">
        <v>20</v>
      </c>
      <c r="K485" s="106" t="s">
        <v>33</v>
      </c>
      <c r="L485" s="106" t="s">
        <v>32</v>
      </c>
      <c r="M485" s="1"/>
      <c r="N485" s="45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45">
      <c r="A486" s="106" t="s">
        <v>259</v>
      </c>
      <c r="B486" s="189">
        <v>24586218</v>
      </c>
      <c r="C486" s="106"/>
      <c r="D486" s="106" t="s">
        <v>519</v>
      </c>
      <c r="E486" s="106" t="s">
        <v>642</v>
      </c>
      <c r="F486" s="106" t="s">
        <v>3</v>
      </c>
      <c r="G486" s="106" t="s">
        <v>656</v>
      </c>
      <c r="H486" s="106" t="s">
        <v>657</v>
      </c>
      <c r="I486" s="106" t="s">
        <v>33</v>
      </c>
      <c r="J486" s="106" t="s">
        <v>33</v>
      </c>
      <c r="K486" s="106" t="s">
        <v>20</v>
      </c>
      <c r="L486" s="106" t="s">
        <v>398</v>
      </c>
      <c r="M486" s="1"/>
      <c r="N486" s="45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45">
      <c r="A487" s="106" t="s">
        <v>259</v>
      </c>
      <c r="B487" s="189">
        <v>24586218</v>
      </c>
      <c r="C487" s="106"/>
      <c r="D487" s="106" t="s">
        <v>519</v>
      </c>
      <c r="E487" s="106" t="s">
        <v>642</v>
      </c>
      <c r="F487" s="106" t="s">
        <v>3</v>
      </c>
      <c r="G487" s="106" t="s">
        <v>644</v>
      </c>
      <c r="H487" s="106" t="s">
        <v>271</v>
      </c>
      <c r="I487" s="106" t="s">
        <v>33</v>
      </c>
      <c r="J487" s="106" t="s">
        <v>33</v>
      </c>
      <c r="K487" s="106" t="s">
        <v>20</v>
      </c>
      <c r="L487" s="106" t="s">
        <v>398</v>
      </c>
      <c r="M487" s="1"/>
      <c r="N487" s="45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45">
      <c r="A488" s="106" t="s">
        <v>259</v>
      </c>
      <c r="B488" s="189">
        <v>24586218</v>
      </c>
      <c r="C488" s="106"/>
      <c r="D488" s="106" t="s">
        <v>519</v>
      </c>
      <c r="E488" s="106" t="s">
        <v>642</v>
      </c>
      <c r="F488" s="106" t="s">
        <v>3</v>
      </c>
      <c r="G488" s="106" t="s">
        <v>644</v>
      </c>
      <c r="H488" s="106" t="s">
        <v>657</v>
      </c>
      <c r="I488" s="106" t="s">
        <v>33</v>
      </c>
      <c r="J488" s="106" t="s">
        <v>33</v>
      </c>
      <c r="K488" s="106" t="s">
        <v>20</v>
      </c>
      <c r="L488" s="106" t="s">
        <v>398</v>
      </c>
      <c r="M488" s="1"/>
      <c r="N488" s="45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45">
      <c r="A489" s="106" t="s">
        <v>259</v>
      </c>
      <c r="B489" s="189">
        <v>24586218</v>
      </c>
      <c r="C489" s="106"/>
      <c r="D489" s="106" t="s">
        <v>519</v>
      </c>
      <c r="E489" s="106" t="s">
        <v>642</v>
      </c>
      <c r="F489" s="106" t="s">
        <v>70</v>
      </c>
      <c r="G489" s="106" t="s">
        <v>645</v>
      </c>
      <c r="H489" s="106" t="s">
        <v>646</v>
      </c>
      <c r="I489" s="106" t="s">
        <v>33</v>
      </c>
      <c r="J489" s="106" t="s">
        <v>33</v>
      </c>
      <c r="K489" s="106" t="s">
        <v>20</v>
      </c>
      <c r="L489" s="106" t="s">
        <v>398</v>
      </c>
      <c r="M489" s="1"/>
      <c r="N489" s="45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45">
      <c r="A490" s="106" t="s">
        <v>259</v>
      </c>
      <c r="B490" s="189">
        <v>24586218</v>
      </c>
      <c r="C490" s="106"/>
      <c r="D490" s="106" t="s">
        <v>519</v>
      </c>
      <c r="E490" s="106" t="s">
        <v>642</v>
      </c>
      <c r="F490" s="106" t="s">
        <v>70</v>
      </c>
      <c r="G490" s="106" t="s">
        <v>658</v>
      </c>
      <c r="H490" s="106" t="s">
        <v>659</v>
      </c>
      <c r="I490" s="106" t="s">
        <v>33</v>
      </c>
      <c r="J490" s="106" t="s">
        <v>471</v>
      </c>
      <c r="K490" s="106" t="s">
        <v>20</v>
      </c>
      <c r="L490" s="106" t="s">
        <v>398</v>
      </c>
      <c r="M490" s="1"/>
      <c r="N490" s="45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45">
      <c r="A491" s="106" t="s">
        <v>259</v>
      </c>
      <c r="B491" s="189">
        <v>24586218</v>
      </c>
      <c r="C491" s="106"/>
      <c r="D491" s="106" t="s">
        <v>519</v>
      </c>
      <c r="E491" s="106" t="s">
        <v>642</v>
      </c>
      <c r="F491" s="106" t="s">
        <v>70</v>
      </c>
      <c r="G491" s="106" t="s">
        <v>660</v>
      </c>
      <c r="H491" s="106" t="s">
        <v>648</v>
      </c>
      <c r="I491" s="106" t="s">
        <v>33</v>
      </c>
      <c r="J491" s="106" t="s">
        <v>33</v>
      </c>
      <c r="K491" s="106" t="s">
        <v>20</v>
      </c>
      <c r="L491" s="106" t="s">
        <v>398</v>
      </c>
      <c r="M491" s="1"/>
      <c r="N491" s="45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45">
      <c r="A492" s="106" t="s">
        <v>259</v>
      </c>
      <c r="B492" s="189">
        <v>24586218</v>
      </c>
      <c r="C492" s="106"/>
      <c r="D492" s="106" t="s">
        <v>519</v>
      </c>
      <c r="E492" s="106" t="s">
        <v>642</v>
      </c>
      <c r="F492" s="106" t="s">
        <v>70</v>
      </c>
      <c r="G492" s="106" t="s">
        <v>652</v>
      </c>
      <c r="H492" s="106" t="s">
        <v>653</v>
      </c>
      <c r="I492" s="106" t="s">
        <v>33</v>
      </c>
      <c r="J492" s="106" t="s">
        <v>33</v>
      </c>
      <c r="K492" s="106" t="s">
        <v>20</v>
      </c>
      <c r="L492" s="106" t="s">
        <v>398</v>
      </c>
      <c r="M492" s="1"/>
      <c r="N492" s="45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45">
      <c r="A493" s="106" t="s">
        <v>259</v>
      </c>
      <c r="B493" s="189">
        <v>24586218</v>
      </c>
      <c r="C493" s="106"/>
      <c r="D493" s="106" t="s">
        <v>519</v>
      </c>
      <c r="E493" s="106" t="s">
        <v>642</v>
      </c>
      <c r="F493" s="106" t="s">
        <v>4</v>
      </c>
      <c r="G493" s="106" t="s">
        <v>449</v>
      </c>
      <c r="H493" s="106" t="s">
        <v>494</v>
      </c>
      <c r="I493" s="106" t="s">
        <v>33</v>
      </c>
      <c r="J493" s="106" t="s">
        <v>33</v>
      </c>
      <c r="K493" s="106" t="s">
        <v>20</v>
      </c>
      <c r="L493" s="106" t="s">
        <v>654</v>
      </c>
      <c r="M493" s="1"/>
      <c r="N493" s="45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45">
      <c r="A494" s="106" t="s">
        <v>341</v>
      </c>
      <c r="B494" s="189" t="s">
        <v>661</v>
      </c>
      <c r="C494" s="106"/>
      <c r="D494" s="106" t="s">
        <v>661</v>
      </c>
      <c r="E494" s="106" t="s">
        <v>642</v>
      </c>
      <c r="F494" s="106" t="s">
        <v>3</v>
      </c>
      <c r="G494" s="106" t="s">
        <v>341</v>
      </c>
      <c r="H494" s="106" t="s">
        <v>144</v>
      </c>
      <c r="I494" s="106" t="s">
        <v>20</v>
      </c>
      <c r="J494" s="106" t="s">
        <v>20</v>
      </c>
      <c r="K494" s="106" t="s">
        <v>20</v>
      </c>
      <c r="L494" s="106" t="s">
        <v>32</v>
      </c>
      <c r="M494" s="1"/>
      <c r="N494" s="45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45">
      <c r="A495" s="106" t="s">
        <v>259</v>
      </c>
      <c r="B495" s="191">
        <v>24667597</v>
      </c>
      <c r="C495" s="106"/>
      <c r="D495" s="106" t="s">
        <v>661</v>
      </c>
      <c r="E495" s="106" t="s">
        <v>642</v>
      </c>
      <c r="F495" s="106" t="s">
        <v>3</v>
      </c>
      <c r="G495" s="106" t="s">
        <v>662</v>
      </c>
      <c r="H495" s="106" t="s">
        <v>657</v>
      </c>
      <c r="I495" s="106" t="s">
        <v>33</v>
      </c>
      <c r="J495" s="106" t="s">
        <v>33</v>
      </c>
      <c r="K495" s="106" t="s">
        <v>20</v>
      </c>
      <c r="L495" s="106" t="s">
        <v>261</v>
      </c>
      <c r="M495" s="1"/>
      <c r="N495" s="45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45">
      <c r="A496" s="106" t="s">
        <v>259</v>
      </c>
      <c r="B496" s="191">
        <v>24667597</v>
      </c>
      <c r="C496" s="106"/>
      <c r="D496" s="106" t="s">
        <v>661</v>
      </c>
      <c r="E496" s="106" t="s">
        <v>642</v>
      </c>
      <c r="F496" s="106" t="s">
        <v>3</v>
      </c>
      <c r="G496" s="106" t="s">
        <v>644</v>
      </c>
      <c r="H496" s="106" t="s">
        <v>271</v>
      </c>
      <c r="I496" s="106" t="s">
        <v>33</v>
      </c>
      <c r="J496" s="106" t="s">
        <v>471</v>
      </c>
      <c r="K496" s="106" t="s">
        <v>59</v>
      </c>
      <c r="L496" s="106" t="s">
        <v>261</v>
      </c>
      <c r="M496" s="1"/>
      <c r="N496" s="45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45">
      <c r="A497" s="106" t="s">
        <v>259</v>
      </c>
      <c r="B497" s="191">
        <v>24667597</v>
      </c>
      <c r="C497" s="106"/>
      <c r="D497" s="106" t="s">
        <v>661</v>
      </c>
      <c r="E497" s="106" t="s">
        <v>642</v>
      </c>
      <c r="F497" s="106" t="s">
        <v>3</v>
      </c>
      <c r="G497" s="106" t="s">
        <v>644</v>
      </c>
      <c r="H497" s="106" t="s">
        <v>657</v>
      </c>
      <c r="I497" s="106" t="s">
        <v>33</v>
      </c>
      <c r="J497" s="106" t="s">
        <v>33</v>
      </c>
      <c r="K497" s="106" t="s">
        <v>20</v>
      </c>
      <c r="L497" s="106" t="s">
        <v>261</v>
      </c>
      <c r="M497" s="1"/>
      <c r="N497" s="45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45">
      <c r="A498" s="106" t="s">
        <v>259</v>
      </c>
      <c r="B498" s="191">
        <v>24667597</v>
      </c>
      <c r="C498" s="106"/>
      <c r="D498" s="106" t="s">
        <v>661</v>
      </c>
      <c r="E498" s="106" t="s">
        <v>642</v>
      </c>
      <c r="F498" s="106" t="s">
        <v>70</v>
      </c>
      <c r="G498" s="106" t="s">
        <v>652</v>
      </c>
      <c r="H498" s="106" t="s">
        <v>653</v>
      </c>
      <c r="I498" s="106" t="s">
        <v>33</v>
      </c>
      <c r="J498" s="106" t="s">
        <v>471</v>
      </c>
      <c r="K498" s="106" t="s">
        <v>59</v>
      </c>
      <c r="L498" s="106" t="s">
        <v>261</v>
      </c>
      <c r="M498" s="1"/>
      <c r="N498" s="45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45">
      <c r="A499" s="106" t="s">
        <v>259</v>
      </c>
      <c r="B499" s="191">
        <v>24667597</v>
      </c>
      <c r="C499" s="106"/>
      <c r="D499" s="106" t="s">
        <v>661</v>
      </c>
      <c r="E499" s="106" t="s">
        <v>642</v>
      </c>
      <c r="F499" s="106" t="s">
        <v>70</v>
      </c>
      <c r="G499" s="106" t="s">
        <v>663</v>
      </c>
      <c r="H499" s="106" t="s">
        <v>648</v>
      </c>
      <c r="I499" s="106" t="s">
        <v>194</v>
      </c>
      <c r="J499" s="106" t="s">
        <v>194</v>
      </c>
      <c r="K499" s="106" t="s">
        <v>59</v>
      </c>
      <c r="L499" s="106" t="s">
        <v>261</v>
      </c>
      <c r="M499" s="1"/>
      <c r="N499" s="45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45">
      <c r="A500" s="106" t="s">
        <v>259</v>
      </c>
      <c r="B500" s="191">
        <v>24667597</v>
      </c>
      <c r="C500" s="106"/>
      <c r="D500" s="106" t="s">
        <v>661</v>
      </c>
      <c r="E500" s="106" t="s">
        <v>642</v>
      </c>
      <c r="F500" s="106" t="s">
        <v>70</v>
      </c>
      <c r="G500" s="106" t="s">
        <v>664</v>
      </c>
      <c r="H500" s="106" t="s">
        <v>665</v>
      </c>
      <c r="I500" s="106" t="s">
        <v>194</v>
      </c>
      <c r="J500" s="106" t="s">
        <v>194</v>
      </c>
      <c r="K500" s="106" t="s">
        <v>59</v>
      </c>
      <c r="L500" s="106" t="s">
        <v>261</v>
      </c>
      <c r="M500" s="1"/>
      <c r="N500" s="45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45">
      <c r="A501" s="106" t="s">
        <v>259</v>
      </c>
      <c r="B501" s="191">
        <v>24667597</v>
      </c>
      <c r="C501" s="106"/>
      <c r="D501" s="106" t="s">
        <v>661</v>
      </c>
      <c r="E501" s="106" t="s">
        <v>642</v>
      </c>
      <c r="F501" s="106" t="s">
        <v>70</v>
      </c>
      <c r="G501" s="106" t="s">
        <v>666</v>
      </c>
      <c r="H501" s="106" t="s">
        <v>667</v>
      </c>
      <c r="I501" s="106" t="s">
        <v>194</v>
      </c>
      <c r="J501" s="106" t="s">
        <v>194</v>
      </c>
      <c r="K501" s="106" t="s">
        <v>59</v>
      </c>
      <c r="L501" s="106" t="s">
        <v>261</v>
      </c>
      <c r="M501" s="1"/>
      <c r="N501" s="45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45">
      <c r="A502" s="106" t="s">
        <v>507</v>
      </c>
      <c r="B502" s="189">
        <v>2101</v>
      </c>
      <c r="C502" s="106"/>
      <c r="D502" s="190" t="s">
        <v>668</v>
      </c>
      <c r="E502" s="106" t="s">
        <v>642</v>
      </c>
      <c r="F502" s="106" t="s">
        <v>70</v>
      </c>
      <c r="G502" s="106" t="s">
        <v>669</v>
      </c>
      <c r="H502" s="106"/>
      <c r="I502" s="106" t="s">
        <v>20</v>
      </c>
      <c r="J502" s="106" t="s">
        <v>20</v>
      </c>
      <c r="K502" s="106" t="s">
        <v>33</v>
      </c>
      <c r="L502" s="106" t="s">
        <v>32</v>
      </c>
      <c r="M502" s="1"/>
      <c r="N502" s="45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45">
      <c r="A503" s="106" t="s">
        <v>341</v>
      </c>
      <c r="B503" s="192" t="s">
        <v>670</v>
      </c>
      <c r="C503" s="106"/>
      <c r="D503" s="190" t="s">
        <v>668</v>
      </c>
      <c r="E503" s="106" t="s">
        <v>642</v>
      </c>
      <c r="F503" s="106" t="s">
        <v>3</v>
      </c>
      <c r="G503" s="106" t="s">
        <v>564</v>
      </c>
      <c r="H503" s="106" t="s">
        <v>144</v>
      </c>
      <c r="I503" s="106" t="s">
        <v>20</v>
      </c>
      <c r="J503" s="106" t="s">
        <v>20</v>
      </c>
      <c r="K503" s="106" t="s">
        <v>33</v>
      </c>
      <c r="L503" s="106" t="s">
        <v>32</v>
      </c>
      <c r="M503" s="1"/>
      <c r="N503" s="45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45">
      <c r="A504" s="106" t="s">
        <v>259</v>
      </c>
      <c r="B504" s="192">
        <v>24918716</v>
      </c>
      <c r="C504" s="190"/>
      <c r="D504" s="190" t="s">
        <v>668</v>
      </c>
      <c r="E504" s="193" t="s">
        <v>642</v>
      </c>
      <c r="F504" s="106" t="s">
        <v>70</v>
      </c>
      <c r="G504" s="190" t="s">
        <v>671</v>
      </c>
      <c r="H504" s="190" t="s">
        <v>657</v>
      </c>
      <c r="I504" s="106" t="s">
        <v>33</v>
      </c>
      <c r="J504" s="190" t="s">
        <v>33</v>
      </c>
      <c r="K504" s="106" t="s">
        <v>20</v>
      </c>
      <c r="L504" s="106" t="s">
        <v>261</v>
      </c>
      <c r="M504" s="1"/>
      <c r="N504" s="45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45">
      <c r="A505" s="106" t="s">
        <v>341</v>
      </c>
      <c r="B505" s="189" t="s">
        <v>672</v>
      </c>
      <c r="C505" s="106"/>
      <c r="D505" s="190" t="s">
        <v>673</v>
      </c>
      <c r="E505" s="106" t="s">
        <v>642</v>
      </c>
      <c r="F505" s="106" t="s">
        <v>3</v>
      </c>
      <c r="G505" s="106" t="s">
        <v>341</v>
      </c>
      <c r="H505" s="106" t="s">
        <v>144</v>
      </c>
      <c r="I505" s="106" t="s">
        <v>20</v>
      </c>
      <c r="J505" s="106" t="s">
        <v>59</v>
      </c>
      <c r="K505" s="106" t="s">
        <v>33</v>
      </c>
      <c r="L505" s="106" t="s">
        <v>32</v>
      </c>
      <c r="M505" s="1"/>
      <c r="N505" s="45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45">
      <c r="A506" s="106" t="s">
        <v>259</v>
      </c>
      <c r="B506" s="191">
        <v>24999809</v>
      </c>
      <c r="C506" s="106"/>
      <c r="D506" s="190" t="s">
        <v>673</v>
      </c>
      <c r="E506" s="106" t="s">
        <v>642</v>
      </c>
      <c r="F506" s="106" t="s">
        <v>70</v>
      </c>
      <c r="G506" s="106" t="s">
        <v>674</v>
      </c>
      <c r="H506" s="106"/>
      <c r="I506" s="106" t="s">
        <v>33</v>
      </c>
      <c r="J506" s="106" t="s">
        <v>33</v>
      </c>
      <c r="K506" s="106" t="s">
        <v>20</v>
      </c>
      <c r="L506" s="106" t="s">
        <v>261</v>
      </c>
      <c r="M506" s="1"/>
      <c r="N506" s="45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45">
      <c r="A507" s="106" t="s">
        <v>341</v>
      </c>
      <c r="B507" s="194" t="s">
        <v>675</v>
      </c>
      <c r="C507" s="106"/>
      <c r="D507" s="106" t="s">
        <v>676</v>
      </c>
      <c r="E507" s="106" t="s">
        <v>642</v>
      </c>
      <c r="F507" s="106" t="s">
        <v>3</v>
      </c>
      <c r="G507" s="106" t="s">
        <v>564</v>
      </c>
      <c r="H507" s="106" t="s">
        <v>144</v>
      </c>
      <c r="I507" s="106" t="s">
        <v>20</v>
      </c>
      <c r="J507" s="106" t="s">
        <v>20</v>
      </c>
      <c r="K507" s="106" t="s">
        <v>33</v>
      </c>
      <c r="L507" s="106" t="s">
        <v>32</v>
      </c>
      <c r="M507" s="1"/>
      <c r="N507" s="45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45">
      <c r="A508" s="106" t="s">
        <v>507</v>
      </c>
      <c r="B508" s="191">
        <v>2232</v>
      </c>
      <c r="C508" s="106"/>
      <c r="D508" s="106" t="s">
        <v>676</v>
      </c>
      <c r="E508" s="106" t="s">
        <v>642</v>
      </c>
      <c r="F508" s="106" t="s">
        <v>70</v>
      </c>
      <c r="G508" s="106" t="s">
        <v>677</v>
      </c>
      <c r="H508" s="106" t="s">
        <v>678</v>
      </c>
      <c r="I508" s="106" t="s">
        <v>20</v>
      </c>
      <c r="J508" s="106" t="s">
        <v>20</v>
      </c>
      <c r="K508" s="106" t="s">
        <v>33</v>
      </c>
      <c r="L508" s="106" t="s">
        <v>32</v>
      </c>
      <c r="M508" s="1"/>
      <c r="N508" s="45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45">
      <c r="A509" s="106" t="s">
        <v>259</v>
      </c>
      <c r="B509" s="191">
        <v>25082345</v>
      </c>
      <c r="C509" s="106"/>
      <c r="D509" s="106" t="s">
        <v>676</v>
      </c>
      <c r="E509" s="106" t="s">
        <v>642</v>
      </c>
      <c r="F509" s="106" t="s">
        <v>70</v>
      </c>
      <c r="G509" s="106" t="s">
        <v>681</v>
      </c>
      <c r="H509" s="106" t="s">
        <v>682</v>
      </c>
      <c r="I509" s="106" t="s">
        <v>33</v>
      </c>
      <c r="J509" s="106" t="s">
        <v>33</v>
      </c>
      <c r="K509" s="106" t="s">
        <v>20</v>
      </c>
      <c r="L509" s="106" t="s">
        <v>261</v>
      </c>
      <c r="M509" s="1"/>
      <c r="N509" s="45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45">
      <c r="A510" s="106" t="s">
        <v>259</v>
      </c>
      <c r="B510" s="191" t="s">
        <v>679</v>
      </c>
      <c r="C510" s="190"/>
      <c r="D510" s="106" t="s">
        <v>591</v>
      </c>
      <c r="E510" s="106" t="s">
        <v>642</v>
      </c>
      <c r="F510" s="106" t="s">
        <v>70</v>
      </c>
      <c r="G510" s="106" t="s">
        <v>680</v>
      </c>
      <c r="H510" s="106" t="s">
        <v>683</v>
      </c>
      <c r="I510" s="106" t="s">
        <v>194</v>
      </c>
      <c r="J510" s="106" t="s">
        <v>194</v>
      </c>
      <c r="K510" s="106" t="s">
        <v>59</v>
      </c>
      <c r="L510" s="106" t="s">
        <v>261</v>
      </c>
      <c r="M510" s="1"/>
      <c r="N510" s="45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45">
      <c r="A511" s="106" t="s">
        <v>259</v>
      </c>
      <c r="B511" s="189">
        <v>25353425</v>
      </c>
      <c r="C511" s="106"/>
      <c r="D511" s="106" t="s">
        <v>605</v>
      </c>
      <c r="E511" s="196" t="s">
        <v>642</v>
      </c>
      <c r="F511" s="106" t="s">
        <v>70</v>
      </c>
      <c r="G511" s="106" t="s">
        <v>652</v>
      </c>
      <c r="H511" s="106" t="s">
        <v>684</v>
      </c>
      <c r="I511" s="106" t="s">
        <v>194</v>
      </c>
      <c r="J511" s="106" t="s">
        <v>33</v>
      </c>
      <c r="K511" s="106" t="s">
        <v>59</v>
      </c>
      <c r="L511" s="106" t="s">
        <v>261</v>
      </c>
      <c r="M511" s="1"/>
      <c r="N511" s="45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45">
      <c r="A512" s="106" t="s">
        <v>685</v>
      </c>
      <c r="B512" s="194" t="s">
        <v>616</v>
      </c>
      <c r="C512" s="190"/>
      <c r="D512" s="197" t="s">
        <v>605</v>
      </c>
      <c r="E512" s="198" t="s">
        <v>686</v>
      </c>
      <c r="F512" s="106" t="s">
        <v>1</v>
      </c>
      <c r="G512" s="106" t="s">
        <v>687</v>
      </c>
      <c r="H512" s="106" t="s">
        <v>124</v>
      </c>
      <c r="I512" s="1" t="s">
        <v>59</v>
      </c>
      <c r="J512" s="34"/>
      <c r="K512" s="1" t="s">
        <v>194</v>
      </c>
      <c r="L512" s="1" t="s">
        <v>32</v>
      </c>
      <c r="M512" s="1"/>
      <c r="N512" s="45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45">
      <c r="A513" s="196" t="s">
        <v>66</v>
      </c>
      <c r="B513" s="196" t="s">
        <v>688</v>
      </c>
      <c r="C513" s="196"/>
      <c r="D513" s="196" t="s">
        <v>689</v>
      </c>
      <c r="E513" s="202" t="s">
        <v>523</v>
      </c>
      <c r="F513" s="196" t="s">
        <v>1</v>
      </c>
      <c r="G513" s="196" t="s">
        <v>687</v>
      </c>
      <c r="H513" s="196" t="s">
        <v>124</v>
      </c>
      <c r="I513" s="1" t="s">
        <v>59</v>
      </c>
      <c r="J513" s="34"/>
      <c r="K513" s="1" t="s">
        <v>194</v>
      </c>
      <c r="L513" s="1" t="s">
        <v>32</v>
      </c>
      <c r="M513" s="1"/>
      <c r="N513" s="45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45">
      <c r="A514" s="204" t="s">
        <v>383</v>
      </c>
      <c r="B514" s="200">
        <v>1002671</v>
      </c>
      <c r="C514" s="201"/>
      <c r="D514" s="201" t="s">
        <v>641</v>
      </c>
      <c r="E514" s="201" t="s">
        <v>511</v>
      </c>
      <c r="F514" s="201" t="s">
        <v>1</v>
      </c>
      <c r="G514" s="201" t="s">
        <v>383</v>
      </c>
      <c r="H514" s="203" t="s">
        <v>690</v>
      </c>
      <c r="I514" s="1" t="s">
        <v>59</v>
      </c>
      <c r="J514" s="34"/>
      <c r="K514" s="1" t="s">
        <v>194</v>
      </c>
      <c r="L514" s="1" t="s">
        <v>32</v>
      </c>
      <c r="M514" s="1"/>
      <c r="N514" s="45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45">
      <c r="A515" s="1"/>
      <c r="B515" s="104"/>
      <c r="C515" s="104"/>
      <c r="D515" s="1"/>
      <c r="E515" s="1"/>
      <c r="F515" s="199"/>
      <c r="G515" s="1"/>
      <c r="H515" s="1"/>
      <c r="I515" s="1"/>
      <c r="J515" s="34"/>
      <c r="K515" s="1"/>
      <c r="L515" s="1"/>
      <c r="M515" s="1"/>
      <c r="N515" s="45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45">
      <c r="A516" s="1"/>
      <c r="B516" s="104"/>
      <c r="C516" s="104"/>
      <c r="D516" s="1"/>
      <c r="E516" s="1"/>
      <c r="F516" s="1"/>
      <c r="G516" s="1"/>
      <c r="H516" s="1"/>
      <c r="I516" s="1"/>
      <c r="J516" s="34"/>
      <c r="K516" s="1"/>
      <c r="L516" s="1"/>
      <c r="M516" s="1"/>
      <c r="N516" s="45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45">
      <c r="A517" s="1"/>
      <c r="B517" s="104"/>
      <c r="C517" s="104"/>
      <c r="D517" s="1"/>
      <c r="E517" s="195"/>
      <c r="F517" s="1"/>
      <c r="G517" s="1"/>
      <c r="H517" s="1"/>
      <c r="I517" s="1"/>
      <c r="J517" s="34"/>
      <c r="K517" s="1"/>
      <c r="L517" s="1"/>
      <c r="M517" s="1"/>
      <c r="N517" s="45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45">
      <c r="A518" s="1"/>
      <c r="B518" s="104"/>
      <c r="C518" s="104"/>
      <c r="D518" s="1"/>
      <c r="E518" s="1"/>
      <c r="F518" s="1"/>
      <c r="G518" s="1"/>
      <c r="H518" s="1"/>
      <c r="I518" s="1"/>
      <c r="J518" s="34"/>
      <c r="K518" s="1"/>
      <c r="L518" s="1"/>
      <c r="M518" s="1"/>
      <c r="N518" s="45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45">
      <c r="A519" s="1"/>
      <c r="B519" s="104"/>
      <c r="C519" s="104"/>
      <c r="D519" s="1"/>
      <c r="E519" s="1"/>
      <c r="F519" s="1"/>
      <c r="G519" s="1"/>
      <c r="H519" s="1"/>
      <c r="I519" s="1"/>
      <c r="J519" s="34"/>
      <c r="K519" s="1"/>
      <c r="L519" s="1"/>
      <c r="M519" s="1"/>
      <c r="N519" s="45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45">
      <c r="A520" s="1"/>
      <c r="B520" s="104"/>
      <c r="C520" s="104"/>
      <c r="D520" s="1"/>
      <c r="E520" s="1"/>
      <c r="F520" s="1"/>
      <c r="G520" s="1"/>
      <c r="H520" s="1"/>
      <c r="I520" s="1"/>
      <c r="J520" s="34"/>
      <c r="K520" s="1"/>
      <c r="L520" s="1"/>
      <c r="M520" s="1"/>
      <c r="N520" s="45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45">
      <c r="A521" s="1"/>
      <c r="B521" s="104"/>
      <c r="C521" s="104"/>
      <c r="D521" s="1"/>
      <c r="E521" s="1"/>
      <c r="F521" s="1"/>
      <c r="G521" s="1"/>
      <c r="H521" s="1"/>
      <c r="I521" s="1"/>
      <c r="J521" s="34"/>
      <c r="K521" s="1"/>
      <c r="L521" s="1"/>
      <c r="M521" s="1"/>
      <c r="N521" s="45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45">
      <c r="A522" s="1"/>
      <c r="B522" s="104"/>
      <c r="C522" s="104"/>
      <c r="D522" s="1"/>
      <c r="E522" s="1"/>
      <c r="F522" s="1"/>
      <c r="G522" s="1"/>
      <c r="H522" s="1"/>
      <c r="I522" s="1"/>
      <c r="J522" s="34"/>
      <c r="K522" s="1"/>
      <c r="L522" s="1"/>
      <c r="M522" s="1"/>
      <c r="N522" s="45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45">
      <c r="A523" s="1"/>
      <c r="B523" s="104"/>
      <c r="C523" s="104"/>
      <c r="D523" s="1"/>
      <c r="E523" s="1"/>
      <c r="F523" s="1"/>
      <c r="G523" s="1"/>
      <c r="H523" s="1"/>
      <c r="I523" s="1"/>
      <c r="J523" s="34"/>
      <c r="K523" s="1"/>
      <c r="L523" s="1"/>
      <c r="M523" s="1"/>
      <c r="N523" s="45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45">
      <c r="A524" s="1"/>
      <c r="B524" s="104"/>
      <c r="C524" s="104"/>
      <c r="D524" s="1"/>
      <c r="E524" s="1"/>
      <c r="F524" s="1"/>
      <c r="G524" s="1"/>
      <c r="H524" s="1"/>
      <c r="I524" s="1"/>
      <c r="J524" s="34"/>
      <c r="K524" s="1"/>
      <c r="L524" s="1"/>
      <c r="M524" s="1"/>
      <c r="N524" s="45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45">
      <c r="A525" s="1"/>
      <c r="B525" s="104"/>
      <c r="C525" s="104"/>
      <c r="D525" s="1"/>
      <c r="E525" s="1"/>
      <c r="F525" s="1"/>
      <c r="G525" s="1"/>
      <c r="H525" s="1"/>
      <c r="I525" s="1"/>
      <c r="J525" s="34"/>
      <c r="K525" s="1"/>
      <c r="L525" s="1"/>
      <c r="M525" s="1"/>
      <c r="N525" s="45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45">
      <c r="A526" s="1"/>
      <c r="B526" s="104"/>
      <c r="C526" s="104"/>
      <c r="D526" s="1"/>
      <c r="E526" s="1"/>
      <c r="F526" s="1"/>
      <c r="G526" s="1"/>
      <c r="H526" s="1"/>
      <c r="I526" s="1"/>
      <c r="J526" s="34"/>
      <c r="K526" s="1"/>
      <c r="L526" s="1"/>
      <c r="M526" s="1"/>
      <c r="N526" s="45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45">
      <c r="A527" s="1"/>
      <c r="B527" s="104"/>
      <c r="C527" s="104"/>
      <c r="D527" s="1"/>
      <c r="E527" s="1"/>
      <c r="F527" s="1"/>
      <c r="G527" s="1"/>
      <c r="H527" s="1"/>
      <c r="I527" s="1"/>
      <c r="J527" s="34"/>
      <c r="K527" s="1"/>
      <c r="L527" s="1"/>
      <c r="M527" s="1"/>
      <c r="N527" s="45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45">
      <c r="A528" s="1"/>
      <c r="B528" s="104"/>
      <c r="C528" s="104"/>
      <c r="D528" s="1"/>
      <c r="E528" s="1"/>
      <c r="F528" s="1"/>
      <c r="G528" s="1"/>
      <c r="H528" s="1"/>
      <c r="I528" s="1"/>
      <c r="J528" s="34"/>
      <c r="K528" s="1"/>
      <c r="L528" s="1"/>
      <c r="M528" s="1"/>
      <c r="N528" s="45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45">
      <c r="A529" s="1"/>
      <c r="B529" s="104"/>
      <c r="C529" s="104"/>
      <c r="D529" s="1"/>
      <c r="E529" s="1"/>
      <c r="F529" s="1"/>
      <c r="G529" s="1"/>
      <c r="H529" s="1"/>
      <c r="I529" s="1"/>
      <c r="J529" s="34"/>
      <c r="K529" s="1"/>
      <c r="L529" s="1"/>
      <c r="M529" s="1"/>
      <c r="N529" s="45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45">
      <c r="A530" s="1"/>
      <c r="B530" s="104"/>
      <c r="C530" s="104"/>
      <c r="D530" s="1"/>
      <c r="E530" s="1"/>
      <c r="F530" s="1"/>
      <c r="G530" s="1"/>
      <c r="H530" s="1"/>
      <c r="I530" s="1"/>
      <c r="J530" s="34"/>
      <c r="K530" s="1"/>
      <c r="L530" s="1"/>
      <c r="M530" s="1"/>
      <c r="N530" s="45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45">
      <c r="A531" s="1"/>
      <c r="B531" s="104"/>
      <c r="C531" s="104"/>
      <c r="D531" s="1"/>
      <c r="E531" s="1"/>
      <c r="F531" s="1"/>
      <c r="G531" s="1"/>
      <c r="H531" s="1"/>
      <c r="I531" s="1"/>
      <c r="J531" s="34"/>
      <c r="K531" s="1"/>
      <c r="L531" s="1"/>
      <c r="M531" s="1"/>
      <c r="N531" s="45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45">
      <c r="A532" s="1"/>
      <c r="B532" s="104"/>
      <c r="C532" s="104"/>
      <c r="D532" s="1"/>
      <c r="E532" s="1"/>
      <c r="F532" s="1"/>
      <c r="G532" s="1"/>
      <c r="H532" s="1"/>
      <c r="I532" s="1"/>
      <c r="J532" s="34"/>
      <c r="K532" s="1"/>
      <c r="L532" s="1"/>
      <c r="M532" s="1"/>
      <c r="N532" s="45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45">
      <c r="A533" s="1"/>
      <c r="B533" s="104"/>
      <c r="C533" s="104"/>
      <c r="D533" s="1"/>
      <c r="E533" s="1"/>
      <c r="F533" s="1"/>
      <c r="G533" s="1"/>
      <c r="H533" s="1"/>
      <c r="I533" s="1"/>
      <c r="J533" s="34"/>
      <c r="K533" s="1"/>
      <c r="L533" s="1"/>
      <c r="M533" s="1"/>
      <c r="N533" s="45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45">
      <c r="A534" s="1"/>
      <c r="B534" s="104"/>
      <c r="C534" s="104"/>
      <c r="D534" s="1"/>
      <c r="E534" s="1"/>
      <c r="F534" s="1"/>
      <c r="G534" s="1"/>
      <c r="H534" s="1"/>
      <c r="I534" s="1"/>
      <c r="J534" s="34"/>
      <c r="K534" s="1"/>
      <c r="L534" s="1"/>
      <c r="M534" s="1"/>
      <c r="N534" s="45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45">
      <c r="A535" s="1"/>
      <c r="B535" s="104"/>
      <c r="C535" s="104"/>
      <c r="D535" s="1"/>
      <c r="E535" s="1"/>
      <c r="F535" s="1"/>
      <c r="G535" s="1"/>
      <c r="H535" s="1"/>
      <c r="I535" s="1"/>
      <c r="J535" s="34"/>
      <c r="K535" s="1"/>
      <c r="L535" s="1"/>
      <c r="M535" s="1"/>
      <c r="N535" s="45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45">
      <c r="A536" s="1"/>
      <c r="B536" s="104"/>
      <c r="C536" s="104"/>
      <c r="D536" s="1"/>
      <c r="E536" s="1"/>
      <c r="F536" s="1"/>
      <c r="G536" s="1"/>
      <c r="H536" s="1"/>
      <c r="I536" s="1"/>
      <c r="J536" s="34"/>
      <c r="K536" s="1"/>
      <c r="L536" s="1"/>
      <c r="M536" s="1"/>
      <c r="N536" s="45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45">
      <c r="A537" s="1"/>
      <c r="B537" s="104"/>
      <c r="C537" s="104"/>
      <c r="D537" s="1"/>
      <c r="E537" s="1"/>
      <c r="F537" s="1"/>
      <c r="G537" s="1"/>
      <c r="H537" s="1"/>
      <c r="I537" s="1"/>
      <c r="J537" s="34"/>
      <c r="K537" s="1"/>
      <c r="L537" s="1"/>
      <c r="M537" s="1"/>
      <c r="N537" s="45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45">
      <c r="A538" s="1"/>
      <c r="B538" s="104"/>
      <c r="C538" s="104"/>
      <c r="D538" s="1"/>
      <c r="E538" s="1"/>
      <c r="F538" s="1"/>
      <c r="G538" s="1"/>
      <c r="H538" s="1"/>
      <c r="I538" s="1"/>
      <c r="J538" s="34"/>
      <c r="K538" s="1"/>
      <c r="L538" s="1"/>
      <c r="M538" s="1"/>
      <c r="N538" s="45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45">
      <c r="A539" s="1"/>
      <c r="B539" s="104"/>
      <c r="C539" s="104"/>
      <c r="D539" s="1"/>
      <c r="E539" s="1"/>
      <c r="F539" s="1"/>
      <c r="G539" s="1"/>
      <c r="H539" s="1"/>
      <c r="I539" s="1"/>
      <c r="J539" s="34"/>
      <c r="K539" s="1"/>
      <c r="L539" s="1"/>
      <c r="M539" s="1"/>
      <c r="N539" s="45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45">
      <c r="A540" s="1"/>
      <c r="B540" s="104"/>
      <c r="C540" s="104"/>
      <c r="D540" s="1"/>
      <c r="E540" s="1"/>
      <c r="F540" s="1"/>
      <c r="G540" s="1"/>
      <c r="H540" s="1"/>
      <c r="I540" s="1"/>
      <c r="J540" s="34"/>
      <c r="K540" s="1"/>
      <c r="L540" s="1"/>
      <c r="M540" s="1"/>
      <c r="N540" s="45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45">
      <c r="A541" s="1"/>
      <c r="B541" s="104"/>
      <c r="C541" s="104"/>
      <c r="D541" s="1"/>
      <c r="E541" s="1"/>
      <c r="F541" s="1"/>
      <c r="G541" s="1"/>
      <c r="H541" s="1"/>
      <c r="I541" s="1"/>
      <c r="J541" s="34"/>
      <c r="K541" s="1"/>
      <c r="L541" s="1"/>
      <c r="M541" s="1"/>
      <c r="N541" s="45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45">
      <c r="A542" s="1"/>
      <c r="B542" s="104"/>
      <c r="C542" s="104"/>
      <c r="D542" s="1"/>
      <c r="E542" s="1"/>
      <c r="F542" s="1"/>
      <c r="G542" s="1"/>
      <c r="H542" s="1"/>
      <c r="I542" s="1"/>
      <c r="J542" s="34"/>
      <c r="K542" s="1"/>
      <c r="L542" s="1"/>
      <c r="M542" s="1"/>
      <c r="N542" s="45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45">
      <c r="A543" s="1"/>
      <c r="B543" s="104"/>
      <c r="C543" s="104"/>
      <c r="D543" s="1"/>
      <c r="E543" s="1"/>
      <c r="F543" s="1"/>
      <c r="G543" s="1"/>
      <c r="H543" s="1"/>
      <c r="I543" s="1"/>
      <c r="J543" s="34"/>
      <c r="K543" s="1"/>
      <c r="L543" s="1"/>
      <c r="M543" s="1"/>
      <c r="N543" s="45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45">
      <c r="A544" s="1"/>
      <c r="B544" s="104"/>
      <c r="C544" s="104"/>
      <c r="D544" s="1"/>
      <c r="E544" s="1"/>
      <c r="F544" s="1"/>
      <c r="G544" s="1"/>
      <c r="H544" s="1"/>
      <c r="I544" s="1"/>
      <c r="J544" s="34"/>
      <c r="K544" s="1"/>
      <c r="L544" s="1"/>
      <c r="M544" s="1"/>
      <c r="N544" s="45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45">
      <c r="A545" s="1"/>
      <c r="B545" s="104"/>
      <c r="C545" s="104"/>
      <c r="D545" s="1"/>
      <c r="E545" s="1"/>
      <c r="F545" s="1"/>
      <c r="G545" s="1"/>
      <c r="H545" s="1"/>
      <c r="I545" s="1"/>
      <c r="J545" s="34"/>
      <c r="K545" s="1"/>
      <c r="L545" s="1"/>
      <c r="M545" s="1"/>
      <c r="N545" s="45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45">
      <c r="A546" s="1"/>
      <c r="B546" s="104"/>
      <c r="C546" s="104"/>
      <c r="D546" s="1"/>
      <c r="E546" s="1"/>
      <c r="F546" s="1"/>
      <c r="G546" s="1"/>
      <c r="H546" s="1"/>
      <c r="I546" s="1"/>
      <c r="J546" s="34"/>
      <c r="K546" s="1"/>
      <c r="L546" s="1"/>
      <c r="M546" s="1"/>
      <c r="N546" s="45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45">
      <c r="A547" s="1"/>
      <c r="B547" s="104"/>
      <c r="C547" s="104"/>
      <c r="D547" s="1"/>
      <c r="E547" s="1"/>
      <c r="F547" s="1"/>
      <c r="G547" s="1"/>
      <c r="H547" s="1"/>
      <c r="I547" s="1"/>
      <c r="J547" s="34"/>
      <c r="K547" s="1"/>
      <c r="L547" s="1"/>
      <c r="M547" s="1"/>
      <c r="N547" s="45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45">
      <c r="A548" s="1"/>
      <c r="B548" s="104"/>
      <c r="C548" s="104"/>
      <c r="D548" s="1"/>
      <c r="E548" s="1"/>
      <c r="F548" s="1"/>
      <c r="G548" s="1"/>
      <c r="H548" s="1"/>
      <c r="I548" s="1"/>
      <c r="J548" s="34"/>
      <c r="K548" s="1"/>
      <c r="L548" s="1"/>
      <c r="M548" s="1"/>
      <c r="N548" s="45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45">
      <c r="A549" s="1"/>
      <c r="B549" s="104"/>
      <c r="C549" s="104"/>
      <c r="D549" s="1"/>
      <c r="E549" s="1"/>
      <c r="F549" s="1"/>
      <c r="G549" s="1"/>
      <c r="H549" s="1"/>
      <c r="I549" s="1"/>
      <c r="J549" s="34"/>
      <c r="K549" s="1"/>
      <c r="L549" s="1"/>
      <c r="M549" s="1"/>
      <c r="N549" s="45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45">
      <c r="A550" s="1"/>
      <c r="B550" s="104"/>
      <c r="C550" s="104"/>
      <c r="D550" s="1"/>
      <c r="E550" s="1"/>
      <c r="F550" s="1"/>
      <c r="G550" s="1"/>
      <c r="H550" s="1"/>
      <c r="I550" s="1"/>
      <c r="J550" s="34"/>
      <c r="K550" s="1"/>
      <c r="L550" s="1"/>
      <c r="M550" s="1"/>
      <c r="N550" s="45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45">
      <c r="A551" s="1"/>
      <c r="B551" s="104"/>
      <c r="C551" s="104"/>
      <c r="D551" s="1"/>
      <c r="E551" s="1"/>
      <c r="F551" s="1"/>
      <c r="G551" s="1"/>
      <c r="H551" s="1"/>
      <c r="I551" s="1"/>
      <c r="J551" s="34"/>
      <c r="K551" s="1"/>
      <c r="L551" s="1"/>
      <c r="M551" s="1"/>
      <c r="N551" s="45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45">
      <c r="A552" s="1"/>
      <c r="B552" s="104"/>
      <c r="C552" s="104"/>
      <c r="D552" s="1"/>
      <c r="E552" s="1"/>
      <c r="F552" s="1"/>
      <c r="G552" s="1"/>
      <c r="H552" s="1"/>
      <c r="I552" s="1"/>
      <c r="J552" s="34"/>
      <c r="K552" s="1"/>
      <c r="L552" s="1"/>
      <c r="M552" s="1"/>
      <c r="N552" s="45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45">
      <c r="A553" s="1"/>
      <c r="B553" s="104"/>
      <c r="C553" s="104"/>
      <c r="D553" s="1"/>
      <c r="E553" s="1"/>
      <c r="F553" s="1"/>
      <c r="G553" s="1"/>
      <c r="H553" s="1"/>
      <c r="I553" s="1"/>
      <c r="J553" s="34"/>
      <c r="K553" s="1"/>
      <c r="L553" s="1"/>
      <c r="M553" s="1"/>
      <c r="N553" s="45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45">
      <c r="A554" s="1"/>
      <c r="B554" s="104"/>
      <c r="C554" s="104"/>
      <c r="D554" s="1"/>
      <c r="E554" s="1"/>
      <c r="F554" s="1"/>
      <c r="G554" s="1"/>
      <c r="H554" s="1"/>
      <c r="I554" s="1"/>
      <c r="J554" s="34"/>
      <c r="K554" s="1"/>
      <c r="L554" s="1"/>
      <c r="M554" s="1"/>
      <c r="N554" s="45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45">
      <c r="A555" s="1"/>
      <c r="B555" s="104"/>
      <c r="C555" s="104"/>
      <c r="D555" s="1"/>
      <c r="E555" s="1"/>
      <c r="F555" s="1"/>
      <c r="G555" s="1"/>
      <c r="H555" s="1"/>
      <c r="I555" s="1"/>
      <c r="J555" s="34"/>
      <c r="K555" s="1"/>
      <c r="L555" s="1"/>
      <c r="M555" s="1"/>
      <c r="N555" s="45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45">
      <c r="A556" s="1"/>
      <c r="B556" s="104"/>
      <c r="C556" s="104"/>
      <c r="D556" s="1"/>
      <c r="E556" s="1"/>
      <c r="F556" s="1"/>
      <c r="G556" s="1"/>
      <c r="H556" s="1"/>
      <c r="I556" s="1"/>
      <c r="J556" s="34"/>
      <c r="K556" s="1"/>
      <c r="L556" s="1"/>
      <c r="M556" s="1"/>
      <c r="N556" s="45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45">
      <c r="A557" s="1"/>
      <c r="B557" s="104"/>
      <c r="C557" s="104"/>
      <c r="D557" s="1"/>
      <c r="E557" s="1"/>
      <c r="F557" s="1"/>
      <c r="G557" s="1"/>
      <c r="H557" s="1"/>
      <c r="I557" s="1"/>
      <c r="J557" s="34"/>
      <c r="K557" s="1"/>
      <c r="L557" s="1"/>
      <c r="M557" s="1"/>
      <c r="N557" s="45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45">
      <c r="A558" s="1"/>
      <c r="B558" s="104"/>
      <c r="C558" s="104"/>
      <c r="D558" s="1"/>
      <c r="E558" s="1"/>
      <c r="F558" s="1"/>
      <c r="G558" s="1"/>
      <c r="H558" s="1"/>
      <c r="I558" s="1"/>
      <c r="J558" s="34"/>
      <c r="K558" s="1"/>
      <c r="L558" s="1"/>
      <c r="M558" s="1"/>
      <c r="N558" s="45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45">
      <c r="A559" s="1"/>
      <c r="B559" s="104"/>
      <c r="C559" s="104"/>
      <c r="D559" s="1"/>
      <c r="E559" s="1"/>
      <c r="F559" s="1"/>
      <c r="G559" s="1"/>
      <c r="H559" s="1"/>
      <c r="I559" s="1"/>
      <c r="J559" s="34"/>
      <c r="K559" s="1"/>
      <c r="L559" s="1"/>
      <c r="M559" s="1"/>
      <c r="N559" s="45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45">
      <c r="A560" s="1"/>
      <c r="B560" s="104"/>
      <c r="C560" s="104"/>
      <c r="D560" s="1"/>
      <c r="E560" s="1"/>
      <c r="F560" s="1"/>
      <c r="G560" s="1"/>
      <c r="H560" s="1"/>
      <c r="I560" s="1"/>
      <c r="J560" s="34"/>
      <c r="K560" s="1"/>
      <c r="L560" s="1"/>
      <c r="M560" s="1"/>
      <c r="N560" s="45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45">
      <c r="A561" s="1"/>
      <c r="B561" s="104"/>
      <c r="C561" s="104"/>
      <c r="D561" s="1"/>
      <c r="E561" s="1"/>
      <c r="F561" s="1"/>
      <c r="G561" s="1"/>
      <c r="H561" s="1"/>
      <c r="I561" s="1"/>
      <c r="J561" s="34"/>
      <c r="K561" s="1"/>
      <c r="L561" s="1"/>
      <c r="M561" s="1"/>
      <c r="N561" s="45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45">
      <c r="A562" s="1"/>
      <c r="B562" s="104"/>
      <c r="C562" s="104"/>
      <c r="D562" s="1"/>
      <c r="E562" s="1"/>
      <c r="F562" s="1"/>
      <c r="G562" s="1"/>
      <c r="H562" s="1"/>
      <c r="I562" s="1"/>
      <c r="J562" s="34"/>
      <c r="K562" s="1"/>
      <c r="L562" s="1"/>
      <c r="M562" s="1"/>
      <c r="N562" s="45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45">
      <c r="A563" s="1"/>
      <c r="B563" s="104"/>
      <c r="C563" s="104"/>
      <c r="D563" s="1"/>
      <c r="E563" s="1"/>
      <c r="F563" s="1"/>
      <c r="G563" s="1"/>
      <c r="H563" s="1"/>
      <c r="I563" s="1"/>
      <c r="J563" s="34"/>
      <c r="K563" s="1"/>
      <c r="L563" s="1"/>
      <c r="M563" s="1"/>
      <c r="N563" s="45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45">
      <c r="A564" s="1"/>
      <c r="B564" s="104"/>
      <c r="C564" s="104"/>
      <c r="D564" s="1"/>
      <c r="E564" s="1"/>
      <c r="F564" s="1"/>
      <c r="G564" s="1"/>
      <c r="H564" s="1"/>
      <c r="I564" s="1"/>
      <c r="J564" s="34"/>
      <c r="K564" s="1"/>
      <c r="L564" s="1"/>
      <c r="M564" s="1"/>
      <c r="N564" s="45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45">
      <c r="A565" s="1"/>
      <c r="B565" s="104"/>
      <c r="C565" s="104"/>
      <c r="D565" s="1"/>
      <c r="E565" s="1"/>
      <c r="F565" s="1"/>
      <c r="G565" s="1"/>
      <c r="H565" s="1"/>
      <c r="I565" s="1"/>
      <c r="J565" s="34"/>
      <c r="K565" s="1"/>
      <c r="L565" s="1"/>
      <c r="M565" s="1"/>
      <c r="N565" s="45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45">
      <c r="A566" s="1"/>
      <c r="B566" s="104"/>
      <c r="C566" s="104"/>
      <c r="D566" s="1"/>
      <c r="E566" s="1"/>
      <c r="F566" s="1"/>
      <c r="G566" s="1"/>
      <c r="H566" s="1"/>
      <c r="I566" s="1"/>
      <c r="J566" s="34"/>
      <c r="K566" s="1"/>
      <c r="L566" s="1"/>
      <c r="M566" s="1"/>
      <c r="N566" s="45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45">
      <c r="A567" s="1"/>
      <c r="B567" s="104"/>
      <c r="C567" s="104"/>
      <c r="D567" s="1"/>
      <c r="E567" s="1"/>
      <c r="F567" s="1"/>
      <c r="G567" s="1"/>
      <c r="H567" s="1"/>
      <c r="I567" s="1"/>
      <c r="J567" s="34"/>
      <c r="K567" s="1"/>
      <c r="L567" s="1"/>
      <c r="M567" s="1"/>
      <c r="N567" s="45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45">
      <c r="A568" s="1"/>
      <c r="B568" s="104"/>
      <c r="C568" s="104"/>
      <c r="D568" s="1"/>
      <c r="E568" s="1"/>
      <c r="F568" s="1"/>
      <c r="G568" s="1"/>
      <c r="H568" s="1"/>
      <c r="I568" s="1"/>
      <c r="J568" s="34"/>
      <c r="K568" s="1"/>
      <c r="L568" s="1"/>
      <c r="M568" s="1"/>
      <c r="N568" s="45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45">
      <c r="A569" s="1"/>
      <c r="B569" s="104"/>
      <c r="C569" s="104"/>
      <c r="D569" s="1"/>
      <c r="E569" s="1"/>
      <c r="F569" s="1"/>
      <c r="G569" s="1"/>
      <c r="H569" s="1"/>
      <c r="I569" s="1"/>
      <c r="J569" s="34"/>
      <c r="K569" s="1"/>
      <c r="L569" s="1"/>
      <c r="M569" s="1"/>
      <c r="N569" s="45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45">
      <c r="A570" s="1"/>
      <c r="B570" s="104"/>
      <c r="C570" s="104"/>
      <c r="D570" s="1"/>
      <c r="E570" s="1"/>
      <c r="F570" s="1"/>
      <c r="G570" s="1"/>
      <c r="H570" s="1"/>
      <c r="I570" s="1"/>
      <c r="J570" s="34"/>
      <c r="K570" s="1"/>
      <c r="L570" s="1"/>
      <c r="M570" s="1"/>
      <c r="N570" s="45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45">
      <c r="A571" s="1"/>
      <c r="B571" s="104"/>
      <c r="C571" s="104"/>
      <c r="D571" s="1"/>
      <c r="E571" s="1"/>
      <c r="F571" s="1"/>
      <c r="G571" s="1"/>
      <c r="H571" s="1"/>
      <c r="I571" s="1"/>
      <c r="J571" s="34"/>
      <c r="K571" s="1"/>
      <c r="L571" s="1"/>
      <c r="M571" s="1"/>
      <c r="N571" s="45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45">
      <c r="A572" s="1"/>
      <c r="B572" s="104"/>
      <c r="C572" s="104"/>
      <c r="D572" s="1"/>
      <c r="E572" s="1"/>
      <c r="F572" s="1"/>
      <c r="G572" s="1"/>
      <c r="H572" s="1"/>
      <c r="I572" s="1"/>
      <c r="J572" s="34"/>
      <c r="K572" s="1"/>
      <c r="L572" s="1"/>
      <c r="M572" s="1"/>
      <c r="N572" s="45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45">
      <c r="A573" s="1"/>
      <c r="B573" s="104"/>
      <c r="C573" s="104"/>
      <c r="D573" s="1"/>
      <c r="E573" s="1"/>
      <c r="F573" s="1"/>
      <c r="G573" s="1"/>
      <c r="H573" s="1"/>
      <c r="I573" s="1"/>
      <c r="J573" s="34"/>
      <c r="K573" s="1"/>
      <c r="L573" s="1"/>
      <c r="M573" s="1"/>
      <c r="N573" s="45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45">
      <c r="A574" s="1"/>
      <c r="B574" s="104"/>
      <c r="C574" s="104"/>
      <c r="D574" s="1"/>
      <c r="E574" s="1"/>
      <c r="F574" s="1"/>
      <c r="G574" s="1"/>
      <c r="H574" s="1"/>
      <c r="I574" s="1"/>
      <c r="J574" s="34"/>
      <c r="K574" s="1"/>
      <c r="L574" s="1"/>
      <c r="M574" s="1"/>
      <c r="N574" s="45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45">
      <c r="A575" s="1"/>
      <c r="B575" s="104"/>
      <c r="C575" s="104"/>
      <c r="D575" s="1"/>
      <c r="E575" s="1"/>
      <c r="F575" s="1"/>
      <c r="G575" s="1"/>
      <c r="H575" s="1"/>
      <c r="I575" s="1"/>
      <c r="J575" s="34"/>
      <c r="K575" s="1"/>
      <c r="L575" s="1"/>
      <c r="M575" s="1"/>
      <c r="N575" s="45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45">
      <c r="A576" s="1"/>
      <c r="B576" s="104"/>
      <c r="C576" s="104"/>
      <c r="D576" s="1"/>
      <c r="E576" s="1"/>
      <c r="F576" s="1"/>
      <c r="G576" s="1"/>
      <c r="H576" s="1"/>
      <c r="I576" s="1"/>
      <c r="J576" s="34"/>
      <c r="K576" s="1"/>
      <c r="L576" s="1"/>
      <c r="M576" s="1"/>
      <c r="N576" s="45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45">
      <c r="A577" s="1"/>
      <c r="B577" s="104"/>
      <c r="C577" s="104"/>
      <c r="D577" s="1"/>
      <c r="E577" s="1"/>
      <c r="F577" s="1"/>
      <c r="G577" s="1"/>
      <c r="H577" s="1"/>
      <c r="I577" s="1"/>
      <c r="J577" s="34"/>
      <c r="K577" s="1"/>
      <c r="L577" s="1"/>
      <c r="M577" s="1"/>
      <c r="N577" s="45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45">
      <c r="A578" s="1"/>
      <c r="B578" s="104"/>
      <c r="C578" s="104"/>
      <c r="D578" s="1"/>
      <c r="E578" s="1"/>
      <c r="F578" s="1"/>
      <c r="G578" s="1"/>
      <c r="H578" s="1"/>
      <c r="I578" s="1"/>
      <c r="J578" s="34"/>
      <c r="K578" s="1"/>
      <c r="L578" s="1"/>
      <c r="M578" s="1"/>
      <c r="N578" s="45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45">
      <c r="A579" s="1"/>
      <c r="B579" s="104"/>
      <c r="C579" s="104"/>
      <c r="D579" s="1"/>
      <c r="E579" s="1"/>
      <c r="F579" s="1"/>
      <c r="G579" s="1"/>
      <c r="H579" s="1"/>
      <c r="I579" s="1"/>
      <c r="J579" s="34"/>
      <c r="K579" s="1"/>
      <c r="L579" s="1"/>
      <c r="M579" s="1"/>
      <c r="N579" s="45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45">
      <c r="A580" s="1"/>
      <c r="B580" s="104"/>
      <c r="C580" s="104"/>
      <c r="D580" s="1"/>
      <c r="E580" s="1"/>
      <c r="F580" s="1"/>
      <c r="G580" s="1"/>
      <c r="H580" s="1"/>
      <c r="I580" s="1"/>
      <c r="J580" s="34"/>
      <c r="K580" s="1"/>
      <c r="L580" s="1"/>
      <c r="M580" s="1"/>
      <c r="N580" s="45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45">
      <c r="A581" s="1"/>
      <c r="B581" s="104"/>
      <c r="C581" s="104"/>
      <c r="D581" s="1"/>
      <c r="E581" s="1"/>
      <c r="F581" s="1"/>
      <c r="G581" s="1"/>
      <c r="H581" s="1"/>
      <c r="I581" s="1"/>
      <c r="J581" s="34"/>
      <c r="K581" s="1"/>
      <c r="L581" s="1"/>
      <c r="M581" s="1"/>
      <c r="N581" s="45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45">
      <c r="A582" s="1"/>
      <c r="B582" s="104"/>
      <c r="C582" s="104"/>
      <c r="D582" s="1"/>
      <c r="E582" s="1"/>
      <c r="F582" s="1"/>
      <c r="G582" s="1"/>
      <c r="H582" s="1"/>
      <c r="I582" s="1"/>
      <c r="J582" s="34"/>
      <c r="K582" s="1"/>
      <c r="L582" s="1"/>
      <c r="M582" s="1"/>
      <c r="N582" s="45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45">
      <c r="A583" s="1"/>
      <c r="B583" s="104"/>
      <c r="C583" s="104"/>
      <c r="D583" s="1"/>
      <c r="E583" s="1"/>
      <c r="F583" s="1"/>
      <c r="G583" s="1"/>
      <c r="H583" s="1"/>
      <c r="I583" s="1"/>
      <c r="J583" s="34"/>
      <c r="K583" s="1"/>
      <c r="L583" s="1"/>
      <c r="M583" s="1"/>
      <c r="N583" s="45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45">
      <c r="A584" s="1"/>
      <c r="B584" s="104"/>
      <c r="C584" s="104"/>
      <c r="D584" s="1"/>
      <c r="E584" s="1"/>
      <c r="F584" s="1"/>
      <c r="G584" s="1"/>
      <c r="H584" s="1"/>
      <c r="I584" s="1"/>
      <c r="J584" s="34"/>
      <c r="K584" s="1"/>
      <c r="L584" s="1"/>
      <c r="M584" s="1"/>
      <c r="N584" s="45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45">
      <c r="A585" s="1"/>
      <c r="B585" s="104"/>
      <c r="C585" s="104"/>
      <c r="D585" s="1"/>
      <c r="E585" s="1"/>
      <c r="F585" s="1"/>
      <c r="G585" s="1"/>
      <c r="H585" s="1"/>
      <c r="I585" s="1"/>
      <c r="J585" s="34"/>
      <c r="K585" s="1"/>
      <c r="L585" s="1"/>
      <c r="M585" s="1"/>
      <c r="N585" s="45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45">
      <c r="A586" s="1"/>
      <c r="B586" s="104"/>
      <c r="C586" s="104"/>
      <c r="D586" s="1"/>
      <c r="E586" s="1"/>
      <c r="F586" s="1"/>
      <c r="G586" s="1"/>
      <c r="H586" s="1"/>
      <c r="I586" s="1"/>
      <c r="J586" s="34"/>
      <c r="K586" s="1"/>
      <c r="L586" s="1"/>
      <c r="M586" s="1"/>
      <c r="N586" s="45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45">
      <c r="A587" s="1"/>
      <c r="B587" s="104"/>
      <c r="C587" s="104"/>
      <c r="D587" s="1"/>
      <c r="E587" s="1"/>
      <c r="F587" s="1"/>
      <c r="G587" s="1"/>
      <c r="H587" s="1"/>
      <c r="I587" s="1"/>
      <c r="J587" s="34"/>
      <c r="K587" s="1"/>
      <c r="L587" s="1"/>
      <c r="M587" s="1"/>
      <c r="N587" s="45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45">
      <c r="A588" s="1"/>
      <c r="B588" s="104"/>
      <c r="C588" s="104"/>
      <c r="D588" s="1"/>
      <c r="E588" s="1"/>
      <c r="F588" s="1"/>
      <c r="G588" s="1"/>
      <c r="H588" s="1"/>
      <c r="I588" s="1"/>
      <c r="J588" s="34"/>
      <c r="K588" s="1"/>
      <c r="L588" s="1"/>
      <c r="M588" s="1"/>
      <c r="N588" s="45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45">
      <c r="A589" s="1"/>
      <c r="B589" s="104"/>
      <c r="C589" s="104"/>
      <c r="D589" s="1"/>
      <c r="E589" s="1"/>
      <c r="F589" s="1"/>
      <c r="G589" s="1"/>
      <c r="H589" s="1"/>
      <c r="I589" s="1"/>
      <c r="J589" s="34"/>
      <c r="K589" s="1"/>
      <c r="L589" s="1"/>
      <c r="M589" s="1"/>
      <c r="N589" s="45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45">
      <c r="A590" s="1"/>
      <c r="B590" s="104"/>
      <c r="C590" s="104"/>
      <c r="D590" s="1"/>
      <c r="E590" s="1"/>
      <c r="F590" s="1"/>
      <c r="G590" s="1"/>
      <c r="H590" s="1"/>
      <c r="I590" s="1"/>
      <c r="J590" s="34"/>
      <c r="K590" s="1"/>
      <c r="L590" s="1"/>
      <c r="M590" s="1"/>
      <c r="N590" s="45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45">
      <c r="A591" s="1"/>
      <c r="B591" s="104"/>
      <c r="C591" s="104"/>
      <c r="D591" s="1"/>
      <c r="E591" s="1"/>
      <c r="F591" s="1"/>
      <c r="G591" s="1"/>
      <c r="H591" s="1"/>
      <c r="I591" s="1"/>
      <c r="J591" s="34"/>
      <c r="K591" s="1"/>
      <c r="L591" s="1"/>
      <c r="M591" s="1"/>
      <c r="N591" s="45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45">
      <c r="A592" s="1"/>
      <c r="B592" s="104"/>
      <c r="C592" s="104"/>
      <c r="D592" s="1"/>
      <c r="E592" s="1"/>
      <c r="F592" s="1"/>
      <c r="G592" s="1"/>
      <c r="H592" s="1"/>
      <c r="I592" s="1"/>
      <c r="J592" s="34"/>
      <c r="K592" s="1"/>
      <c r="L592" s="1"/>
      <c r="M592" s="1"/>
      <c r="N592" s="45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45">
      <c r="A593" s="1"/>
      <c r="B593" s="104"/>
      <c r="C593" s="104"/>
      <c r="D593" s="1"/>
      <c r="E593" s="1"/>
      <c r="F593" s="1"/>
      <c r="G593" s="1"/>
      <c r="H593" s="1"/>
      <c r="I593" s="1"/>
      <c r="J593" s="34"/>
      <c r="K593" s="1"/>
      <c r="L593" s="1"/>
      <c r="M593" s="1"/>
      <c r="N593" s="45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45">
      <c r="A594" s="1"/>
      <c r="B594" s="104"/>
      <c r="C594" s="104"/>
      <c r="D594" s="1"/>
      <c r="E594" s="1"/>
      <c r="F594" s="1"/>
      <c r="G594" s="1"/>
      <c r="H594" s="1"/>
      <c r="I594" s="1"/>
      <c r="J594" s="34"/>
      <c r="K594" s="1"/>
      <c r="L594" s="1"/>
      <c r="M594" s="1"/>
      <c r="N594" s="45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45">
      <c r="A595" s="1"/>
      <c r="B595" s="104"/>
      <c r="C595" s="104"/>
      <c r="D595" s="1"/>
      <c r="E595" s="1"/>
      <c r="F595" s="1"/>
      <c r="G595" s="1"/>
      <c r="H595" s="1"/>
      <c r="I595" s="1"/>
      <c r="J595" s="34"/>
      <c r="K595" s="1"/>
      <c r="L595" s="1"/>
      <c r="M595" s="1"/>
      <c r="N595" s="45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45">
      <c r="A596" s="1"/>
      <c r="B596" s="104"/>
      <c r="C596" s="104"/>
      <c r="D596" s="1"/>
      <c r="E596" s="1"/>
      <c r="F596" s="1"/>
      <c r="G596" s="1"/>
      <c r="H596" s="1"/>
      <c r="I596" s="1"/>
      <c r="J596" s="34"/>
      <c r="K596" s="1"/>
      <c r="L596" s="1"/>
      <c r="M596" s="1"/>
      <c r="N596" s="45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45">
      <c r="A597" s="1"/>
      <c r="B597" s="104"/>
      <c r="C597" s="104"/>
      <c r="D597" s="1"/>
      <c r="E597" s="1"/>
      <c r="F597" s="1"/>
      <c r="G597" s="1"/>
      <c r="H597" s="1"/>
      <c r="I597" s="1"/>
      <c r="J597" s="34"/>
      <c r="K597" s="1"/>
      <c r="L597" s="1"/>
      <c r="M597" s="1"/>
      <c r="N597" s="45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45">
      <c r="A598" s="1"/>
      <c r="B598" s="104"/>
      <c r="C598" s="104"/>
      <c r="D598" s="1"/>
      <c r="E598" s="1"/>
      <c r="F598" s="1"/>
      <c r="G598" s="1"/>
      <c r="H598" s="1"/>
      <c r="I598" s="1"/>
      <c r="J598" s="34"/>
      <c r="K598" s="1"/>
      <c r="L598" s="1"/>
      <c r="M598" s="1"/>
      <c r="N598" s="45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45">
      <c r="A599" s="1"/>
      <c r="B599" s="104"/>
      <c r="C599" s="104"/>
      <c r="D599" s="1"/>
      <c r="E599" s="1"/>
      <c r="F599" s="1"/>
      <c r="G599" s="1"/>
      <c r="H599" s="1"/>
      <c r="I599" s="1"/>
      <c r="J599" s="34"/>
      <c r="K599" s="1"/>
      <c r="L599" s="1"/>
      <c r="M599" s="1"/>
      <c r="N599" s="45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45">
      <c r="A600" s="1"/>
      <c r="B600" s="104"/>
      <c r="C600" s="104"/>
      <c r="D600" s="1"/>
      <c r="E600" s="1"/>
      <c r="F600" s="1"/>
      <c r="G600" s="1"/>
      <c r="H600" s="1"/>
      <c r="I600" s="1"/>
      <c r="J600" s="34"/>
      <c r="K600" s="1"/>
      <c r="L600" s="1"/>
      <c r="M600" s="1"/>
      <c r="N600" s="45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45">
      <c r="A601" s="1"/>
      <c r="B601" s="104"/>
      <c r="C601" s="104"/>
      <c r="D601" s="1"/>
      <c r="E601" s="1"/>
      <c r="F601" s="1"/>
      <c r="G601" s="1"/>
      <c r="H601" s="1"/>
      <c r="I601" s="1"/>
      <c r="J601" s="34"/>
      <c r="K601" s="1"/>
      <c r="L601" s="1"/>
      <c r="M601" s="1"/>
      <c r="N601" s="45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45">
      <c r="A602" s="1"/>
      <c r="B602" s="104"/>
      <c r="C602" s="104"/>
      <c r="D602" s="1"/>
      <c r="E602" s="1"/>
      <c r="F602" s="1"/>
      <c r="G602" s="1"/>
      <c r="H602" s="1"/>
      <c r="I602" s="1"/>
      <c r="J602" s="34"/>
      <c r="K602" s="1"/>
      <c r="L602" s="1"/>
      <c r="M602" s="1"/>
      <c r="N602" s="45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45">
      <c r="A603" s="1"/>
      <c r="B603" s="104"/>
      <c r="C603" s="104"/>
      <c r="D603" s="1"/>
      <c r="E603" s="1"/>
      <c r="F603" s="1"/>
      <c r="G603" s="1"/>
      <c r="H603" s="1"/>
      <c r="I603" s="1"/>
      <c r="J603" s="34"/>
      <c r="K603" s="1"/>
      <c r="L603" s="1"/>
      <c r="M603" s="1"/>
      <c r="N603" s="45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45">
      <c r="A604" s="1"/>
      <c r="B604" s="104"/>
      <c r="C604" s="104"/>
      <c r="D604" s="1"/>
      <c r="E604" s="1"/>
      <c r="F604" s="1"/>
      <c r="G604" s="1"/>
      <c r="H604" s="1"/>
      <c r="I604" s="1"/>
      <c r="J604" s="34"/>
      <c r="K604" s="1"/>
      <c r="L604" s="1"/>
      <c r="M604" s="1"/>
      <c r="N604" s="45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45">
      <c r="A605" s="1"/>
      <c r="B605" s="104"/>
      <c r="C605" s="104"/>
      <c r="D605" s="1"/>
      <c r="E605" s="1"/>
      <c r="F605" s="1"/>
      <c r="G605" s="1"/>
      <c r="H605" s="1"/>
      <c r="I605" s="1"/>
      <c r="J605" s="34"/>
      <c r="K605" s="1"/>
      <c r="L605" s="1"/>
      <c r="M605" s="1"/>
      <c r="N605" s="45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45">
      <c r="A606" s="1"/>
      <c r="B606" s="104"/>
      <c r="C606" s="104"/>
      <c r="D606" s="1"/>
      <c r="E606" s="1"/>
      <c r="F606" s="1"/>
      <c r="G606" s="1"/>
      <c r="H606" s="1"/>
      <c r="I606" s="1"/>
      <c r="J606" s="34"/>
      <c r="K606" s="1"/>
      <c r="L606" s="1"/>
      <c r="M606" s="1"/>
      <c r="N606" s="45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45">
      <c r="A607" s="1"/>
      <c r="B607" s="104"/>
      <c r="C607" s="104"/>
      <c r="D607" s="1"/>
      <c r="E607" s="1"/>
      <c r="F607" s="1"/>
      <c r="G607" s="1"/>
      <c r="H607" s="1"/>
      <c r="I607" s="1"/>
      <c r="J607" s="34"/>
      <c r="K607" s="1"/>
      <c r="L607" s="1"/>
      <c r="M607" s="1"/>
      <c r="N607" s="45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45">
      <c r="A608" s="1"/>
      <c r="B608" s="104"/>
      <c r="C608" s="104"/>
      <c r="D608" s="1"/>
      <c r="E608" s="1"/>
      <c r="F608" s="1"/>
      <c r="G608" s="1"/>
      <c r="H608" s="1"/>
      <c r="I608" s="1"/>
      <c r="J608" s="34"/>
      <c r="K608" s="1"/>
      <c r="L608" s="1"/>
      <c r="M608" s="1"/>
      <c r="N608" s="45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45">
      <c r="A609" s="1"/>
      <c r="B609" s="104"/>
      <c r="C609" s="104"/>
      <c r="D609" s="1"/>
      <c r="E609" s="1"/>
      <c r="F609" s="1"/>
      <c r="G609" s="1"/>
      <c r="H609" s="1"/>
      <c r="I609" s="1"/>
      <c r="J609" s="34"/>
      <c r="K609" s="1"/>
      <c r="L609" s="1"/>
      <c r="M609" s="1"/>
      <c r="N609" s="45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45">
      <c r="A610" s="1"/>
      <c r="B610" s="104"/>
      <c r="C610" s="104"/>
      <c r="D610" s="1"/>
      <c r="E610" s="1"/>
      <c r="F610" s="1"/>
      <c r="G610" s="1"/>
      <c r="H610" s="1"/>
      <c r="I610" s="1"/>
      <c r="J610" s="34"/>
      <c r="K610" s="1"/>
      <c r="L610" s="1"/>
      <c r="M610" s="1"/>
      <c r="N610" s="45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45">
      <c r="A611" s="1"/>
      <c r="B611" s="104"/>
      <c r="C611" s="104"/>
      <c r="D611" s="1"/>
      <c r="E611" s="1"/>
      <c r="F611" s="1"/>
      <c r="G611" s="1"/>
      <c r="H611" s="1"/>
      <c r="I611" s="1"/>
      <c r="J611" s="34"/>
      <c r="K611" s="1"/>
      <c r="L611" s="1"/>
      <c r="M611" s="1"/>
      <c r="N611" s="45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45">
      <c r="A612" s="1"/>
      <c r="B612" s="104"/>
      <c r="C612" s="104"/>
      <c r="D612" s="1"/>
      <c r="E612" s="1"/>
      <c r="F612" s="1"/>
      <c r="G612" s="1"/>
      <c r="H612" s="1"/>
      <c r="I612" s="1"/>
      <c r="J612" s="34"/>
      <c r="K612" s="1"/>
      <c r="L612" s="1"/>
      <c r="M612" s="1"/>
      <c r="N612" s="45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45">
      <c r="A613" s="1"/>
      <c r="B613" s="104"/>
      <c r="C613" s="104"/>
      <c r="D613" s="1"/>
      <c r="E613" s="1"/>
      <c r="F613" s="1"/>
      <c r="G613" s="1"/>
      <c r="H613" s="1"/>
      <c r="I613" s="1"/>
      <c r="J613" s="34"/>
      <c r="K613" s="1"/>
      <c r="L613" s="1"/>
      <c r="M613" s="1"/>
      <c r="N613" s="45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45">
      <c r="A614" s="1"/>
      <c r="B614" s="104"/>
      <c r="C614" s="104"/>
      <c r="D614" s="1"/>
      <c r="E614" s="1"/>
      <c r="F614" s="1"/>
      <c r="G614" s="1"/>
      <c r="H614" s="1"/>
      <c r="I614" s="1"/>
      <c r="J614" s="34"/>
      <c r="K614" s="1"/>
      <c r="L614" s="1"/>
      <c r="M614" s="1"/>
      <c r="N614" s="45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45">
      <c r="A615" s="1"/>
      <c r="B615" s="104"/>
      <c r="C615" s="104"/>
      <c r="D615" s="1"/>
      <c r="E615" s="1"/>
      <c r="F615" s="1"/>
      <c r="G615" s="1"/>
      <c r="H615" s="1"/>
      <c r="I615" s="1"/>
      <c r="J615" s="34"/>
      <c r="K615" s="1"/>
      <c r="L615" s="1"/>
      <c r="M615" s="1"/>
      <c r="N615" s="45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45">
      <c r="A616" s="1"/>
      <c r="B616" s="104"/>
      <c r="C616" s="104"/>
      <c r="D616" s="1"/>
      <c r="E616" s="1"/>
      <c r="F616" s="1"/>
      <c r="G616" s="1"/>
      <c r="H616" s="1"/>
      <c r="I616" s="1"/>
      <c r="J616" s="34"/>
      <c r="K616" s="1"/>
      <c r="L616" s="1"/>
      <c r="M616" s="1"/>
      <c r="N616" s="45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45">
      <c r="A617" s="1"/>
      <c r="B617" s="104"/>
      <c r="C617" s="104"/>
      <c r="D617" s="1"/>
      <c r="E617" s="1"/>
      <c r="F617" s="1"/>
      <c r="G617" s="1"/>
      <c r="H617" s="1"/>
      <c r="I617" s="1"/>
      <c r="J617" s="34"/>
      <c r="K617" s="1"/>
      <c r="L617" s="1"/>
      <c r="M617" s="1"/>
      <c r="N617" s="45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45">
      <c r="A618" s="1"/>
      <c r="B618" s="104"/>
      <c r="C618" s="104"/>
      <c r="D618" s="1"/>
      <c r="E618" s="1"/>
      <c r="F618" s="1"/>
      <c r="G618" s="1"/>
      <c r="H618" s="1"/>
      <c r="I618" s="1"/>
      <c r="J618" s="34"/>
      <c r="K618" s="1"/>
      <c r="L618" s="1"/>
      <c r="M618" s="1"/>
      <c r="N618" s="45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45">
      <c r="A619" s="1"/>
      <c r="B619" s="104"/>
      <c r="C619" s="104"/>
      <c r="D619" s="1"/>
      <c r="E619" s="1"/>
      <c r="F619" s="1"/>
      <c r="G619" s="1"/>
      <c r="H619" s="1"/>
      <c r="I619" s="1"/>
      <c r="J619" s="34"/>
      <c r="K619" s="1"/>
      <c r="L619" s="1"/>
      <c r="M619" s="1"/>
      <c r="N619" s="45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45">
      <c r="A620" s="1"/>
      <c r="B620" s="104"/>
      <c r="C620" s="104"/>
      <c r="D620" s="1"/>
      <c r="E620" s="1"/>
      <c r="F620" s="1"/>
      <c r="G620" s="1"/>
      <c r="H620" s="1"/>
      <c r="I620" s="1"/>
      <c r="J620" s="34"/>
      <c r="K620" s="1"/>
      <c r="L620" s="1"/>
      <c r="M620" s="1"/>
      <c r="N620" s="45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45">
      <c r="A621" s="1"/>
      <c r="B621" s="104"/>
      <c r="C621" s="104"/>
      <c r="D621" s="1"/>
      <c r="E621" s="1"/>
      <c r="F621" s="1"/>
      <c r="G621" s="1"/>
      <c r="H621" s="1"/>
      <c r="I621" s="1"/>
      <c r="J621" s="34"/>
      <c r="K621" s="1"/>
      <c r="L621" s="1"/>
      <c r="M621" s="1"/>
      <c r="N621" s="45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45">
      <c r="A622" s="1"/>
      <c r="B622" s="104"/>
      <c r="C622" s="104"/>
      <c r="D622" s="1"/>
      <c r="E622" s="1"/>
      <c r="F622" s="1"/>
      <c r="G622" s="1"/>
      <c r="H622" s="1"/>
      <c r="I622" s="1"/>
      <c r="J622" s="34"/>
      <c r="K622" s="1"/>
      <c r="L622" s="1"/>
      <c r="M622" s="1"/>
      <c r="N622" s="45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45">
      <c r="A623" s="1"/>
      <c r="B623" s="104"/>
      <c r="C623" s="104"/>
      <c r="D623" s="1"/>
      <c r="E623" s="1"/>
      <c r="F623" s="1"/>
      <c r="G623" s="1"/>
      <c r="H623" s="1"/>
      <c r="I623" s="1"/>
      <c r="J623" s="34"/>
      <c r="K623" s="1"/>
      <c r="L623" s="1"/>
      <c r="M623" s="1"/>
      <c r="N623" s="45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45">
      <c r="A624" s="1"/>
      <c r="B624" s="104"/>
      <c r="C624" s="104"/>
      <c r="D624" s="1"/>
      <c r="E624" s="1"/>
      <c r="F624" s="1"/>
      <c r="G624" s="1"/>
      <c r="H624" s="1"/>
      <c r="I624" s="1"/>
      <c r="J624" s="34"/>
      <c r="K624" s="1"/>
      <c r="L624" s="1"/>
      <c r="M624" s="1"/>
      <c r="N624" s="45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45">
      <c r="A625" s="1"/>
      <c r="B625" s="104"/>
      <c r="C625" s="104"/>
      <c r="D625" s="1"/>
      <c r="E625" s="1"/>
      <c r="F625" s="1"/>
      <c r="G625" s="1"/>
      <c r="H625" s="1"/>
      <c r="I625" s="1"/>
      <c r="J625" s="34"/>
      <c r="K625" s="1"/>
      <c r="L625" s="1"/>
      <c r="M625" s="1"/>
      <c r="N625" s="45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45">
      <c r="A626" s="1"/>
      <c r="B626" s="104"/>
      <c r="C626" s="104"/>
      <c r="D626" s="1"/>
      <c r="E626" s="1"/>
      <c r="F626" s="1"/>
      <c r="G626" s="1"/>
      <c r="H626" s="1"/>
      <c r="I626" s="1"/>
      <c r="J626" s="34"/>
      <c r="K626" s="1"/>
      <c r="L626" s="1"/>
      <c r="M626" s="1"/>
      <c r="N626" s="45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45">
      <c r="A627" s="1"/>
      <c r="B627" s="104"/>
      <c r="C627" s="104"/>
      <c r="D627" s="1"/>
      <c r="E627" s="1"/>
      <c r="F627" s="1"/>
      <c r="G627" s="1"/>
      <c r="H627" s="1"/>
      <c r="I627" s="1"/>
      <c r="J627" s="34"/>
      <c r="K627" s="1"/>
      <c r="L627" s="1"/>
      <c r="M627" s="1"/>
      <c r="N627" s="45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45">
      <c r="A628" s="1"/>
      <c r="B628" s="104"/>
      <c r="C628" s="104"/>
      <c r="D628" s="1"/>
      <c r="E628" s="1"/>
      <c r="F628" s="1"/>
      <c r="G628" s="1"/>
      <c r="H628" s="1"/>
      <c r="I628" s="1"/>
      <c r="J628" s="34"/>
      <c r="K628" s="1"/>
      <c r="L628" s="1"/>
      <c r="M628" s="1"/>
      <c r="N628" s="45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45">
      <c r="A629" s="1"/>
      <c r="B629" s="104"/>
      <c r="C629" s="104"/>
      <c r="D629" s="1"/>
      <c r="E629" s="1"/>
      <c r="F629" s="1"/>
      <c r="G629" s="1"/>
      <c r="H629" s="1"/>
      <c r="I629" s="1"/>
      <c r="J629" s="34"/>
      <c r="K629" s="1"/>
      <c r="L629" s="1"/>
      <c r="M629" s="1"/>
      <c r="N629" s="45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45">
      <c r="A630" s="1"/>
      <c r="B630" s="104"/>
      <c r="C630" s="104"/>
      <c r="D630" s="1"/>
      <c r="E630" s="1"/>
      <c r="F630" s="1"/>
      <c r="G630" s="1"/>
      <c r="H630" s="1"/>
      <c r="I630" s="1"/>
      <c r="J630" s="34"/>
      <c r="K630" s="1"/>
      <c r="L630" s="1"/>
      <c r="M630" s="1"/>
      <c r="N630" s="45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45">
      <c r="A631" s="1"/>
      <c r="B631" s="104"/>
      <c r="C631" s="104"/>
      <c r="D631" s="1"/>
      <c r="E631" s="1"/>
      <c r="F631" s="1"/>
      <c r="G631" s="1"/>
      <c r="H631" s="1"/>
      <c r="I631" s="1"/>
      <c r="J631" s="34"/>
      <c r="K631" s="1"/>
      <c r="L631" s="1"/>
      <c r="M631" s="1"/>
      <c r="N631" s="45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45">
      <c r="A632" s="1"/>
      <c r="B632" s="104"/>
      <c r="C632" s="104"/>
      <c r="D632" s="1"/>
      <c r="E632" s="1"/>
      <c r="F632" s="1"/>
      <c r="G632" s="1"/>
      <c r="H632" s="1"/>
      <c r="I632" s="1"/>
      <c r="J632" s="34"/>
      <c r="K632" s="1"/>
      <c r="L632" s="1"/>
      <c r="M632" s="1"/>
      <c r="N632" s="45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45">
      <c r="A633" s="1"/>
      <c r="B633" s="104"/>
      <c r="C633" s="104"/>
      <c r="D633" s="1"/>
      <c r="E633" s="1"/>
      <c r="F633" s="1"/>
      <c r="G633" s="1"/>
      <c r="H633" s="1"/>
      <c r="I633" s="1"/>
      <c r="J633" s="34"/>
      <c r="K633" s="1"/>
      <c r="L633" s="1"/>
      <c r="M633" s="1"/>
      <c r="N633" s="45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45">
      <c r="A634" s="1"/>
      <c r="B634" s="104"/>
      <c r="C634" s="104"/>
      <c r="D634" s="1"/>
      <c r="E634" s="1"/>
      <c r="F634" s="1"/>
      <c r="G634" s="1"/>
      <c r="H634" s="1"/>
      <c r="I634" s="1"/>
      <c r="J634" s="34"/>
      <c r="K634" s="1"/>
      <c r="L634" s="1"/>
      <c r="M634" s="1"/>
      <c r="N634" s="45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45">
      <c r="A635" s="1"/>
      <c r="B635" s="104"/>
      <c r="C635" s="104"/>
      <c r="D635" s="1"/>
      <c r="E635" s="1"/>
      <c r="F635" s="1"/>
      <c r="G635" s="1"/>
      <c r="H635" s="1"/>
      <c r="I635" s="1"/>
      <c r="J635" s="34"/>
      <c r="K635" s="1"/>
      <c r="L635" s="1"/>
      <c r="M635" s="1"/>
      <c r="N635" s="45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45">
      <c r="A636" s="1"/>
      <c r="B636" s="104"/>
      <c r="C636" s="104"/>
      <c r="D636" s="1"/>
      <c r="E636" s="1"/>
      <c r="F636" s="1"/>
      <c r="G636" s="1"/>
      <c r="H636" s="1"/>
      <c r="I636" s="1"/>
      <c r="J636" s="34"/>
      <c r="K636" s="1"/>
      <c r="L636" s="1"/>
      <c r="M636" s="1"/>
      <c r="N636" s="45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45">
      <c r="A637" s="1"/>
      <c r="B637" s="104"/>
      <c r="C637" s="104"/>
      <c r="D637" s="1"/>
      <c r="E637" s="1"/>
      <c r="F637" s="1"/>
      <c r="G637" s="1"/>
      <c r="H637" s="1"/>
      <c r="I637" s="1"/>
      <c r="J637" s="34"/>
      <c r="K637" s="1"/>
      <c r="L637" s="1"/>
      <c r="M637" s="1"/>
      <c r="N637" s="45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45">
      <c r="A638" s="1"/>
      <c r="B638" s="104"/>
      <c r="C638" s="104"/>
      <c r="D638" s="1"/>
      <c r="E638" s="1"/>
      <c r="F638" s="1"/>
      <c r="G638" s="1"/>
      <c r="H638" s="1"/>
      <c r="I638" s="1"/>
      <c r="J638" s="34"/>
      <c r="K638" s="1"/>
      <c r="L638" s="1"/>
      <c r="M638" s="1"/>
      <c r="N638" s="45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45">
      <c r="A639" s="1"/>
      <c r="B639" s="104"/>
      <c r="C639" s="104"/>
      <c r="D639" s="1"/>
      <c r="E639" s="1"/>
      <c r="F639" s="1"/>
      <c r="G639" s="1"/>
      <c r="H639" s="1"/>
      <c r="I639" s="1"/>
      <c r="J639" s="34"/>
      <c r="K639" s="1"/>
      <c r="L639" s="1"/>
      <c r="M639" s="1"/>
      <c r="N639" s="45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45">
      <c r="A640" s="1"/>
      <c r="B640" s="104"/>
      <c r="C640" s="104"/>
      <c r="D640" s="1"/>
      <c r="E640" s="1"/>
      <c r="F640" s="1"/>
      <c r="G640" s="1"/>
      <c r="H640" s="1"/>
      <c r="I640" s="1"/>
      <c r="J640" s="34"/>
      <c r="K640" s="1"/>
      <c r="L640" s="1"/>
      <c r="M640" s="1"/>
      <c r="N640" s="45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45">
      <c r="A641" s="1"/>
      <c r="B641" s="104"/>
      <c r="C641" s="104"/>
      <c r="D641" s="1"/>
      <c r="E641" s="1"/>
      <c r="F641" s="1"/>
      <c r="G641" s="1"/>
      <c r="H641" s="1"/>
      <c r="I641" s="1"/>
      <c r="J641" s="34"/>
      <c r="K641" s="1"/>
      <c r="L641" s="1"/>
      <c r="M641" s="1"/>
      <c r="N641" s="45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45">
      <c r="A642" s="1"/>
      <c r="B642" s="104"/>
      <c r="C642" s="104"/>
      <c r="D642" s="1"/>
      <c r="E642" s="1"/>
      <c r="F642" s="1"/>
      <c r="G642" s="1"/>
      <c r="H642" s="1"/>
      <c r="I642" s="1"/>
      <c r="J642" s="34"/>
      <c r="K642" s="1"/>
      <c r="L642" s="1"/>
      <c r="M642" s="1"/>
      <c r="N642" s="45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45">
      <c r="A643" s="1"/>
      <c r="B643" s="104"/>
      <c r="C643" s="104"/>
      <c r="D643" s="1"/>
      <c r="E643" s="1"/>
      <c r="F643" s="1"/>
      <c r="G643" s="1"/>
      <c r="H643" s="1"/>
      <c r="I643" s="1"/>
      <c r="J643" s="34"/>
      <c r="K643" s="1"/>
      <c r="L643" s="1"/>
      <c r="M643" s="1"/>
      <c r="N643" s="45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45">
      <c r="A644" s="1"/>
      <c r="B644" s="104"/>
      <c r="C644" s="104"/>
      <c r="D644" s="1"/>
      <c r="E644" s="1"/>
      <c r="F644" s="1"/>
      <c r="G644" s="1"/>
      <c r="H644" s="1"/>
      <c r="I644" s="1"/>
      <c r="J644" s="34"/>
      <c r="K644" s="1"/>
      <c r="L644" s="1"/>
      <c r="M644" s="1"/>
      <c r="N644" s="45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45">
      <c r="A645" s="1"/>
      <c r="B645" s="104"/>
      <c r="C645" s="104"/>
      <c r="D645" s="1"/>
      <c r="E645" s="1"/>
      <c r="F645" s="1"/>
      <c r="G645" s="1"/>
      <c r="H645" s="1"/>
      <c r="I645" s="1"/>
      <c r="J645" s="34"/>
      <c r="K645" s="1"/>
      <c r="L645" s="1"/>
      <c r="M645" s="1"/>
      <c r="N645" s="45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45">
      <c r="A646" s="1"/>
      <c r="B646" s="104"/>
      <c r="C646" s="104"/>
      <c r="D646" s="1"/>
      <c r="E646" s="1"/>
      <c r="F646" s="1"/>
      <c r="G646" s="1"/>
      <c r="H646" s="1"/>
      <c r="I646" s="1"/>
      <c r="J646" s="34"/>
      <c r="K646" s="1"/>
      <c r="L646" s="1"/>
      <c r="M646" s="1"/>
      <c r="N646" s="45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45">
      <c r="A647" s="1"/>
      <c r="B647" s="104"/>
      <c r="C647" s="104"/>
      <c r="D647" s="1"/>
      <c r="E647" s="1"/>
      <c r="F647" s="1"/>
      <c r="G647" s="1"/>
      <c r="H647" s="1"/>
      <c r="I647" s="1"/>
      <c r="J647" s="34"/>
      <c r="K647" s="1"/>
      <c r="L647" s="1"/>
      <c r="M647" s="1"/>
      <c r="N647" s="45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45">
      <c r="A648" s="1"/>
      <c r="B648" s="104"/>
      <c r="C648" s="104"/>
      <c r="D648" s="1"/>
      <c r="E648" s="1"/>
      <c r="F648" s="1"/>
      <c r="G648" s="1"/>
      <c r="H648" s="1"/>
      <c r="I648" s="1"/>
      <c r="J648" s="34"/>
      <c r="K648" s="1"/>
      <c r="L648" s="1"/>
      <c r="M648" s="1"/>
      <c r="N648" s="45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45">
      <c r="A649" s="1"/>
      <c r="B649" s="104"/>
      <c r="C649" s="104"/>
      <c r="D649" s="1"/>
      <c r="E649" s="1"/>
      <c r="F649" s="1"/>
      <c r="G649" s="1"/>
      <c r="H649" s="1"/>
      <c r="I649" s="1"/>
      <c r="J649" s="34"/>
      <c r="K649" s="1"/>
      <c r="L649" s="1"/>
      <c r="M649" s="1"/>
      <c r="N649" s="45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45">
      <c r="A650" s="1"/>
      <c r="B650" s="104"/>
      <c r="C650" s="104"/>
      <c r="D650" s="1"/>
      <c r="E650" s="1"/>
      <c r="F650" s="1"/>
      <c r="G650" s="1"/>
      <c r="H650" s="1"/>
      <c r="I650" s="1"/>
      <c r="J650" s="34"/>
      <c r="K650" s="1"/>
      <c r="L650" s="1"/>
      <c r="M650" s="1"/>
      <c r="N650" s="45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45">
      <c r="A651" s="1"/>
      <c r="B651" s="104"/>
      <c r="C651" s="104"/>
      <c r="D651" s="1"/>
      <c r="E651" s="1"/>
      <c r="F651" s="1"/>
      <c r="G651" s="1"/>
      <c r="H651" s="1"/>
      <c r="I651" s="1"/>
      <c r="J651" s="34"/>
      <c r="K651" s="1"/>
      <c r="L651" s="1"/>
      <c r="M651" s="1"/>
      <c r="N651" s="45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45">
      <c r="A652" s="1"/>
      <c r="B652" s="104"/>
      <c r="C652" s="104"/>
      <c r="D652" s="1"/>
      <c r="E652" s="1"/>
      <c r="F652" s="1"/>
      <c r="G652" s="1"/>
      <c r="H652" s="1"/>
      <c r="I652" s="1"/>
      <c r="J652" s="34"/>
      <c r="K652" s="1"/>
      <c r="L652" s="1"/>
      <c r="M652" s="1"/>
      <c r="N652" s="45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45">
      <c r="A653" s="1"/>
      <c r="B653" s="104"/>
      <c r="C653" s="104"/>
      <c r="D653" s="1"/>
      <c r="E653" s="1"/>
      <c r="F653" s="1"/>
      <c r="G653" s="1"/>
      <c r="H653" s="1"/>
      <c r="I653" s="1"/>
      <c r="J653" s="34"/>
      <c r="K653" s="1"/>
      <c r="L653" s="1"/>
      <c r="M653" s="1"/>
      <c r="N653" s="45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45">
      <c r="A654" s="1"/>
      <c r="B654" s="104"/>
      <c r="C654" s="104"/>
      <c r="D654" s="1"/>
      <c r="E654" s="1"/>
      <c r="F654" s="1"/>
      <c r="G654" s="1"/>
      <c r="H654" s="1"/>
      <c r="I654" s="1"/>
      <c r="J654" s="34"/>
      <c r="K654" s="1"/>
      <c r="L654" s="1"/>
      <c r="M654" s="1"/>
      <c r="N654" s="45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45">
      <c r="A655" s="1"/>
      <c r="B655" s="104"/>
      <c r="C655" s="104"/>
      <c r="D655" s="1"/>
      <c r="E655" s="1"/>
      <c r="F655" s="1"/>
      <c r="G655" s="1"/>
      <c r="H655" s="1"/>
      <c r="I655" s="1"/>
      <c r="J655" s="34"/>
      <c r="K655" s="1"/>
      <c r="L655" s="1"/>
      <c r="M655" s="1"/>
      <c r="N655" s="45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45">
      <c r="A656" s="1"/>
      <c r="B656" s="104"/>
      <c r="C656" s="104"/>
      <c r="D656" s="1"/>
      <c r="E656" s="1"/>
      <c r="F656" s="1"/>
      <c r="G656" s="1"/>
      <c r="H656" s="1"/>
      <c r="I656" s="1"/>
      <c r="J656" s="34"/>
      <c r="K656" s="1"/>
      <c r="L656" s="1"/>
      <c r="M656" s="1"/>
      <c r="N656" s="45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45">
      <c r="A657" s="1"/>
      <c r="B657" s="104"/>
      <c r="C657" s="104"/>
      <c r="D657" s="1"/>
      <c r="E657" s="1"/>
      <c r="F657" s="1"/>
      <c r="G657" s="1"/>
      <c r="H657" s="1"/>
      <c r="I657" s="1"/>
      <c r="J657" s="34"/>
      <c r="K657" s="1"/>
      <c r="L657" s="1"/>
      <c r="M657" s="1"/>
      <c r="N657" s="45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45">
      <c r="A658" s="1"/>
      <c r="B658" s="104"/>
      <c r="C658" s="104"/>
      <c r="D658" s="1"/>
      <c r="E658" s="1"/>
      <c r="F658" s="1"/>
      <c r="G658" s="1"/>
      <c r="H658" s="1"/>
      <c r="I658" s="1"/>
      <c r="J658" s="34"/>
      <c r="K658" s="1"/>
      <c r="L658" s="1"/>
      <c r="M658" s="1"/>
      <c r="N658" s="45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45">
      <c r="A659" s="1"/>
      <c r="B659" s="104"/>
      <c r="C659" s="104"/>
      <c r="D659" s="1"/>
      <c r="E659" s="1"/>
      <c r="F659" s="1"/>
      <c r="G659" s="1"/>
      <c r="H659" s="1"/>
      <c r="I659" s="1"/>
      <c r="J659" s="34"/>
      <c r="K659" s="1"/>
      <c r="L659" s="1"/>
      <c r="M659" s="1"/>
      <c r="N659" s="45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45">
      <c r="A660" s="1"/>
      <c r="B660" s="104"/>
      <c r="C660" s="104"/>
      <c r="D660" s="1"/>
      <c r="E660" s="1"/>
      <c r="F660" s="1"/>
      <c r="G660" s="1"/>
      <c r="H660" s="1"/>
      <c r="I660" s="1"/>
      <c r="J660" s="34"/>
      <c r="K660" s="1"/>
      <c r="L660" s="1"/>
      <c r="M660" s="1"/>
      <c r="N660" s="45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45">
      <c r="A661" s="1"/>
      <c r="B661" s="104"/>
      <c r="C661" s="104"/>
      <c r="D661" s="1"/>
      <c r="E661" s="1"/>
      <c r="F661" s="1"/>
      <c r="G661" s="1"/>
      <c r="H661" s="1"/>
      <c r="I661" s="1"/>
      <c r="J661" s="34"/>
      <c r="K661" s="1"/>
      <c r="L661" s="1"/>
      <c r="M661" s="1"/>
      <c r="N661" s="45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45">
      <c r="A662" s="1"/>
      <c r="B662" s="104"/>
      <c r="C662" s="104"/>
      <c r="D662" s="1"/>
      <c r="E662" s="1"/>
      <c r="F662" s="1"/>
      <c r="G662" s="1"/>
      <c r="H662" s="1"/>
      <c r="I662" s="1"/>
      <c r="J662" s="34"/>
      <c r="K662" s="1"/>
      <c r="L662" s="1"/>
      <c r="M662" s="1"/>
      <c r="N662" s="45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45">
      <c r="A663" s="1"/>
      <c r="B663" s="104"/>
      <c r="C663" s="104"/>
      <c r="D663" s="1"/>
      <c r="E663" s="1"/>
      <c r="F663" s="1"/>
      <c r="G663" s="1"/>
      <c r="H663" s="1"/>
      <c r="I663" s="1"/>
      <c r="J663" s="34"/>
      <c r="K663" s="1"/>
      <c r="L663" s="1"/>
      <c r="M663" s="1"/>
      <c r="N663" s="45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45">
      <c r="A664" s="1"/>
      <c r="B664" s="104"/>
      <c r="C664" s="104"/>
      <c r="D664" s="1"/>
      <c r="E664" s="1"/>
      <c r="F664" s="1"/>
      <c r="G664" s="1"/>
      <c r="H664" s="1"/>
      <c r="I664" s="1"/>
      <c r="J664" s="34"/>
      <c r="K664" s="1"/>
      <c r="L664" s="1"/>
      <c r="M664" s="1"/>
      <c r="N664" s="45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45">
      <c r="A665" s="1"/>
      <c r="B665" s="104"/>
      <c r="C665" s="104"/>
      <c r="D665" s="1"/>
      <c r="E665" s="1"/>
      <c r="F665" s="1"/>
      <c r="G665" s="1"/>
      <c r="H665" s="1"/>
      <c r="I665" s="1"/>
      <c r="J665" s="34"/>
      <c r="K665" s="1"/>
      <c r="L665" s="1"/>
      <c r="M665" s="1"/>
      <c r="N665" s="45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45">
      <c r="A666" s="1"/>
      <c r="B666" s="104"/>
      <c r="C666" s="104"/>
      <c r="D666" s="1"/>
      <c r="E666" s="1"/>
      <c r="F666" s="1"/>
      <c r="G666" s="1"/>
      <c r="H666" s="1"/>
      <c r="I666" s="1"/>
      <c r="J666" s="34"/>
      <c r="K666" s="1"/>
      <c r="L666" s="1"/>
      <c r="M666" s="1"/>
      <c r="N666" s="45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45">
      <c r="A667" s="1"/>
      <c r="B667" s="104"/>
      <c r="C667" s="104"/>
      <c r="D667" s="1"/>
      <c r="E667" s="1"/>
      <c r="F667" s="1"/>
      <c r="G667" s="1"/>
      <c r="H667" s="1"/>
      <c r="I667" s="1"/>
      <c r="J667" s="34"/>
      <c r="K667" s="1"/>
      <c r="L667" s="1"/>
      <c r="M667" s="1"/>
      <c r="N667" s="45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45">
      <c r="A668" s="1"/>
      <c r="B668" s="104"/>
      <c r="C668" s="104"/>
      <c r="D668" s="1"/>
      <c r="E668" s="1"/>
      <c r="F668" s="1"/>
      <c r="G668" s="1"/>
      <c r="H668" s="1"/>
      <c r="I668" s="1"/>
      <c r="J668" s="34"/>
      <c r="K668" s="1"/>
      <c r="L668" s="1"/>
      <c r="M668" s="1"/>
      <c r="N668" s="45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45">
      <c r="A669" s="1"/>
      <c r="B669" s="104"/>
      <c r="C669" s="104"/>
      <c r="D669" s="1"/>
      <c r="E669" s="1"/>
      <c r="F669" s="1"/>
      <c r="G669" s="1"/>
      <c r="H669" s="1"/>
      <c r="I669" s="1"/>
      <c r="J669" s="34"/>
      <c r="K669" s="1"/>
      <c r="L669" s="1"/>
      <c r="M669" s="1"/>
      <c r="N669" s="45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45">
      <c r="A670" s="1"/>
      <c r="B670" s="104"/>
      <c r="C670" s="104"/>
      <c r="D670" s="1"/>
      <c r="E670" s="1"/>
      <c r="F670" s="1"/>
      <c r="G670" s="1"/>
      <c r="H670" s="1"/>
      <c r="I670" s="1"/>
      <c r="J670" s="34"/>
      <c r="K670" s="1"/>
      <c r="L670" s="1"/>
      <c r="M670" s="1"/>
      <c r="N670" s="45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45">
      <c r="A671" s="1"/>
      <c r="B671" s="104"/>
      <c r="C671" s="104"/>
      <c r="D671" s="1"/>
      <c r="E671" s="1"/>
      <c r="F671" s="1"/>
      <c r="G671" s="1"/>
      <c r="H671" s="1"/>
      <c r="I671" s="1"/>
      <c r="J671" s="34"/>
      <c r="K671" s="1"/>
      <c r="L671" s="1"/>
      <c r="M671" s="1"/>
      <c r="N671" s="45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45">
      <c r="A672" s="1"/>
      <c r="B672" s="104"/>
      <c r="C672" s="104"/>
      <c r="D672" s="1"/>
      <c r="E672" s="1"/>
      <c r="F672" s="1"/>
      <c r="G672" s="1"/>
      <c r="H672" s="1"/>
      <c r="I672" s="1"/>
      <c r="J672" s="34"/>
      <c r="K672" s="1"/>
      <c r="L672" s="1"/>
      <c r="M672" s="1"/>
      <c r="N672" s="45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45">
      <c r="A673" s="1"/>
      <c r="B673" s="104"/>
      <c r="C673" s="104"/>
      <c r="D673" s="1"/>
      <c r="E673" s="1"/>
      <c r="F673" s="1"/>
      <c r="G673" s="1"/>
      <c r="H673" s="1"/>
      <c r="I673" s="1"/>
      <c r="J673" s="34"/>
      <c r="K673" s="1"/>
      <c r="L673" s="1"/>
      <c r="M673" s="1"/>
      <c r="N673" s="45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45">
      <c r="A674" s="1"/>
      <c r="B674" s="104"/>
      <c r="C674" s="104"/>
      <c r="D674" s="1"/>
      <c r="E674" s="1"/>
      <c r="F674" s="1"/>
      <c r="G674" s="1"/>
      <c r="H674" s="1"/>
      <c r="I674" s="1"/>
      <c r="J674" s="34"/>
      <c r="K674" s="1"/>
      <c r="L674" s="1"/>
      <c r="M674" s="1"/>
      <c r="N674" s="45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45">
      <c r="A675" s="1"/>
      <c r="B675" s="104"/>
      <c r="C675" s="104"/>
      <c r="D675" s="1"/>
      <c r="E675" s="1"/>
      <c r="F675" s="1"/>
      <c r="G675" s="1"/>
      <c r="H675" s="1"/>
      <c r="I675" s="1"/>
      <c r="J675" s="34"/>
      <c r="K675" s="1"/>
      <c r="L675" s="1"/>
      <c r="M675" s="1"/>
      <c r="N675" s="45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45">
      <c r="A676" s="1"/>
      <c r="B676" s="104"/>
      <c r="C676" s="104"/>
      <c r="D676" s="1"/>
      <c r="E676" s="1"/>
      <c r="F676" s="1"/>
      <c r="G676" s="1"/>
      <c r="H676" s="1"/>
      <c r="I676" s="1"/>
      <c r="J676" s="34"/>
      <c r="K676" s="1"/>
      <c r="L676" s="1"/>
      <c r="M676" s="1"/>
      <c r="N676" s="45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45">
      <c r="A677" s="1"/>
      <c r="B677" s="104"/>
      <c r="C677" s="104"/>
      <c r="D677" s="1"/>
      <c r="E677" s="1"/>
      <c r="F677" s="1"/>
      <c r="G677" s="1"/>
      <c r="H677" s="1"/>
      <c r="I677" s="1"/>
      <c r="J677" s="34"/>
      <c r="K677" s="1"/>
      <c r="L677" s="1"/>
      <c r="M677" s="1"/>
      <c r="N677" s="45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45">
      <c r="A678" s="1"/>
      <c r="B678" s="104"/>
      <c r="C678" s="104"/>
      <c r="D678" s="1"/>
      <c r="E678" s="1"/>
      <c r="F678" s="1"/>
      <c r="G678" s="1"/>
      <c r="H678" s="1"/>
      <c r="I678" s="1"/>
      <c r="J678" s="34"/>
      <c r="K678" s="1"/>
      <c r="L678" s="1"/>
      <c r="M678" s="1"/>
      <c r="N678" s="45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45">
      <c r="A679" s="1"/>
      <c r="B679" s="104"/>
      <c r="C679" s="104"/>
      <c r="D679" s="1"/>
      <c r="E679" s="1"/>
      <c r="F679" s="1"/>
      <c r="G679" s="1"/>
      <c r="H679" s="1"/>
      <c r="I679" s="1"/>
      <c r="J679" s="34"/>
      <c r="K679" s="1"/>
      <c r="L679" s="1"/>
      <c r="M679" s="1"/>
      <c r="N679" s="45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45">
      <c r="A680" s="1"/>
      <c r="B680" s="104"/>
      <c r="C680" s="104"/>
      <c r="D680" s="1"/>
      <c r="E680" s="1"/>
      <c r="F680" s="1"/>
      <c r="G680" s="1"/>
      <c r="H680" s="1"/>
      <c r="I680" s="1"/>
      <c r="J680" s="34"/>
      <c r="K680" s="1"/>
      <c r="L680" s="1"/>
      <c r="M680" s="1"/>
      <c r="N680" s="45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45">
      <c r="A681" s="1"/>
      <c r="B681" s="104"/>
      <c r="C681" s="104"/>
      <c r="D681" s="1"/>
      <c r="E681" s="1"/>
      <c r="F681" s="1"/>
      <c r="G681" s="1"/>
      <c r="H681" s="1"/>
      <c r="I681" s="1"/>
      <c r="J681" s="34"/>
      <c r="K681" s="1"/>
      <c r="L681" s="1"/>
      <c r="M681" s="1"/>
      <c r="N681" s="45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45">
      <c r="A682" s="1"/>
      <c r="B682" s="104"/>
      <c r="C682" s="104"/>
      <c r="D682" s="1"/>
      <c r="E682" s="1"/>
      <c r="F682" s="1"/>
      <c r="G682" s="1"/>
      <c r="H682" s="1"/>
      <c r="I682" s="1"/>
      <c r="J682" s="34"/>
      <c r="K682" s="1"/>
      <c r="L682" s="1"/>
      <c r="M682" s="1"/>
      <c r="N682" s="45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45">
      <c r="A683" s="1"/>
      <c r="B683" s="104"/>
      <c r="C683" s="104"/>
      <c r="D683" s="1"/>
      <c r="E683" s="1"/>
      <c r="F683" s="1"/>
      <c r="G683" s="1"/>
      <c r="H683" s="1"/>
      <c r="I683" s="1"/>
      <c r="J683" s="34"/>
      <c r="K683" s="1"/>
      <c r="L683" s="1"/>
      <c r="M683" s="1"/>
      <c r="N683" s="45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45">
      <c r="A684" s="1"/>
      <c r="B684" s="104"/>
      <c r="C684" s="104"/>
      <c r="D684" s="1"/>
      <c r="E684" s="1"/>
      <c r="F684" s="1"/>
      <c r="G684" s="1"/>
      <c r="H684" s="1"/>
      <c r="I684" s="1"/>
      <c r="J684" s="34"/>
      <c r="K684" s="1"/>
      <c r="L684" s="1"/>
      <c r="M684" s="1"/>
      <c r="N684" s="45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45">
      <c r="A685" s="1"/>
      <c r="B685" s="104"/>
      <c r="C685" s="104"/>
      <c r="D685" s="1"/>
      <c r="E685" s="1"/>
      <c r="F685" s="1"/>
      <c r="G685" s="1"/>
      <c r="H685" s="1"/>
      <c r="I685" s="1"/>
      <c r="J685" s="34"/>
      <c r="K685" s="1"/>
      <c r="L685" s="1"/>
      <c r="M685" s="1"/>
      <c r="N685" s="45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45">
      <c r="A686" s="1"/>
      <c r="B686" s="104"/>
      <c r="C686" s="104"/>
      <c r="D686" s="1"/>
      <c r="E686" s="1"/>
      <c r="F686" s="1"/>
      <c r="G686" s="1"/>
      <c r="H686" s="1"/>
      <c r="I686" s="1"/>
      <c r="J686" s="34"/>
      <c r="K686" s="1"/>
      <c r="L686" s="1"/>
      <c r="M686" s="1"/>
      <c r="N686" s="45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45">
      <c r="A687" s="1"/>
      <c r="B687" s="104"/>
      <c r="C687" s="104"/>
      <c r="D687" s="1"/>
      <c r="E687" s="1"/>
      <c r="F687" s="1"/>
      <c r="G687" s="1"/>
      <c r="H687" s="1"/>
      <c r="I687" s="1"/>
      <c r="J687" s="34"/>
      <c r="K687" s="1"/>
      <c r="L687" s="1"/>
      <c r="M687" s="1"/>
      <c r="N687" s="45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45">
      <c r="A688" s="1"/>
      <c r="B688" s="104"/>
      <c r="C688" s="104"/>
      <c r="D688" s="1"/>
      <c r="E688" s="1"/>
      <c r="F688" s="1"/>
      <c r="G688" s="1"/>
      <c r="H688" s="1"/>
      <c r="I688" s="1"/>
      <c r="J688" s="34"/>
      <c r="K688" s="1"/>
      <c r="L688" s="1"/>
      <c r="M688" s="1"/>
      <c r="N688" s="45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45">
      <c r="A689" s="1"/>
      <c r="B689" s="104"/>
      <c r="C689" s="104"/>
      <c r="D689" s="1"/>
      <c r="E689" s="1"/>
      <c r="F689" s="1"/>
      <c r="G689" s="1"/>
      <c r="H689" s="1"/>
      <c r="I689" s="1"/>
      <c r="J689" s="34"/>
      <c r="K689" s="1"/>
      <c r="L689" s="1"/>
      <c r="M689" s="1"/>
      <c r="N689" s="45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45">
      <c r="A690" s="1"/>
      <c r="B690" s="104"/>
      <c r="C690" s="104"/>
      <c r="D690" s="1"/>
      <c r="E690" s="1"/>
      <c r="F690" s="1"/>
      <c r="G690" s="1"/>
      <c r="H690" s="1"/>
      <c r="I690" s="1"/>
      <c r="J690" s="34"/>
      <c r="K690" s="1"/>
      <c r="L690" s="1"/>
      <c r="M690" s="1"/>
      <c r="N690" s="45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45">
      <c r="A691" s="1"/>
      <c r="B691" s="104"/>
      <c r="C691" s="104"/>
      <c r="D691" s="1"/>
      <c r="E691" s="1"/>
      <c r="F691" s="1"/>
      <c r="G691" s="1"/>
      <c r="H691" s="1"/>
      <c r="I691" s="1"/>
      <c r="J691" s="34"/>
      <c r="K691" s="1"/>
      <c r="L691" s="1"/>
      <c r="M691" s="1"/>
      <c r="N691" s="45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45">
      <c r="A692" s="1"/>
      <c r="B692" s="104"/>
      <c r="C692" s="104"/>
      <c r="D692" s="1"/>
      <c r="E692" s="1"/>
      <c r="F692" s="1"/>
      <c r="G692" s="1"/>
      <c r="H692" s="1"/>
      <c r="I692" s="1"/>
      <c r="J692" s="34"/>
      <c r="K692" s="1"/>
      <c r="L692" s="1"/>
      <c r="M692" s="1"/>
      <c r="N692" s="45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45">
      <c r="A693" s="1"/>
      <c r="B693" s="104"/>
      <c r="C693" s="104"/>
      <c r="D693" s="1"/>
      <c r="E693" s="1"/>
      <c r="F693" s="1"/>
      <c r="G693" s="1"/>
      <c r="H693" s="1"/>
      <c r="I693" s="1"/>
      <c r="J693" s="34"/>
      <c r="K693" s="1"/>
      <c r="L693" s="1"/>
      <c r="M693" s="1"/>
      <c r="N693" s="45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45">
      <c r="A694" s="1"/>
      <c r="B694" s="104"/>
      <c r="C694" s="104"/>
      <c r="D694" s="1"/>
      <c r="E694" s="1"/>
      <c r="F694" s="1"/>
      <c r="G694" s="1"/>
      <c r="H694" s="1"/>
      <c r="I694" s="1"/>
      <c r="J694" s="34"/>
      <c r="K694" s="1"/>
      <c r="L694" s="1"/>
      <c r="M694" s="1"/>
      <c r="N694" s="45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45">
      <c r="A695" s="1"/>
      <c r="B695" s="104"/>
      <c r="C695" s="104"/>
      <c r="D695" s="1"/>
      <c r="E695" s="1"/>
      <c r="F695" s="1"/>
      <c r="G695" s="1"/>
      <c r="H695" s="1"/>
      <c r="I695" s="1"/>
      <c r="J695" s="34"/>
      <c r="K695" s="1"/>
      <c r="L695" s="1"/>
      <c r="M695" s="1"/>
      <c r="N695" s="45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45">
      <c r="A696" s="1"/>
      <c r="B696" s="104"/>
      <c r="C696" s="104"/>
      <c r="D696" s="1"/>
      <c r="E696" s="1"/>
      <c r="F696" s="1"/>
      <c r="G696" s="1"/>
      <c r="H696" s="1"/>
      <c r="I696" s="1"/>
      <c r="J696" s="34"/>
      <c r="K696" s="1"/>
      <c r="L696" s="1"/>
      <c r="M696" s="1"/>
      <c r="N696" s="45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45">
      <c r="A697" s="1"/>
      <c r="B697" s="104"/>
      <c r="C697" s="104"/>
      <c r="D697" s="1"/>
      <c r="E697" s="1"/>
      <c r="F697" s="1"/>
      <c r="G697" s="1"/>
      <c r="H697" s="1"/>
      <c r="I697" s="1"/>
      <c r="J697" s="34"/>
      <c r="K697" s="1"/>
      <c r="L697" s="1"/>
      <c r="M697" s="1"/>
      <c r="N697" s="45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45">
      <c r="A698" s="1"/>
      <c r="B698" s="104"/>
      <c r="C698" s="104"/>
      <c r="D698" s="1"/>
      <c r="E698" s="1"/>
      <c r="F698" s="1"/>
      <c r="G698" s="1"/>
      <c r="H698" s="1"/>
      <c r="I698" s="1"/>
      <c r="J698" s="34"/>
      <c r="K698" s="1"/>
      <c r="L698" s="1"/>
      <c r="M698" s="1"/>
      <c r="N698" s="45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45">
      <c r="A699" s="1"/>
      <c r="B699" s="104"/>
      <c r="C699" s="104"/>
      <c r="D699" s="1"/>
      <c r="E699" s="1"/>
      <c r="F699" s="1"/>
      <c r="G699" s="1"/>
      <c r="H699" s="1"/>
      <c r="I699" s="1"/>
      <c r="J699" s="34"/>
      <c r="K699" s="1"/>
      <c r="L699" s="1"/>
      <c r="M699" s="1"/>
      <c r="N699" s="45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45">
      <c r="A700" s="1"/>
      <c r="B700" s="104"/>
      <c r="C700" s="104"/>
      <c r="D700" s="1"/>
      <c r="E700" s="1"/>
      <c r="F700" s="1"/>
      <c r="G700" s="1"/>
      <c r="H700" s="1"/>
      <c r="I700" s="1"/>
      <c r="J700" s="34"/>
      <c r="K700" s="1"/>
      <c r="L700" s="1"/>
      <c r="M700" s="1"/>
      <c r="N700" s="45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45">
      <c r="A701" s="1"/>
      <c r="B701" s="104"/>
      <c r="C701" s="104"/>
      <c r="D701" s="1"/>
      <c r="E701" s="1"/>
      <c r="F701" s="1"/>
      <c r="G701" s="1"/>
      <c r="H701" s="1"/>
      <c r="I701" s="1"/>
      <c r="J701" s="34"/>
      <c r="K701" s="1"/>
      <c r="L701" s="1"/>
      <c r="M701" s="1"/>
      <c r="N701" s="45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45">
      <c r="A702" s="1"/>
      <c r="B702" s="104"/>
      <c r="C702" s="104"/>
      <c r="D702" s="1"/>
      <c r="E702" s="1"/>
      <c r="F702" s="1"/>
      <c r="G702" s="1"/>
      <c r="H702" s="1"/>
      <c r="I702" s="1"/>
      <c r="J702" s="34"/>
      <c r="K702" s="1"/>
      <c r="L702" s="1"/>
      <c r="M702" s="1"/>
      <c r="N702" s="45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45">
      <c r="A703" s="1"/>
      <c r="B703" s="104"/>
      <c r="C703" s="104"/>
      <c r="D703" s="1"/>
      <c r="E703" s="1"/>
      <c r="F703" s="1"/>
      <c r="G703" s="1"/>
      <c r="H703" s="1"/>
      <c r="I703" s="1"/>
      <c r="J703" s="34"/>
      <c r="K703" s="1"/>
      <c r="L703" s="1"/>
      <c r="M703" s="1"/>
      <c r="N703" s="45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45">
      <c r="A704" s="1"/>
      <c r="B704" s="104"/>
      <c r="C704" s="104"/>
      <c r="D704" s="1"/>
      <c r="E704" s="1"/>
      <c r="F704" s="1"/>
      <c r="G704" s="1"/>
      <c r="H704" s="1"/>
      <c r="I704" s="1"/>
      <c r="J704" s="34"/>
      <c r="K704" s="1"/>
      <c r="L704" s="1"/>
      <c r="M704" s="1"/>
      <c r="N704" s="45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45">
      <c r="A705" s="1"/>
      <c r="B705" s="104"/>
      <c r="C705" s="104"/>
      <c r="D705" s="1"/>
      <c r="E705" s="1"/>
      <c r="F705" s="1"/>
      <c r="G705" s="1"/>
      <c r="H705" s="1"/>
      <c r="I705" s="1"/>
      <c r="J705" s="34"/>
      <c r="K705" s="1"/>
      <c r="L705" s="1"/>
      <c r="M705" s="1"/>
      <c r="N705" s="45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45">
      <c r="A706" s="1"/>
      <c r="B706" s="104"/>
      <c r="C706" s="104"/>
      <c r="D706" s="1"/>
      <c r="E706" s="1"/>
      <c r="F706" s="1"/>
      <c r="G706" s="1"/>
      <c r="H706" s="1"/>
      <c r="I706" s="1"/>
      <c r="J706" s="34"/>
      <c r="K706" s="1"/>
      <c r="L706" s="1"/>
      <c r="M706" s="1"/>
      <c r="N706" s="45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45">
      <c r="A707" s="1"/>
      <c r="B707" s="104"/>
      <c r="C707" s="104"/>
      <c r="D707" s="1"/>
      <c r="E707" s="1"/>
      <c r="F707" s="1"/>
      <c r="G707" s="1"/>
      <c r="H707" s="1"/>
      <c r="I707" s="1"/>
      <c r="J707" s="34"/>
      <c r="K707" s="1"/>
      <c r="L707" s="1"/>
      <c r="M707" s="1"/>
      <c r="N707" s="45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45">
      <c r="A708" s="1"/>
      <c r="B708" s="104"/>
      <c r="C708" s="104"/>
      <c r="D708" s="1"/>
      <c r="E708" s="1"/>
      <c r="F708" s="1"/>
      <c r="G708" s="1"/>
      <c r="H708" s="1"/>
      <c r="I708" s="1"/>
      <c r="J708" s="34"/>
      <c r="K708" s="1"/>
      <c r="L708" s="1"/>
      <c r="M708" s="1"/>
      <c r="N708" s="45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45">
      <c r="A709" s="1"/>
      <c r="B709" s="104"/>
      <c r="C709" s="104"/>
      <c r="D709" s="1"/>
      <c r="E709" s="1"/>
      <c r="F709" s="1"/>
      <c r="G709" s="1"/>
      <c r="H709" s="1"/>
      <c r="I709" s="1"/>
      <c r="J709" s="34"/>
      <c r="K709" s="1"/>
      <c r="L709" s="1"/>
      <c r="M709" s="1"/>
      <c r="N709" s="45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45">
      <c r="A710" s="1"/>
      <c r="B710" s="104"/>
      <c r="C710" s="104"/>
      <c r="D710" s="1"/>
      <c r="E710" s="1"/>
      <c r="F710" s="1"/>
      <c r="G710" s="1"/>
      <c r="H710" s="1"/>
      <c r="I710" s="1"/>
      <c r="J710" s="34"/>
      <c r="K710" s="1"/>
      <c r="L710" s="1"/>
      <c r="M710" s="1"/>
      <c r="N710" s="45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45">
      <c r="A711" s="1"/>
      <c r="B711" s="104"/>
      <c r="C711" s="104"/>
      <c r="D711" s="1"/>
      <c r="E711" s="1"/>
      <c r="F711" s="1"/>
      <c r="G711" s="1"/>
      <c r="H711" s="1"/>
      <c r="I711" s="1"/>
      <c r="J711" s="34"/>
      <c r="K711" s="1"/>
      <c r="L711" s="1"/>
      <c r="M711" s="1"/>
      <c r="N711" s="45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45">
      <c r="A712" s="1"/>
      <c r="B712" s="104"/>
      <c r="C712" s="104"/>
      <c r="D712" s="1"/>
      <c r="E712" s="1"/>
      <c r="F712" s="1"/>
      <c r="G712" s="1"/>
      <c r="H712" s="1"/>
      <c r="I712" s="1"/>
      <c r="J712" s="34"/>
      <c r="K712" s="1"/>
      <c r="L712" s="1"/>
      <c r="M712" s="1"/>
      <c r="N712" s="45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45">
      <c r="A713" s="1"/>
      <c r="B713" s="104"/>
      <c r="C713" s="104"/>
      <c r="D713" s="1"/>
      <c r="E713" s="1"/>
      <c r="F713" s="1"/>
      <c r="G713" s="1"/>
      <c r="H713" s="1"/>
      <c r="I713" s="1"/>
      <c r="J713" s="34"/>
      <c r="K713" s="1"/>
      <c r="L713" s="1"/>
      <c r="M713" s="1"/>
      <c r="N713" s="45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45">
      <c r="A714" s="1"/>
      <c r="B714" s="104"/>
      <c r="C714" s="104"/>
      <c r="D714" s="1"/>
      <c r="E714" s="1"/>
      <c r="F714" s="1"/>
      <c r="G714" s="1"/>
      <c r="H714" s="1"/>
      <c r="I714" s="1"/>
      <c r="J714" s="34"/>
      <c r="K714" s="1"/>
      <c r="L714" s="1"/>
      <c r="M714" s="1"/>
      <c r="N714" s="45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45">
      <c r="A715" s="1"/>
      <c r="B715" s="104"/>
      <c r="C715" s="104"/>
      <c r="D715" s="1"/>
      <c r="E715" s="1"/>
      <c r="F715" s="1"/>
      <c r="G715" s="1"/>
      <c r="H715" s="1"/>
      <c r="I715" s="1"/>
      <c r="J715" s="34"/>
      <c r="K715" s="1"/>
      <c r="L715" s="1"/>
      <c r="M715" s="1"/>
      <c r="N715" s="45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45">
      <c r="A716" s="1"/>
      <c r="B716" s="104"/>
      <c r="C716" s="104"/>
      <c r="D716" s="1"/>
      <c r="E716" s="1"/>
      <c r="F716" s="1"/>
      <c r="G716" s="1"/>
      <c r="H716" s="1"/>
      <c r="I716" s="1"/>
      <c r="J716" s="34"/>
      <c r="K716" s="1"/>
      <c r="L716" s="1"/>
      <c r="M716" s="1"/>
      <c r="N716" s="45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45">
      <c r="A717" s="1"/>
      <c r="B717" s="104"/>
      <c r="C717" s="104"/>
      <c r="D717" s="1"/>
      <c r="E717" s="1"/>
      <c r="F717" s="1"/>
      <c r="G717" s="1"/>
      <c r="H717" s="1"/>
      <c r="I717" s="1"/>
      <c r="J717" s="34"/>
      <c r="K717" s="1"/>
      <c r="L717" s="1"/>
      <c r="M717" s="1"/>
      <c r="N717" s="45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45">
      <c r="A718" s="1"/>
      <c r="B718" s="104"/>
      <c r="C718" s="104"/>
      <c r="D718" s="1"/>
      <c r="E718" s="1"/>
      <c r="F718" s="1"/>
      <c r="G718" s="1"/>
      <c r="H718" s="1"/>
      <c r="I718" s="1"/>
      <c r="J718" s="34"/>
      <c r="K718" s="1"/>
      <c r="L718" s="1"/>
      <c r="M718" s="1"/>
      <c r="N718" s="45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45">
      <c r="A719" s="1"/>
      <c r="B719" s="104"/>
      <c r="C719" s="104"/>
      <c r="D719" s="1"/>
      <c r="E719" s="1"/>
      <c r="F719" s="1"/>
      <c r="G719" s="1"/>
      <c r="H719" s="1"/>
      <c r="I719" s="1"/>
      <c r="J719" s="34"/>
      <c r="K719" s="1"/>
      <c r="L719" s="1"/>
      <c r="M719" s="1"/>
      <c r="N719" s="45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45">
      <c r="A720" s="1"/>
      <c r="B720" s="104"/>
      <c r="C720" s="104"/>
      <c r="D720" s="1"/>
      <c r="E720" s="1"/>
      <c r="F720" s="1"/>
      <c r="G720" s="1"/>
      <c r="H720" s="1"/>
      <c r="I720" s="1"/>
      <c r="J720" s="34"/>
      <c r="K720" s="1"/>
      <c r="L720" s="1"/>
      <c r="M720" s="1"/>
      <c r="N720" s="45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45">
      <c r="A721" s="1"/>
      <c r="B721" s="104"/>
      <c r="C721" s="104"/>
      <c r="D721" s="1"/>
      <c r="E721" s="1"/>
      <c r="F721" s="1"/>
      <c r="G721" s="1"/>
      <c r="H721" s="1"/>
      <c r="I721" s="1"/>
      <c r="J721" s="34"/>
      <c r="K721" s="1"/>
      <c r="L721" s="1"/>
      <c r="M721" s="1"/>
      <c r="N721" s="45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45">
      <c r="A722" s="1"/>
      <c r="B722" s="104"/>
      <c r="C722" s="104"/>
      <c r="D722" s="1"/>
      <c r="E722" s="1"/>
      <c r="F722" s="1"/>
      <c r="G722" s="1"/>
      <c r="H722" s="1"/>
      <c r="I722" s="1"/>
      <c r="J722" s="34"/>
      <c r="K722" s="1"/>
      <c r="L722" s="1"/>
      <c r="M722" s="1"/>
      <c r="N722" s="45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45">
      <c r="A723" s="1"/>
      <c r="B723" s="104"/>
      <c r="C723" s="104"/>
      <c r="D723" s="1"/>
      <c r="E723" s="1"/>
      <c r="F723" s="1"/>
      <c r="G723" s="1"/>
      <c r="H723" s="1"/>
      <c r="I723" s="1"/>
      <c r="J723" s="34"/>
      <c r="K723" s="1"/>
      <c r="L723" s="1"/>
      <c r="M723" s="1"/>
      <c r="N723" s="45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45">
      <c r="A724" s="1"/>
      <c r="B724" s="104"/>
      <c r="C724" s="104"/>
      <c r="D724" s="1"/>
      <c r="E724" s="1"/>
      <c r="F724" s="1"/>
      <c r="G724" s="1"/>
      <c r="H724" s="1"/>
      <c r="I724" s="1"/>
      <c r="J724" s="34"/>
      <c r="K724" s="1"/>
      <c r="L724" s="1"/>
      <c r="M724" s="1"/>
      <c r="N724" s="45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45">
      <c r="A725" s="1"/>
      <c r="B725" s="104"/>
      <c r="C725" s="104"/>
      <c r="D725" s="1"/>
      <c r="E725" s="1"/>
      <c r="F725" s="1"/>
      <c r="G725" s="1"/>
      <c r="H725" s="1"/>
      <c r="I725" s="1"/>
      <c r="J725" s="34"/>
      <c r="K725" s="1"/>
      <c r="L725" s="1"/>
      <c r="M725" s="1"/>
      <c r="N725" s="45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45">
      <c r="A726" s="1"/>
      <c r="B726" s="104"/>
      <c r="C726" s="104"/>
      <c r="D726" s="1"/>
      <c r="E726" s="1"/>
      <c r="F726" s="1"/>
      <c r="G726" s="1"/>
      <c r="H726" s="1"/>
      <c r="I726" s="1"/>
      <c r="J726" s="34"/>
      <c r="K726" s="1"/>
      <c r="L726" s="1"/>
      <c r="M726" s="1"/>
      <c r="N726" s="45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45">
      <c r="A727" s="1"/>
      <c r="B727" s="104"/>
      <c r="C727" s="104"/>
      <c r="D727" s="1"/>
      <c r="E727" s="1"/>
      <c r="F727" s="1"/>
      <c r="G727" s="1"/>
      <c r="H727" s="1"/>
      <c r="I727" s="1"/>
      <c r="J727" s="34"/>
      <c r="K727" s="1"/>
      <c r="L727" s="1"/>
      <c r="M727" s="1"/>
      <c r="N727" s="45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45">
      <c r="A728" s="1"/>
      <c r="B728" s="104"/>
      <c r="C728" s="104"/>
      <c r="D728" s="1"/>
      <c r="E728" s="1"/>
      <c r="F728" s="1"/>
      <c r="G728" s="1"/>
      <c r="H728" s="1"/>
      <c r="I728" s="1"/>
      <c r="J728" s="34"/>
      <c r="K728" s="1"/>
      <c r="L728" s="1"/>
      <c r="M728" s="1"/>
      <c r="N728" s="45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45">
      <c r="A729" s="1"/>
      <c r="B729" s="104"/>
      <c r="C729" s="104"/>
      <c r="D729" s="1"/>
      <c r="E729" s="1"/>
      <c r="F729" s="1"/>
      <c r="G729" s="1"/>
      <c r="H729" s="1"/>
      <c r="I729" s="1"/>
      <c r="J729" s="34"/>
      <c r="K729" s="1"/>
      <c r="L729" s="1"/>
      <c r="M729" s="1"/>
      <c r="N729" s="45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45">
      <c r="A730" s="1"/>
      <c r="B730" s="104"/>
      <c r="C730" s="104"/>
      <c r="D730" s="1"/>
      <c r="E730" s="1"/>
      <c r="F730" s="1"/>
      <c r="G730" s="1"/>
      <c r="H730" s="1"/>
      <c r="I730" s="1"/>
      <c r="J730" s="34"/>
      <c r="K730" s="1"/>
      <c r="L730" s="1"/>
      <c r="M730" s="1"/>
      <c r="N730" s="45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45">
      <c r="A731" s="1"/>
      <c r="B731" s="104"/>
      <c r="C731" s="104"/>
      <c r="D731" s="1"/>
      <c r="E731" s="1"/>
      <c r="F731" s="1"/>
      <c r="G731" s="1"/>
      <c r="H731" s="1"/>
      <c r="I731" s="1"/>
      <c r="J731" s="34"/>
      <c r="K731" s="1"/>
      <c r="L731" s="1"/>
      <c r="M731" s="1"/>
      <c r="N731" s="45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45">
      <c r="A732" s="1"/>
      <c r="B732" s="104"/>
      <c r="C732" s="104"/>
      <c r="D732" s="1"/>
      <c r="E732" s="1"/>
      <c r="F732" s="1"/>
      <c r="G732" s="1"/>
      <c r="H732" s="1"/>
      <c r="I732" s="1"/>
      <c r="J732" s="34"/>
      <c r="K732" s="1"/>
      <c r="L732" s="1"/>
      <c r="M732" s="1"/>
      <c r="N732" s="45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45">
      <c r="A733" s="1"/>
      <c r="B733" s="104"/>
      <c r="C733" s="104"/>
      <c r="D733" s="1"/>
      <c r="E733" s="1"/>
      <c r="F733" s="1"/>
      <c r="G733" s="1"/>
      <c r="H733" s="1"/>
      <c r="I733" s="1"/>
      <c r="J733" s="34"/>
      <c r="K733" s="1"/>
      <c r="L733" s="1"/>
      <c r="M733" s="1"/>
      <c r="N733" s="45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45">
      <c r="A734" s="1"/>
      <c r="B734" s="104"/>
      <c r="C734" s="104"/>
      <c r="D734" s="1"/>
      <c r="E734" s="1"/>
      <c r="F734" s="1"/>
      <c r="G734" s="1"/>
      <c r="H734" s="1"/>
      <c r="I734" s="1"/>
      <c r="J734" s="34"/>
      <c r="K734" s="1"/>
      <c r="L734" s="1"/>
      <c r="M734" s="1"/>
      <c r="N734" s="45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45">
      <c r="A735" s="1"/>
      <c r="B735" s="104"/>
      <c r="C735" s="104"/>
      <c r="D735" s="1"/>
      <c r="E735" s="1"/>
      <c r="F735" s="1"/>
      <c r="G735" s="1"/>
      <c r="H735" s="1"/>
      <c r="I735" s="1"/>
      <c r="J735" s="34"/>
      <c r="K735" s="1"/>
      <c r="L735" s="1"/>
      <c r="M735" s="1"/>
      <c r="N735" s="45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45">
      <c r="A736" s="1"/>
      <c r="B736" s="104"/>
      <c r="C736" s="104"/>
      <c r="D736" s="1"/>
      <c r="E736" s="1"/>
      <c r="F736" s="1"/>
      <c r="G736" s="1"/>
      <c r="H736" s="1"/>
      <c r="I736" s="1"/>
      <c r="J736" s="34"/>
      <c r="K736" s="1"/>
      <c r="L736" s="1"/>
      <c r="M736" s="1"/>
      <c r="N736" s="45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45">
      <c r="A737" s="1"/>
      <c r="B737" s="104"/>
      <c r="C737" s="104"/>
      <c r="D737" s="1"/>
      <c r="E737" s="1"/>
      <c r="F737" s="1"/>
      <c r="G737" s="1"/>
      <c r="H737" s="1"/>
      <c r="I737" s="1"/>
      <c r="J737" s="34"/>
      <c r="K737" s="1"/>
      <c r="L737" s="1"/>
      <c r="M737" s="1"/>
      <c r="N737" s="45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45">
      <c r="A738" s="1"/>
      <c r="B738" s="104"/>
      <c r="C738" s="104"/>
      <c r="D738" s="1"/>
      <c r="E738" s="1"/>
      <c r="F738" s="1"/>
      <c r="G738" s="1"/>
      <c r="H738" s="1"/>
      <c r="I738" s="1"/>
      <c r="J738" s="34"/>
      <c r="K738" s="1"/>
      <c r="L738" s="1"/>
      <c r="M738" s="1"/>
      <c r="N738" s="45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45">
      <c r="A739" s="1"/>
      <c r="B739" s="104"/>
      <c r="C739" s="104"/>
      <c r="D739" s="1"/>
      <c r="E739" s="1"/>
      <c r="F739" s="1"/>
      <c r="G739" s="1"/>
      <c r="H739" s="1"/>
      <c r="I739" s="1"/>
      <c r="J739" s="34"/>
      <c r="K739" s="1"/>
      <c r="L739" s="1"/>
      <c r="M739" s="1"/>
      <c r="N739" s="45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45">
      <c r="A740" s="1"/>
      <c r="B740" s="104"/>
      <c r="C740" s="104"/>
      <c r="D740" s="1"/>
      <c r="E740" s="1"/>
      <c r="F740" s="1"/>
      <c r="G740" s="1"/>
      <c r="H740" s="1"/>
      <c r="I740" s="1"/>
      <c r="J740" s="34"/>
      <c r="K740" s="1"/>
      <c r="L740" s="1"/>
      <c r="M740" s="1"/>
      <c r="N740" s="45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45">
      <c r="A741" s="1"/>
      <c r="B741" s="104"/>
      <c r="C741" s="104"/>
      <c r="D741" s="1"/>
      <c r="E741" s="1"/>
      <c r="F741" s="1"/>
      <c r="G741" s="1"/>
      <c r="H741" s="1"/>
      <c r="I741" s="1"/>
      <c r="J741" s="34"/>
      <c r="K741" s="1"/>
      <c r="L741" s="1"/>
      <c r="M741" s="1"/>
      <c r="N741" s="45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45">
      <c r="A742" s="1"/>
      <c r="B742" s="104"/>
      <c r="C742" s="104"/>
      <c r="D742" s="1"/>
      <c r="E742" s="1"/>
      <c r="F742" s="1"/>
      <c r="G742" s="1"/>
      <c r="H742" s="1"/>
      <c r="I742" s="1"/>
      <c r="J742" s="34"/>
      <c r="K742" s="1"/>
      <c r="L742" s="1"/>
      <c r="M742" s="1"/>
      <c r="N742" s="45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45">
      <c r="A743" s="1"/>
      <c r="B743" s="104"/>
      <c r="C743" s="104"/>
      <c r="D743" s="1"/>
      <c r="E743" s="1"/>
      <c r="F743" s="1"/>
      <c r="G743" s="1"/>
      <c r="H743" s="1"/>
      <c r="I743" s="1"/>
      <c r="J743" s="34"/>
      <c r="K743" s="1"/>
      <c r="L743" s="1"/>
      <c r="M743" s="1"/>
      <c r="N743" s="45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45">
      <c r="A744" s="1"/>
      <c r="B744" s="104"/>
      <c r="C744" s="104"/>
      <c r="D744" s="1"/>
      <c r="E744" s="1"/>
      <c r="F744" s="1"/>
      <c r="G744" s="1"/>
      <c r="H744" s="1"/>
      <c r="I744" s="1"/>
      <c r="J744" s="34"/>
      <c r="K744" s="1"/>
      <c r="L744" s="1"/>
      <c r="M744" s="1"/>
      <c r="N744" s="45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45">
      <c r="A745" s="1"/>
      <c r="B745" s="104"/>
      <c r="C745" s="104"/>
      <c r="D745" s="1"/>
      <c r="E745" s="1"/>
      <c r="F745" s="1"/>
      <c r="G745" s="1"/>
      <c r="H745" s="1"/>
      <c r="I745" s="1"/>
      <c r="J745" s="34"/>
      <c r="K745" s="1"/>
      <c r="L745" s="1"/>
      <c r="M745" s="1"/>
      <c r="N745" s="45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45">
      <c r="A746" s="1"/>
      <c r="B746" s="104"/>
      <c r="C746" s="104"/>
      <c r="D746" s="1"/>
      <c r="E746" s="1"/>
      <c r="F746" s="1"/>
      <c r="G746" s="1"/>
      <c r="H746" s="1"/>
      <c r="I746" s="1"/>
      <c r="J746" s="34"/>
      <c r="K746" s="1"/>
      <c r="L746" s="1"/>
      <c r="M746" s="1"/>
      <c r="N746" s="45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45">
      <c r="A747" s="1"/>
      <c r="B747" s="104"/>
      <c r="C747" s="104"/>
      <c r="D747" s="1"/>
      <c r="E747" s="1"/>
      <c r="F747" s="1"/>
      <c r="G747" s="1"/>
      <c r="H747" s="1"/>
      <c r="I747" s="1"/>
      <c r="J747" s="34"/>
      <c r="K747" s="1"/>
      <c r="L747" s="1"/>
      <c r="M747" s="1"/>
      <c r="N747" s="45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45">
      <c r="A748" s="1"/>
      <c r="B748" s="104"/>
      <c r="C748" s="104"/>
      <c r="D748" s="1"/>
      <c r="E748" s="1"/>
      <c r="F748" s="1"/>
      <c r="G748" s="1"/>
      <c r="H748" s="1"/>
      <c r="I748" s="1"/>
      <c r="J748" s="34"/>
      <c r="K748" s="1"/>
      <c r="L748" s="1"/>
      <c r="M748" s="1"/>
      <c r="N748" s="45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45">
      <c r="A749" s="1"/>
      <c r="B749" s="104"/>
      <c r="C749" s="104"/>
      <c r="D749" s="1"/>
      <c r="E749" s="1"/>
      <c r="F749" s="1"/>
      <c r="G749" s="1"/>
      <c r="H749" s="1"/>
      <c r="I749" s="1"/>
      <c r="J749" s="34"/>
      <c r="K749" s="1"/>
      <c r="L749" s="1"/>
      <c r="M749" s="1"/>
      <c r="N749" s="45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45">
      <c r="A750" s="1"/>
      <c r="B750" s="104"/>
      <c r="C750" s="104"/>
      <c r="D750" s="1"/>
      <c r="E750" s="1"/>
      <c r="F750" s="1"/>
      <c r="G750" s="1"/>
      <c r="H750" s="1"/>
      <c r="I750" s="1"/>
      <c r="J750" s="34"/>
      <c r="K750" s="1"/>
      <c r="L750" s="1"/>
      <c r="M750" s="1"/>
      <c r="N750" s="45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45">
      <c r="A751" s="1"/>
      <c r="B751" s="104"/>
      <c r="C751" s="104"/>
      <c r="D751" s="1"/>
      <c r="E751" s="1"/>
      <c r="F751" s="1"/>
      <c r="G751" s="1"/>
      <c r="H751" s="1"/>
      <c r="I751" s="1"/>
      <c r="J751" s="34"/>
      <c r="K751" s="1"/>
      <c r="L751" s="1"/>
      <c r="M751" s="1"/>
      <c r="N751" s="45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45">
      <c r="A752" s="1"/>
      <c r="B752" s="104"/>
      <c r="C752" s="104"/>
      <c r="D752" s="1"/>
      <c r="E752" s="1"/>
      <c r="F752" s="1"/>
      <c r="G752" s="1"/>
      <c r="H752" s="1"/>
      <c r="I752" s="1"/>
      <c r="J752" s="34"/>
      <c r="K752" s="1"/>
      <c r="L752" s="1"/>
      <c r="M752" s="1"/>
      <c r="N752" s="45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45">
      <c r="A753" s="1"/>
      <c r="B753" s="104"/>
      <c r="C753" s="104"/>
      <c r="D753" s="1"/>
      <c r="E753" s="1"/>
      <c r="F753" s="1"/>
      <c r="G753" s="1"/>
      <c r="H753" s="1"/>
      <c r="I753" s="1"/>
      <c r="J753" s="34"/>
      <c r="K753" s="1"/>
      <c r="L753" s="1"/>
      <c r="M753" s="1"/>
      <c r="N753" s="45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45">
      <c r="A754" s="1"/>
      <c r="B754" s="104"/>
      <c r="C754" s="104"/>
      <c r="D754" s="1"/>
      <c r="E754" s="1"/>
      <c r="F754" s="1"/>
      <c r="G754" s="1"/>
      <c r="H754" s="1"/>
      <c r="I754" s="1"/>
      <c r="J754" s="34"/>
      <c r="K754" s="1"/>
      <c r="L754" s="1"/>
      <c r="M754" s="1"/>
      <c r="N754" s="45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45">
      <c r="A755" s="1"/>
      <c r="B755" s="104"/>
      <c r="C755" s="104"/>
      <c r="D755" s="1"/>
      <c r="E755" s="1"/>
      <c r="F755" s="1"/>
      <c r="G755" s="1"/>
      <c r="H755" s="1"/>
      <c r="I755" s="1"/>
      <c r="J755" s="34"/>
      <c r="K755" s="1"/>
      <c r="L755" s="1"/>
      <c r="M755" s="1"/>
      <c r="N755" s="45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45">
      <c r="A756" s="1"/>
      <c r="B756" s="104"/>
      <c r="C756" s="104"/>
      <c r="D756" s="1"/>
      <c r="E756" s="1"/>
      <c r="F756" s="1"/>
      <c r="G756" s="1"/>
      <c r="H756" s="1"/>
      <c r="I756" s="1"/>
      <c r="J756" s="34"/>
      <c r="K756" s="1"/>
      <c r="L756" s="1"/>
      <c r="M756" s="1"/>
      <c r="N756" s="45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45">
      <c r="A757" s="1"/>
      <c r="B757" s="104"/>
      <c r="C757" s="104"/>
      <c r="D757" s="1"/>
      <c r="E757" s="1"/>
      <c r="F757" s="1"/>
      <c r="G757" s="1"/>
      <c r="H757" s="1"/>
      <c r="I757" s="1"/>
      <c r="J757" s="34"/>
      <c r="K757" s="1"/>
      <c r="L757" s="1"/>
      <c r="M757" s="1"/>
      <c r="N757" s="45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45">
      <c r="A758" s="1"/>
      <c r="B758" s="104"/>
      <c r="C758" s="104"/>
      <c r="D758" s="1"/>
      <c r="E758" s="1"/>
      <c r="F758" s="1"/>
      <c r="G758" s="1"/>
      <c r="H758" s="1"/>
      <c r="I758" s="1"/>
      <c r="J758" s="34"/>
      <c r="K758" s="1"/>
      <c r="L758" s="1"/>
      <c r="M758" s="1"/>
      <c r="N758" s="45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45">
      <c r="A759" s="1"/>
      <c r="B759" s="104"/>
      <c r="C759" s="104"/>
      <c r="D759" s="1"/>
      <c r="E759" s="1"/>
      <c r="F759" s="1"/>
      <c r="G759" s="1"/>
      <c r="H759" s="1"/>
      <c r="I759" s="1"/>
      <c r="J759" s="34"/>
      <c r="K759" s="1"/>
      <c r="L759" s="1"/>
      <c r="M759" s="1"/>
      <c r="N759" s="45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45">
      <c r="A760" s="1"/>
      <c r="B760" s="104"/>
      <c r="C760" s="104"/>
      <c r="D760" s="1"/>
      <c r="E760" s="1"/>
      <c r="F760" s="1"/>
      <c r="G760" s="1"/>
      <c r="H760" s="1"/>
      <c r="I760" s="1"/>
      <c r="J760" s="34"/>
      <c r="K760" s="1"/>
      <c r="L760" s="1"/>
      <c r="M760" s="1"/>
      <c r="N760" s="45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45">
      <c r="A761" s="1"/>
      <c r="B761" s="104"/>
      <c r="C761" s="104"/>
      <c r="D761" s="1"/>
      <c r="E761" s="1"/>
      <c r="F761" s="1"/>
      <c r="G761" s="1"/>
      <c r="H761" s="1"/>
      <c r="I761" s="1"/>
      <c r="J761" s="34"/>
      <c r="K761" s="1"/>
      <c r="L761" s="1"/>
      <c r="M761" s="1"/>
      <c r="N761" s="45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45">
      <c r="A762" s="1"/>
      <c r="B762" s="104"/>
      <c r="C762" s="104"/>
      <c r="D762" s="1"/>
      <c r="E762" s="1"/>
      <c r="F762" s="1"/>
      <c r="G762" s="1"/>
      <c r="H762" s="1"/>
      <c r="I762" s="1"/>
      <c r="J762" s="34"/>
      <c r="K762" s="1"/>
      <c r="L762" s="1"/>
      <c r="M762" s="1"/>
      <c r="N762" s="45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45">
      <c r="A763" s="1"/>
      <c r="B763" s="104"/>
      <c r="C763" s="104"/>
      <c r="D763" s="1"/>
      <c r="E763" s="1"/>
      <c r="F763" s="1"/>
      <c r="G763" s="1"/>
      <c r="H763" s="1"/>
      <c r="I763" s="1"/>
      <c r="J763" s="34"/>
      <c r="K763" s="1"/>
      <c r="L763" s="1"/>
      <c r="M763" s="1"/>
      <c r="N763" s="45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45">
      <c r="A764" s="1"/>
      <c r="B764" s="104"/>
      <c r="C764" s="104"/>
      <c r="D764" s="1"/>
      <c r="E764" s="1"/>
      <c r="F764" s="1"/>
      <c r="G764" s="1"/>
      <c r="H764" s="1"/>
      <c r="I764" s="1"/>
      <c r="J764" s="34"/>
      <c r="K764" s="1"/>
      <c r="L764" s="1"/>
      <c r="M764" s="1"/>
      <c r="N764" s="45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45">
      <c r="A765" s="1"/>
      <c r="B765" s="104"/>
      <c r="C765" s="104"/>
      <c r="D765" s="1"/>
      <c r="E765" s="1"/>
      <c r="F765" s="1"/>
      <c r="G765" s="1"/>
      <c r="H765" s="1"/>
      <c r="I765" s="1"/>
      <c r="J765" s="34"/>
      <c r="K765" s="1"/>
      <c r="L765" s="1"/>
      <c r="M765" s="1"/>
      <c r="N765" s="45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45">
      <c r="A766" s="1"/>
      <c r="B766" s="104"/>
      <c r="C766" s="104"/>
      <c r="D766" s="1"/>
      <c r="E766" s="1"/>
      <c r="F766" s="1"/>
      <c r="G766" s="1"/>
      <c r="H766" s="1"/>
      <c r="I766" s="1"/>
      <c r="J766" s="34"/>
      <c r="K766" s="1"/>
      <c r="L766" s="1"/>
      <c r="M766" s="1"/>
      <c r="N766" s="45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45">
      <c r="A767" s="1"/>
      <c r="B767" s="104"/>
      <c r="C767" s="104"/>
      <c r="D767" s="1"/>
      <c r="E767" s="1"/>
      <c r="F767" s="1"/>
      <c r="G767" s="1"/>
      <c r="H767" s="1"/>
      <c r="I767" s="1"/>
      <c r="J767" s="34"/>
      <c r="K767" s="1"/>
      <c r="L767" s="1"/>
      <c r="M767" s="1"/>
      <c r="N767" s="45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45">
      <c r="A768" s="1"/>
      <c r="B768" s="104"/>
      <c r="C768" s="104"/>
      <c r="D768" s="1"/>
      <c r="E768" s="1"/>
      <c r="F768" s="1"/>
      <c r="G768" s="1"/>
      <c r="H768" s="1"/>
      <c r="I768" s="1"/>
      <c r="J768" s="34"/>
      <c r="K768" s="1"/>
      <c r="L768" s="1"/>
      <c r="M768" s="1"/>
      <c r="N768" s="45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45">
      <c r="A769" s="1"/>
      <c r="B769" s="104"/>
      <c r="C769" s="104"/>
      <c r="D769" s="1"/>
      <c r="E769" s="1"/>
      <c r="F769" s="1"/>
      <c r="G769" s="1"/>
      <c r="H769" s="1"/>
      <c r="I769" s="1"/>
      <c r="J769" s="34"/>
      <c r="K769" s="1"/>
      <c r="L769" s="1"/>
      <c r="M769" s="1"/>
      <c r="N769" s="45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45">
      <c r="A770" s="1"/>
      <c r="B770" s="104"/>
      <c r="C770" s="104"/>
      <c r="D770" s="1"/>
      <c r="E770" s="1"/>
      <c r="F770" s="1"/>
      <c r="G770" s="1"/>
      <c r="H770" s="1"/>
      <c r="I770" s="1"/>
      <c r="J770" s="34"/>
      <c r="K770" s="1"/>
      <c r="L770" s="1"/>
      <c r="M770" s="1"/>
      <c r="N770" s="45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45">
      <c r="A771" s="1"/>
      <c r="B771" s="104"/>
      <c r="C771" s="104"/>
      <c r="D771" s="1"/>
      <c r="E771" s="1"/>
      <c r="F771" s="1"/>
      <c r="G771" s="1"/>
      <c r="H771" s="1"/>
      <c r="I771" s="1"/>
      <c r="J771" s="34"/>
      <c r="K771" s="1"/>
      <c r="L771" s="1"/>
      <c r="M771" s="1"/>
      <c r="N771" s="45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45">
      <c r="A772" s="1"/>
      <c r="B772" s="104"/>
      <c r="C772" s="104"/>
      <c r="D772" s="1"/>
      <c r="E772" s="1"/>
      <c r="F772" s="1"/>
      <c r="G772" s="1"/>
      <c r="H772" s="1"/>
      <c r="I772" s="1"/>
      <c r="J772" s="34"/>
      <c r="K772" s="1"/>
      <c r="L772" s="1"/>
      <c r="M772" s="1"/>
      <c r="N772" s="45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45">
      <c r="A773" s="1"/>
      <c r="B773" s="104"/>
      <c r="C773" s="104"/>
      <c r="D773" s="1"/>
      <c r="E773" s="1"/>
      <c r="F773" s="1"/>
      <c r="G773" s="1"/>
      <c r="H773" s="1"/>
      <c r="I773" s="1"/>
      <c r="J773" s="34"/>
      <c r="K773" s="1"/>
      <c r="L773" s="1"/>
      <c r="M773" s="1"/>
      <c r="N773" s="45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45">
      <c r="A774" s="1"/>
      <c r="B774" s="104"/>
      <c r="C774" s="104"/>
      <c r="D774" s="1"/>
      <c r="E774" s="1"/>
      <c r="F774" s="1"/>
      <c r="G774" s="1"/>
      <c r="H774" s="1"/>
      <c r="I774" s="1"/>
      <c r="J774" s="34"/>
      <c r="K774" s="1"/>
      <c r="L774" s="1"/>
      <c r="M774" s="1"/>
      <c r="N774" s="45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45">
      <c r="A775" s="1"/>
      <c r="B775" s="104"/>
      <c r="C775" s="104"/>
      <c r="D775" s="1"/>
      <c r="E775" s="1"/>
      <c r="F775" s="1"/>
      <c r="G775" s="1"/>
      <c r="H775" s="1"/>
      <c r="I775" s="1"/>
      <c r="J775" s="34"/>
      <c r="K775" s="1"/>
      <c r="L775" s="1"/>
      <c r="M775" s="1"/>
      <c r="N775" s="45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45">
      <c r="A776" s="1"/>
      <c r="B776" s="104"/>
      <c r="C776" s="104"/>
      <c r="D776" s="1"/>
      <c r="E776" s="1"/>
      <c r="F776" s="1"/>
      <c r="G776" s="1"/>
      <c r="H776" s="1"/>
      <c r="I776" s="1"/>
      <c r="J776" s="34"/>
      <c r="K776" s="1"/>
      <c r="L776" s="1"/>
      <c r="M776" s="1"/>
      <c r="N776" s="45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45">
      <c r="A777" s="1"/>
      <c r="B777" s="104"/>
      <c r="C777" s="104"/>
      <c r="D777" s="1"/>
      <c r="E777" s="1"/>
      <c r="F777" s="1"/>
      <c r="G777" s="1"/>
      <c r="H777" s="1"/>
      <c r="I777" s="1"/>
      <c r="J777" s="34"/>
      <c r="K777" s="1"/>
      <c r="L777" s="1"/>
      <c r="M777" s="1"/>
      <c r="N777" s="45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45">
      <c r="A778" s="1"/>
      <c r="B778" s="104"/>
      <c r="C778" s="104"/>
      <c r="D778" s="1"/>
      <c r="E778" s="1"/>
      <c r="F778" s="1"/>
      <c r="G778" s="1"/>
      <c r="H778" s="1"/>
      <c r="I778" s="1"/>
      <c r="J778" s="34"/>
      <c r="K778" s="1"/>
      <c r="L778" s="1"/>
      <c r="M778" s="1"/>
      <c r="N778" s="45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45">
      <c r="A779" s="1"/>
      <c r="B779" s="104"/>
      <c r="C779" s="104"/>
      <c r="D779" s="1"/>
      <c r="E779" s="1"/>
      <c r="F779" s="1"/>
      <c r="G779" s="1"/>
      <c r="H779" s="1"/>
      <c r="I779" s="1"/>
      <c r="J779" s="34"/>
      <c r="K779" s="1"/>
      <c r="L779" s="1"/>
      <c r="M779" s="1"/>
      <c r="N779" s="45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45">
      <c r="A780" s="1"/>
      <c r="B780" s="104"/>
      <c r="C780" s="104"/>
      <c r="D780" s="1"/>
      <c r="E780" s="1"/>
      <c r="F780" s="1"/>
      <c r="G780" s="1"/>
      <c r="H780" s="1"/>
      <c r="I780" s="1"/>
      <c r="J780" s="34"/>
      <c r="K780" s="1"/>
      <c r="L780" s="1"/>
      <c r="M780" s="1"/>
      <c r="N780" s="45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45">
      <c r="A781" s="1"/>
      <c r="B781" s="104"/>
      <c r="C781" s="104"/>
      <c r="D781" s="1"/>
      <c r="E781" s="1"/>
      <c r="F781" s="1"/>
      <c r="G781" s="1"/>
      <c r="H781" s="1"/>
      <c r="I781" s="1"/>
      <c r="J781" s="34"/>
      <c r="K781" s="1"/>
      <c r="L781" s="1"/>
      <c r="M781" s="1"/>
      <c r="N781" s="45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45">
      <c r="A782" s="1"/>
      <c r="B782" s="104"/>
      <c r="C782" s="104"/>
      <c r="D782" s="1"/>
      <c r="E782" s="1"/>
      <c r="F782" s="1"/>
      <c r="G782" s="1"/>
      <c r="H782" s="1"/>
      <c r="I782" s="1"/>
      <c r="J782" s="34"/>
      <c r="K782" s="1"/>
      <c r="L782" s="1"/>
      <c r="M782" s="1"/>
      <c r="N782" s="45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45">
      <c r="A783" s="1"/>
      <c r="B783" s="104"/>
      <c r="C783" s="104"/>
      <c r="D783" s="1"/>
      <c r="E783" s="1"/>
      <c r="F783" s="1"/>
      <c r="G783" s="1"/>
      <c r="H783" s="1"/>
      <c r="I783" s="1"/>
      <c r="J783" s="34"/>
      <c r="K783" s="1"/>
      <c r="L783" s="1"/>
      <c r="M783" s="1"/>
      <c r="N783" s="45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45">
      <c r="A784" s="1"/>
      <c r="B784" s="104"/>
      <c r="C784" s="104"/>
      <c r="D784" s="1"/>
      <c r="E784" s="1"/>
      <c r="F784" s="1"/>
      <c r="G784" s="1"/>
      <c r="H784" s="1"/>
      <c r="I784" s="1"/>
      <c r="J784" s="34"/>
      <c r="K784" s="1"/>
      <c r="L784" s="1"/>
      <c r="M784" s="1"/>
      <c r="N784" s="45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45">
      <c r="A785" s="1"/>
      <c r="B785" s="104"/>
      <c r="C785" s="104"/>
      <c r="D785" s="1"/>
      <c r="E785" s="1"/>
      <c r="F785" s="1"/>
      <c r="G785" s="1"/>
      <c r="H785" s="1"/>
      <c r="I785" s="1"/>
      <c r="J785" s="34"/>
      <c r="K785" s="1"/>
      <c r="L785" s="1"/>
      <c r="M785" s="1"/>
      <c r="N785" s="45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45">
      <c r="A786" s="1"/>
      <c r="B786" s="104"/>
      <c r="C786" s="104"/>
      <c r="D786" s="1"/>
      <c r="E786" s="1"/>
      <c r="F786" s="1"/>
      <c r="G786" s="1"/>
      <c r="H786" s="1"/>
      <c r="I786" s="1"/>
      <c r="J786" s="34"/>
      <c r="K786" s="1"/>
      <c r="L786" s="1"/>
      <c r="M786" s="1"/>
      <c r="N786" s="45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45">
      <c r="A787" s="1"/>
      <c r="B787" s="104"/>
      <c r="C787" s="104"/>
      <c r="D787" s="1"/>
      <c r="E787" s="1"/>
      <c r="F787" s="1"/>
      <c r="G787" s="1"/>
      <c r="H787" s="1"/>
      <c r="I787" s="1"/>
      <c r="J787" s="34"/>
      <c r="K787" s="1"/>
      <c r="L787" s="1"/>
      <c r="M787" s="1"/>
      <c r="N787" s="45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45">
      <c r="A788" s="1"/>
      <c r="B788" s="104"/>
      <c r="C788" s="104"/>
      <c r="D788" s="1"/>
      <c r="E788" s="1"/>
      <c r="F788" s="1"/>
      <c r="G788" s="1"/>
      <c r="H788" s="1"/>
      <c r="I788" s="1"/>
      <c r="J788" s="34"/>
      <c r="K788" s="1"/>
      <c r="L788" s="1"/>
      <c r="M788" s="1"/>
      <c r="N788" s="45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45">
      <c r="A789" s="1"/>
      <c r="B789" s="104"/>
      <c r="C789" s="104"/>
      <c r="D789" s="1"/>
      <c r="E789" s="1"/>
      <c r="F789" s="1"/>
      <c r="G789" s="1"/>
      <c r="H789" s="1"/>
      <c r="I789" s="1"/>
      <c r="J789" s="34"/>
      <c r="K789" s="1"/>
      <c r="L789" s="1"/>
      <c r="M789" s="1"/>
      <c r="N789" s="45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45">
      <c r="A790" s="1"/>
      <c r="B790" s="104"/>
      <c r="C790" s="104"/>
      <c r="D790" s="1"/>
      <c r="E790" s="1"/>
      <c r="F790" s="1"/>
      <c r="G790" s="1"/>
      <c r="H790" s="1"/>
      <c r="I790" s="1"/>
      <c r="J790" s="34"/>
      <c r="K790" s="1"/>
      <c r="L790" s="1"/>
      <c r="M790" s="1"/>
      <c r="N790" s="45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45">
      <c r="A791" s="1"/>
      <c r="B791" s="104"/>
      <c r="C791" s="104"/>
      <c r="D791" s="1"/>
      <c r="E791" s="1"/>
      <c r="F791" s="1"/>
      <c r="G791" s="1"/>
      <c r="H791" s="1"/>
      <c r="I791" s="1"/>
      <c r="J791" s="34"/>
      <c r="K791" s="1"/>
      <c r="L791" s="1"/>
      <c r="M791" s="1"/>
      <c r="N791" s="45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45">
      <c r="A792" s="1"/>
      <c r="B792" s="104"/>
      <c r="C792" s="104"/>
      <c r="D792" s="1"/>
      <c r="E792" s="1"/>
      <c r="F792" s="1"/>
      <c r="G792" s="1"/>
      <c r="H792" s="1"/>
      <c r="I792" s="1"/>
      <c r="J792" s="34"/>
      <c r="K792" s="1"/>
      <c r="L792" s="1"/>
      <c r="M792" s="1"/>
      <c r="N792" s="45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45">
      <c r="A793" s="1"/>
      <c r="B793" s="104"/>
      <c r="C793" s="104"/>
      <c r="D793" s="1"/>
      <c r="E793" s="1"/>
      <c r="F793" s="1"/>
      <c r="G793" s="1"/>
      <c r="H793" s="1"/>
      <c r="I793" s="1"/>
      <c r="J793" s="34"/>
      <c r="K793" s="1"/>
      <c r="L793" s="1"/>
      <c r="M793" s="1"/>
      <c r="N793" s="45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45">
      <c r="A794" s="1"/>
      <c r="B794" s="104"/>
      <c r="C794" s="104"/>
      <c r="D794" s="1"/>
      <c r="E794" s="1"/>
      <c r="F794" s="1"/>
      <c r="G794" s="1"/>
      <c r="H794" s="1"/>
      <c r="I794" s="1"/>
      <c r="J794" s="34"/>
      <c r="K794" s="1"/>
      <c r="L794" s="1"/>
      <c r="M794" s="1"/>
      <c r="N794" s="45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45">
      <c r="A795" s="1"/>
      <c r="B795" s="104"/>
      <c r="C795" s="104"/>
      <c r="D795" s="1"/>
      <c r="E795" s="1"/>
      <c r="F795" s="1"/>
      <c r="G795" s="1"/>
      <c r="H795" s="1"/>
      <c r="I795" s="1"/>
      <c r="J795" s="34"/>
      <c r="K795" s="1"/>
      <c r="L795" s="1"/>
      <c r="M795" s="1"/>
      <c r="N795" s="45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45">
      <c r="A796" s="1"/>
      <c r="B796" s="104"/>
      <c r="C796" s="104"/>
      <c r="D796" s="1"/>
      <c r="E796" s="1"/>
      <c r="F796" s="1"/>
      <c r="G796" s="1"/>
      <c r="H796" s="1"/>
      <c r="I796" s="1"/>
      <c r="J796" s="34"/>
      <c r="K796" s="1"/>
      <c r="L796" s="1"/>
      <c r="M796" s="1"/>
      <c r="N796" s="45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45">
      <c r="A797" s="1"/>
      <c r="B797" s="104"/>
      <c r="C797" s="104"/>
      <c r="D797" s="1"/>
      <c r="E797" s="1"/>
      <c r="F797" s="1"/>
      <c r="G797" s="1"/>
      <c r="H797" s="1"/>
      <c r="I797" s="1"/>
      <c r="J797" s="34"/>
      <c r="K797" s="1"/>
      <c r="L797" s="1"/>
      <c r="M797" s="1"/>
      <c r="N797" s="45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45">
      <c r="A798" s="1"/>
      <c r="B798" s="104"/>
      <c r="C798" s="104"/>
      <c r="D798" s="1"/>
      <c r="E798" s="1"/>
      <c r="F798" s="1"/>
      <c r="G798" s="1"/>
      <c r="H798" s="1"/>
      <c r="I798" s="1"/>
      <c r="J798" s="34"/>
      <c r="K798" s="1"/>
      <c r="L798" s="1"/>
      <c r="M798" s="1"/>
      <c r="N798" s="45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45">
      <c r="A799" s="1"/>
      <c r="B799" s="104"/>
      <c r="C799" s="104"/>
      <c r="D799" s="1"/>
      <c r="E799" s="1"/>
      <c r="F799" s="1"/>
      <c r="G799" s="1"/>
      <c r="H799" s="1"/>
      <c r="I799" s="1"/>
      <c r="J799" s="34"/>
      <c r="K799" s="1"/>
      <c r="L799" s="1"/>
      <c r="M799" s="1"/>
      <c r="N799" s="45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45">
      <c r="A800" s="1"/>
      <c r="B800" s="104"/>
      <c r="C800" s="104"/>
      <c r="D800" s="1"/>
      <c r="E800" s="1"/>
      <c r="F800" s="1"/>
      <c r="G800" s="1"/>
      <c r="H800" s="1"/>
      <c r="I800" s="1"/>
      <c r="J800" s="34"/>
      <c r="K800" s="1"/>
      <c r="L800" s="1"/>
      <c r="M800" s="1"/>
      <c r="N800" s="45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45">
      <c r="A801" s="1"/>
      <c r="B801" s="104"/>
      <c r="C801" s="104"/>
      <c r="D801" s="1"/>
      <c r="E801" s="1"/>
      <c r="F801" s="1"/>
      <c r="G801" s="1"/>
      <c r="H801" s="1"/>
      <c r="I801" s="1"/>
      <c r="J801" s="34"/>
      <c r="K801" s="1"/>
      <c r="L801" s="1"/>
      <c r="M801" s="1"/>
      <c r="N801" s="45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45">
      <c r="A802" s="1"/>
      <c r="B802" s="104"/>
      <c r="C802" s="104"/>
      <c r="D802" s="1"/>
      <c r="E802" s="1"/>
      <c r="F802" s="1"/>
      <c r="G802" s="1"/>
      <c r="H802" s="1"/>
      <c r="I802" s="1"/>
      <c r="J802" s="34"/>
      <c r="K802" s="1"/>
      <c r="L802" s="1"/>
      <c r="M802" s="1"/>
      <c r="N802" s="45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45">
      <c r="A803" s="1"/>
      <c r="B803" s="104"/>
      <c r="C803" s="104"/>
      <c r="D803" s="1"/>
      <c r="E803" s="1"/>
      <c r="F803" s="1"/>
      <c r="G803" s="1"/>
      <c r="H803" s="1"/>
      <c r="I803" s="1"/>
      <c r="J803" s="34"/>
      <c r="K803" s="1"/>
      <c r="L803" s="1"/>
      <c r="M803" s="1"/>
      <c r="N803" s="45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45">
      <c r="A804" s="1"/>
      <c r="B804" s="104"/>
      <c r="C804" s="104"/>
      <c r="D804" s="1"/>
      <c r="E804" s="1"/>
      <c r="F804" s="1"/>
      <c r="G804" s="1"/>
      <c r="H804" s="1"/>
      <c r="I804" s="1"/>
      <c r="J804" s="34"/>
      <c r="K804" s="1"/>
      <c r="L804" s="1"/>
      <c r="M804" s="1"/>
      <c r="N804" s="45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45">
      <c r="A805" s="1"/>
      <c r="B805" s="104"/>
      <c r="C805" s="104"/>
      <c r="D805" s="1"/>
      <c r="E805" s="1"/>
      <c r="F805" s="1"/>
      <c r="G805" s="1"/>
      <c r="H805" s="1"/>
      <c r="I805" s="1"/>
      <c r="J805" s="34"/>
      <c r="K805" s="1"/>
      <c r="L805" s="1"/>
      <c r="M805" s="1"/>
      <c r="N805" s="45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45">
      <c r="A806" s="1"/>
      <c r="B806" s="104"/>
      <c r="C806" s="104"/>
      <c r="D806" s="1"/>
      <c r="E806" s="1"/>
      <c r="F806" s="1"/>
      <c r="G806" s="1"/>
      <c r="H806" s="1"/>
      <c r="I806" s="1"/>
      <c r="J806" s="34"/>
      <c r="K806" s="1"/>
      <c r="L806" s="1"/>
      <c r="M806" s="1"/>
      <c r="N806" s="45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45">
      <c r="A807" s="1"/>
      <c r="B807" s="104"/>
      <c r="C807" s="104"/>
      <c r="D807" s="1"/>
      <c r="E807" s="1"/>
      <c r="F807" s="1"/>
      <c r="G807" s="1"/>
      <c r="H807" s="1"/>
      <c r="I807" s="1"/>
      <c r="J807" s="34"/>
      <c r="K807" s="1"/>
      <c r="L807" s="1"/>
      <c r="M807" s="1"/>
      <c r="N807" s="45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45">
      <c r="A808" s="1"/>
      <c r="B808" s="104"/>
      <c r="C808" s="104"/>
      <c r="D808" s="1"/>
      <c r="E808" s="1"/>
      <c r="F808" s="1"/>
      <c r="G808" s="1"/>
      <c r="H808" s="1"/>
      <c r="I808" s="1"/>
      <c r="J808" s="34"/>
      <c r="K808" s="1"/>
      <c r="L808" s="1"/>
      <c r="M808" s="1"/>
      <c r="N808" s="45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45">
      <c r="A809" s="1"/>
      <c r="B809" s="104"/>
      <c r="C809" s="104"/>
      <c r="D809" s="1"/>
      <c r="E809" s="1"/>
      <c r="F809" s="1"/>
      <c r="G809" s="1"/>
      <c r="H809" s="1"/>
      <c r="I809" s="1"/>
      <c r="J809" s="34"/>
      <c r="K809" s="1"/>
      <c r="L809" s="1"/>
      <c r="M809" s="1"/>
      <c r="N809" s="45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45">
      <c r="A810" s="1"/>
      <c r="B810" s="104"/>
      <c r="C810" s="104"/>
      <c r="D810" s="1"/>
      <c r="E810" s="1"/>
      <c r="F810" s="1"/>
      <c r="G810" s="1"/>
      <c r="H810" s="1"/>
      <c r="I810" s="1"/>
      <c r="J810" s="34"/>
      <c r="K810" s="1"/>
      <c r="L810" s="1"/>
      <c r="M810" s="1"/>
      <c r="N810" s="45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45">
      <c r="A811" s="1"/>
      <c r="B811" s="104"/>
      <c r="C811" s="104"/>
      <c r="D811" s="1"/>
      <c r="E811" s="1"/>
      <c r="F811" s="1"/>
      <c r="G811" s="1"/>
      <c r="H811" s="1"/>
      <c r="I811" s="1"/>
      <c r="J811" s="34"/>
      <c r="K811" s="1"/>
      <c r="L811" s="1"/>
      <c r="M811" s="1"/>
      <c r="N811" s="45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45">
      <c r="A812" s="1"/>
      <c r="B812" s="104"/>
      <c r="C812" s="104"/>
      <c r="D812" s="1"/>
      <c r="E812" s="1"/>
      <c r="F812" s="1"/>
      <c r="G812" s="1"/>
      <c r="H812" s="1"/>
      <c r="I812" s="1"/>
      <c r="J812" s="34"/>
      <c r="K812" s="1"/>
      <c r="L812" s="1"/>
      <c r="M812" s="1"/>
      <c r="N812" s="45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45">
      <c r="A813" s="1"/>
      <c r="B813" s="104"/>
      <c r="C813" s="104"/>
      <c r="D813" s="1"/>
      <c r="E813" s="1"/>
      <c r="F813" s="1"/>
      <c r="G813" s="1"/>
      <c r="H813" s="1"/>
      <c r="I813" s="1"/>
      <c r="J813" s="34"/>
      <c r="K813" s="1"/>
      <c r="L813" s="1"/>
      <c r="M813" s="1"/>
      <c r="N813" s="45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45">
      <c r="A814" s="1"/>
      <c r="B814" s="104"/>
      <c r="C814" s="104"/>
      <c r="D814" s="1"/>
      <c r="E814" s="1"/>
      <c r="F814" s="1"/>
      <c r="G814" s="1"/>
      <c r="H814" s="1"/>
      <c r="I814" s="1"/>
      <c r="J814" s="34"/>
      <c r="K814" s="1"/>
      <c r="L814" s="1"/>
      <c r="M814" s="1"/>
      <c r="N814" s="45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45">
      <c r="A815" s="1"/>
      <c r="B815" s="104"/>
      <c r="C815" s="104"/>
      <c r="D815" s="1"/>
      <c r="E815" s="1"/>
      <c r="F815" s="1"/>
      <c r="G815" s="1"/>
      <c r="H815" s="1"/>
      <c r="I815" s="1"/>
      <c r="J815" s="34"/>
      <c r="K815" s="1"/>
      <c r="L815" s="1"/>
      <c r="M815" s="1"/>
      <c r="N815" s="45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45">
      <c r="A816" s="1"/>
      <c r="B816" s="104"/>
      <c r="C816" s="104"/>
      <c r="D816" s="1"/>
      <c r="E816" s="1"/>
      <c r="F816" s="1"/>
      <c r="G816" s="1"/>
      <c r="H816" s="1"/>
      <c r="I816" s="1"/>
      <c r="J816" s="34"/>
      <c r="K816" s="1"/>
      <c r="L816" s="1"/>
      <c r="M816" s="1"/>
      <c r="N816" s="45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45">
      <c r="A817" s="1"/>
      <c r="B817" s="104"/>
      <c r="C817" s="104"/>
      <c r="D817" s="1"/>
      <c r="E817" s="1"/>
      <c r="F817" s="1"/>
      <c r="G817" s="1"/>
      <c r="H817" s="1"/>
      <c r="I817" s="1"/>
      <c r="J817" s="34"/>
      <c r="K817" s="1"/>
      <c r="L817" s="1"/>
      <c r="M817" s="1"/>
      <c r="N817" s="45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45">
      <c r="A818" s="1"/>
      <c r="B818" s="104"/>
      <c r="C818" s="104"/>
      <c r="D818" s="1"/>
      <c r="E818" s="1"/>
      <c r="F818" s="1"/>
      <c r="G818" s="1"/>
      <c r="H818" s="1"/>
      <c r="I818" s="1"/>
      <c r="J818" s="34"/>
      <c r="K818" s="1"/>
      <c r="L818" s="1"/>
      <c r="M818" s="1"/>
      <c r="N818" s="45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45">
      <c r="A819" s="1"/>
      <c r="B819" s="104"/>
      <c r="C819" s="104"/>
      <c r="D819" s="1"/>
      <c r="E819" s="1"/>
      <c r="F819" s="1"/>
      <c r="G819" s="1"/>
      <c r="H819" s="1"/>
      <c r="I819" s="1"/>
      <c r="J819" s="34"/>
      <c r="K819" s="1"/>
      <c r="L819" s="1"/>
      <c r="M819" s="1"/>
      <c r="N819" s="45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45">
      <c r="A820" s="1"/>
      <c r="B820" s="104"/>
      <c r="C820" s="104"/>
      <c r="D820" s="1"/>
      <c r="E820" s="1"/>
      <c r="F820" s="1"/>
      <c r="G820" s="1"/>
      <c r="H820" s="1"/>
      <c r="I820" s="1"/>
      <c r="J820" s="34"/>
      <c r="K820" s="1"/>
      <c r="L820" s="1"/>
      <c r="M820" s="1"/>
      <c r="N820" s="45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45">
      <c r="A821" s="1"/>
      <c r="B821" s="104"/>
      <c r="C821" s="104"/>
      <c r="D821" s="1"/>
      <c r="E821" s="1"/>
      <c r="F821" s="1"/>
      <c r="G821" s="1"/>
      <c r="H821" s="1"/>
      <c r="I821" s="1"/>
      <c r="J821" s="34"/>
      <c r="K821" s="1"/>
      <c r="L821" s="1"/>
      <c r="M821" s="1"/>
      <c r="N821" s="45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45">
      <c r="A822" s="1"/>
      <c r="B822" s="104"/>
      <c r="C822" s="104"/>
      <c r="D822" s="1"/>
      <c r="E822" s="1"/>
      <c r="F822" s="1"/>
      <c r="G822" s="1"/>
      <c r="H822" s="1"/>
      <c r="I822" s="1"/>
      <c r="J822" s="34"/>
      <c r="K822" s="1"/>
      <c r="L822" s="1"/>
      <c r="M822" s="1"/>
      <c r="N822" s="45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45">
      <c r="A823" s="1"/>
      <c r="B823" s="104"/>
      <c r="C823" s="104"/>
      <c r="D823" s="1"/>
      <c r="E823" s="1"/>
      <c r="F823" s="1"/>
      <c r="G823" s="1"/>
      <c r="H823" s="1"/>
      <c r="I823" s="1"/>
      <c r="J823" s="34"/>
      <c r="K823" s="1"/>
      <c r="L823" s="1"/>
      <c r="M823" s="1"/>
      <c r="N823" s="45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45">
      <c r="A824" s="1"/>
      <c r="B824" s="104"/>
      <c r="C824" s="104"/>
      <c r="D824" s="1"/>
      <c r="E824" s="1"/>
      <c r="F824" s="1"/>
      <c r="G824" s="1"/>
      <c r="H824" s="1"/>
      <c r="I824" s="1"/>
      <c r="J824" s="34"/>
      <c r="K824" s="1"/>
      <c r="L824" s="1"/>
      <c r="M824" s="1"/>
      <c r="N824" s="45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45">
      <c r="A825" s="1"/>
      <c r="B825" s="104"/>
      <c r="C825" s="104"/>
      <c r="D825" s="1"/>
      <c r="E825" s="1"/>
      <c r="F825" s="1"/>
      <c r="G825" s="1"/>
      <c r="H825" s="1"/>
      <c r="I825" s="1"/>
      <c r="J825" s="34"/>
      <c r="K825" s="1"/>
      <c r="L825" s="1"/>
      <c r="M825" s="1"/>
      <c r="N825" s="45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45">
      <c r="A826" s="1"/>
      <c r="B826" s="104"/>
      <c r="C826" s="104"/>
      <c r="D826" s="1"/>
      <c r="E826" s="1"/>
      <c r="F826" s="1"/>
      <c r="G826" s="1"/>
      <c r="H826" s="1"/>
      <c r="I826" s="1"/>
      <c r="J826" s="34"/>
      <c r="K826" s="1"/>
      <c r="L826" s="1"/>
      <c r="M826" s="1"/>
      <c r="N826" s="45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45">
      <c r="A827" s="1"/>
      <c r="B827" s="104"/>
      <c r="C827" s="104"/>
      <c r="D827" s="1"/>
      <c r="E827" s="1"/>
      <c r="F827" s="1"/>
      <c r="G827" s="1"/>
      <c r="H827" s="1"/>
      <c r="I827" s="1"/>
      <c r="J827" s="34"/>
      <c r="K827" s="1"/>
      <c r="L827" s="1"/>
      <c r="M827" s="1"/>
      <c r="N827" s="45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45">
      <c r="A828" s="1"/>
      <c r="B828" s="104"/>
      <c r="C828" s="104"/>
      <c r="D828" s="1"/>
      <c r="E828" s="1"/>
      <c r="F828" s="1"/>
      <c r="G828" s="1"/>
      <c r="H828" s="1"/>
      <c r="I828" s="1"/>
      <c r="J828" s="34"/>
      <c r="K828" s="1"/>
      <c r="L828" s="1"/>
      <c r="M828" s="1"/>
      <c r="N828" s="45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45">
      <c r="A829" s="1"/>
      <c r="B829" s="104"/>
      <c r="C829" s="104"/>
      <c r="D829" s="1"/>
      <c r="E829" s="1"/>
      <c r="F829" s="1"/>
      <c r="G829" s="1"/>
      <c r="H829" s="1"/>
      <c r="I829" s="1"/>
      <c r="J829" s="34"/>
      <c r="K829" s="1"/>
      <c r="L829" s="1"/>
      <c r="M829" s="1"/>
      <c r="N829" s="45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45">
      <c r="A830" s="1"/>
      <c r="B830" s="104"/>
      <c r="C830" s="104"/>
      <c r="D830" s="1"/>
      <c r="E830" s="1"/>
      <c r="F830" s="1"/>
      <c r="G830" s="1"/>
      <c r="H830" s="1"/>
      <c r="I830" s="1"/>
      <c r="J830" s="34"/>
      <c r="K830" s="1"/>
      <c r="L830" s="1"/>
      <c r="M830" s="1"/>
      <c r="N830" s="45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45">
      <c r="A831" s="1"/>
      <c r="B831" s="104"/>
      <c r="C831" s="104"/>
      <c r="D831" s="1"/>
      <c r="E831" s="1"/>
      <c r="F831" s="1"/>
      <c r="G831" s="1"/>
      <c r="H831" s="1"/>
      <c r="I831" s="1"/>
      <c r="J831" s="34"/>
      <c r="K831" s="1"/>
      <c r="L831" s="1"/>
      <c r="M831" s="1"/>
      <c r="N831" s="45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45">
      <c r="A832" s="1"/>
      <c r="B832" s="104"/>
      <c r="C832" s="104"/>
      <c r="D832" s="1"/>
      <c r="E832" s="1"/>
      <c r="F832" s="1"/>
      <c r="G832" s="1"/>
      <c r="H832" s="1"/>
      <c r="I832" s="1"/>
      <c r="J832" s="34"/>
      <c r="K832" s="1"/>
      <c r="L832" s="1"/>
      <c r="M832" s="1"/>
      <c r="N832" s="45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45">
      <c r="A833" s="1"/>
      <c r="B833" s="104"/>
      <c r="C833" s="104"/>
      <c r="D833" s="1"/>
      <c r="E833" s="1"/>
      <c r="F833" s="1"/>
      <c r="G833" s="1"/>
      <c r="H833" s="1"/>
      <c r="I833" s="1"/>
      <c r="J833" s="34"/>
      <c r="K833" s="1"/>
      <c r="L833" s="1"/>
      <c r="M833" s="1"/>
      <c r="N833" s="45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45">
      <c r="A834" s="1"/>
      <c r="B834" s="104"/>
      <c r="C834" s="104"/>
      <c r="D834" s="1"/>
      <c r="E834" s="1"/>
      <c r="F834" s="1"/>
      <c r="G834" s="1"/>
      <c r="H834" s="1"/>
      <c r="I834" s="1"/>
      <c r="J834" s="34"/>
      <c r="K834" s="1"/>
      <c r="L834" s="1"/>
      <c r="M834" s="1"/>
      <c r="N834" s="45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45">
      <c r="A835" s="1"/>
      <c r="B835" s="104"/>
      <c r="C835" s="104"/>
      <c r="D835" s="1"/>
      <c r="E835" s="1"/>
      <c r="F835" s="1"/>
      <c r="G835" s="1"/>
      <c r="H835" s="1"/>
      <c r="I835" s="1"/>
      <c r="J835" s="34"/>
      <c r="K835" s="1"/>
      <c r="L835" s="1"/>
      <c r="M835" s="1"/>
      <c r="N835" s="45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45">
      <c r="A836" s="1"/>
      <c r="B836" s="104"/>
      <c r="C836" s="104"/>
      <c r="D836" s="1"/>
      <c r="E836" s="1"/>
      <c r="F836" s="1"/>
      <c r="G836" s="1"/>
      <c r="H836" s="1"/>
      <c r="I836" s="1"/>
      <c r="J836" s="34"/>
      <c r="K836" s="1"/>
      <c r="L836" s="1"/>
      <c r="M836" s="1"/>
      <c r="N836" s="45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45">
      <c r="A837" s="1"/>
      <c r="B837" s="104"/>
      <c r="C837" s="104"/>
      <c r="D837" s="1"/>
      <c r="E837" s="1"/>
      <c r="F837" s="1"/>
      <c r="G837" s="1"/>
      <c r="H837" s="1"/>
      <c r="I837" s="1"/>
      <c r="J837" s="34"/>
      <c r="K837" s="1"/>
      <c r="L837" s="1"/>
      <c r="M837" s="1"/>
      <c r="N837" s="45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45">
      <c r="A838" s="1"/>
      <c r="B838" s="104"/>
      <c r="C838" s="104"/>
      <c r="D838" s="1"/>
      <c r="E838" s="1"/>
      <c r="F838" s="1"/>
      <c r="G838" s="1"/>
      <c r="H838" s="1"/>
      <c r="I838" s="1"/>
      <c r="J838" s="34"/>
      <c r="K838" s="1"/>
      <c r="L838" s="1"/>
      <c r="M838" s="1"/>
      <c r="N838" s="45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45">
      <c r="A839" s="1"/>
      <c r="B839" s="104"/>
      <c r="C839" s="104"/>
      <c r="D839" s="1"/>
      <c r="E839" s="1"/>
      <c r="F839" s="1"/>
      <c r="G839" s="1"/>
      <c r="H839" s="1"/>
      <c r="I839" s="1"/>
      <c r="J839" s="34"/>
      <c r="K839" s="1"/>
      <c r="L839" s="1"/>
      <c r="M839" s="1"/>
      <c r="N839" s="45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45">
      <c r="A840" s="1"/>
      <c r="B840" s="104"/>
      <c r="C840" s="104"/>
      <c r="D840" s="1"/>
      <c r="E840" s="1"/>
      <c r="F840" s="1"/>
      <c r="G840" s="1"/>
      <c r="H840" s="1"/>
      <c r="I840" s="1"/>
      <c r="J840" s="34"/>
      <c r="K840" s="1"/>
      <c r="L840" s="1"/>
      <c r="M840" s="1"/>
      <c r="N840" s="45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45">
      <c r="A841" s="1"/>
      <c r="B841" s="104"/>
      <c r="C841" s="104"/>
      <c r="D841" s="1"/>
      <c r="E841" s="1"/>
      <c r="F841" s="1"/>
      <c r="G841" s="1"/>
      <c r="H841" s="1"/>
      <c r="I841" s="1"/>
      <c r="J841" s="34"/>
      <c r="K841" s="1"/>
      <c r="L841" s="1"/>
      <c r="M841" s="1"/>
      <c r="N841" s="45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45">
      <c r="A842" s="1"/>
      <c r="B842" s="104"/>
      <c r="C842" s="104"/>
      <c r="D842" s="1"/>
      <c r="E842" s="1"/>
      <c r="F842" s="1"/>
      <c r="G842" s="1"/>
      <c r="H842" s="1"/>
      <c r="I842" s="1"/>
      <c r="J842" s="34"/>
      <c r="K842" s="1"/>
      <c r="L842" s="1"/>
      <c r="M842" s="1"/>
      <c r="N842" s="45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45">
      <c r="A843" s="1"/>
      <c r="B843" s="104"/>
      <c r="C843" s="104"/>
      <c r="D843" s="1"/>
      <c r="E843" s="1"/>
      <c r="F843" s="1"/>
      <c r="G843" s="1"/>
      <c r="H843" s="1"/>
      <c r="I843" s="1"/>
      <c r="J843" s="34"/>
      <c r="K843" s="1"/>
      <c r="L843" s="1"/>
      <c r="M843" s="1"/>
      <c r="N843" s="45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45">
      <c r="A844" s="1"/>
      <c r="B844" s="104"/>
      <c r="C844" s="104"/>
      <c r="D844" s="1"/>
      <c r="E844" s="1"/>
      <c r="F844" s="1"/>
      <c r="G844" s="1"/>
      <c r="H844" s="1"/>
      <c r="I844" s="1"/>
      <c r="J844" s="34"/>
      <c r="K844" s="1"/>
      <c r="L844" s="1"/>
      <c r="M844" s="1"/>
      <c r="N844" s="45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45">
      <c r="A845" s="1"/>
      <c r="B845" s="104"/>
      <c r="C845" s="104"/>
      <c r="D845" s="1"/>
      <c r="E845" s="1"/>
      <c r="F845" s="1"/>
      <c r="G845" s="1"/>
      <c r="H845" s="1"/>
      <c r="I845" s="1"/>
      <c r="J845" s="34"/>
      <c r="K845" s="1"/>
      <c r="L845" s="1"/>
      <c r="M845" s="1"/>
      <c r="N845" s="45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45">
      <c r="A846" s="1"/>
      <c r="B846" s="104"/>
      <c r="C846" s="104"/>
      <c r="D846" s="1"/>
      <c r="E846" s="1"/>
      <c r="F846" s="1"/>
      <c r="G846" s="1"/>
      <c r="H846" s="1"/>
      <c r="I846" s="1"/>
      <c r="J846" s="34"/>
      <c r="K846" s="1"/>
      <c r="L846" s="1"/>
      <c r="M846" s="1"/>
      <c r="N846" s="45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45">
      <c r="A847" s="1"/>
      <c r="B847" s="104"/>
      <c r="C847" s="104"/>
      <c r="D847" s="1"/>
      <c r="E847" s="1"/>
      <c r="F847" s="1"/>
      <c r="G847" s="1"/>
      <c r="H847" s="1"/>
      <c r="I847" s="1"/>
      <c r="J847" s="34"/>
      <c r="K847" s="1"/>
      <c r="L847" s="1"/>
      <c r="M847" s="1"/>
      <c r="N847" s="45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45">
      <c r="A848" s="1"/>
      <c r="B848" s="104"/>
      <c r="C848" s="104"/>
      <c r="D848" s="1"/>
      <c r="E848" s="1"/>
      <c r="F848" s="1"/>
      <c r="G848" s="1"/>
      <c r="H848" s="1"/>
      <c r="I848" s="1"/>
      <c r="J848" s="34"/>
      <c r="K848" s="1"/>
      <c r="L848" s="1"/>
      <c r="M848" s="1"/>
      <c r="N848" s="45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45">
      <c r="A849" s="1"/>
      <c r="B849" s="104"/>
      <c r="C849" s="104"/>
      <c r="D849" s="1"/>
      <c r="E849" s="1"/>
      <c r="F849" s="1"/>
      <c r="G849" s="1"/>
      <c r="H849" s="1"/>
      <c r="I849" s="1"/>
      <c r="J849" s="34"/>
      <c r="K849" s="1"/>
      <c r="L849" s="1"/>
      <c r="M849" s="1"/>
      <c r="N849" s="45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45">
      <c r="A850" s="1"/>
      <c r="B850" s="104"/>
      <c r="C850" s="104"/>
      <c r="D850" s="1"/>
      <c r="E850" s="1"/>
      <c r="F850" s="1"/>
      <c r="G850" s="1"/>
      <c r="H850" s="1"/>
      <c r="I850" s="1"/>
      <c r="J850" s="34"/>
      <c r="K850" s="1"/>
      <c r="L850" s="1"/>
      <c r="M850" s="1"/>
      <c r="N850" s="45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45">
      <c r="A851" s="1"/>
      <c r="B851" s="104"/>
      <c r="C851" s="104"/>
      <c r="D851" s="1"/>
      <c r="E851" s="1"/>
      <c r="F851" s="1"/>
      <c r="G851" s="1"/>
      <c r="H851" s="1"/>
      <c r="I851" s="1"/>
      <c r="J851" s="34"/>
      <c r="K851" s="1"/>
      <c r="L851" s="1"/>
      <c r="M851" s="1"/>
      <c r="N851" s="45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45">
      <c r="A852" s="1"/>
      <c r="B852" s="104"/>
      <c r="C852" s="104"/>
      <c r="D852" s="1"/>
      <c r="E852" s="1"/>
      <c r="F852" s="1"/>
      <c r="G852" s="1"/>
      <c r="H852" s="1"/>
      <c r="I852" s="1"/>
      <c r="J852" s="34"/>
      <c r="K852" s="1"/>
      <c r="L852" s="1"/>
      <c r="M852" s="1"/>
      <c r="N852" s="45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45">
      <c r="A853" s="1"/>
      <c r="B853" s="104"/>
      <c r="C853" s="104"/>
      <c r="D853" s="1"/>
      <c r="E853" s="1"/>
      <c r="F853" s="1"/>
      <c r="G853" s="1"/>
      <c r="H853" s="1"/>
      <c r="I853" s="1"/>
      <c r="J853" s="34"/>
      <c r="K853" s="1"/>
      <c r="L853" s="1"/>
      <c r="M853" s="1"/>
      <c r="N853" s="45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45">
      <c r="A854" s="1"/>
      <c r="B854" s="104"/>
      <c r="C854" s="104"/>
      <c r="D854" s="1"/>
      <c r="E854" s="1"/>
      <c r="F854" s="1"/>
      <c r="G854" s="1"/>
      <c r="H854" s="1"/>
      <c r="I854" s="1"/>
      <c r="J854" s="34"/>
      <c r="K854" s="1"/>
      <c r="L854" s="1"/>
      <c r="M854" s="1"/>
      <c r="N854" s="45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45">
      <c r="A855" s="1"/>
      <c r="B855" s="104"/>
      <c r="C855" s="104"/>
      <c r="D855" s="1"/>
      <c r="E855" s="1"/>
      <c r="F855" s="1"/>
      <c r="G855" s="1"/>
      <c r="H855" s="1"/>
      <c r="I855" s="1"/>
      <c r="J855" s="34"/>
      <c r="K855" s="1"/>
      <c r="L855" s="1"/>
      <c r="M855" s="1"/>
      <c r="N855" s="45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45">
      <c r="A856" s="1"/>
      <c r="B856" s="104"/>
      <c r="C856" s="104"/>
      <c r="D856" s="1"/>
      <c r="E856" s="1"/>
      <c r="F856" s="1"/>
      <c r="G856" s="1"/>
      <c r="H856" s="1"/>
      <c r="I856" s="1"/>
      <c r="J856" s="34"/>
      <c r="K856" s="1"/>
      <c r="L856" s="1"/>
      <c r="M856" s="1"/>
      <c r="N856" s="45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" customHeight="1" x14ac:dyDescent="0.45">
      <c r="A857" s="1"/>
      <c r="B857" s="104"/>
      <c r="C857" s="104"/>
      <c r="D857" s="1"/>
      <c r="E857" s="1"/>
      <c r="F857" s="1"/>
      <c r="G857" s="1"/>
      <c r="H857" s="1"/>
      <c r="I857" s="1"/>
      <c r="J857" s="34"/>
      <c r="K857" s="1"/>
      <c r="L857" s="1"/>
      <c r="M857" s="1"/>
      <c r="N857" s="45"/>
      <c r="O857" s="1"/>
      <c r="P857" s="1"/>
      <c r="Q857" s="1"/>
    </row>
    <row r="858" spans="1:27" ht="15" customHeight="1" x14ac:dyDescent="0.45">
      <c r="A858" s="1"/>
      <c r="B858" s="104"/>
      <c r="C858" s="104"/>
      <c r="D858" s="1"/>
      <c r="E858" s="1"/>
      <c r="F858" s="1"/>
      <c r="G858" s="1"/>
      <c r="H858" s="1"/>
      <c r="I858" s="1"/>
      <c r="J858" s="34"/>
      <c r="K858" s="1"/>
      <c r="L858" s="1"/>
      <c r="M858" s="1"/>
      <c r="N858" s="45"/>
      <c r="O858" s="1"/>
      <c r="P858" s="1"/>
      <c r="Q858" s="1"/>
    </row>
    <row r="859" spans="1:27" ht="15" customHeight="1" x14ac:dyDescent="0.45">
      <c r="A859" s="1"/>
      <c r="B859" s="104"/>
      <c r="C859" s="104"/>
      <c r="D859" s="1"/>
      <c r="E859" s="1"/>
      <c r="F859" s="1"/>
      <c r="G859" s="1"/>
      <c r="H859" s="1"/>
      <c r="I859" s="1"/>
      <c r="J859" s="34"/>
      <c r="K859" s="1"/>
      <c r="L859" s="1"/>
      <c r="M859" s="1"/>
      <c r="N859" s="45"/>
      <c r="O859" s="1"/>
      <c r="P859" s="1"/>
      <c r="Q859" s="1"/>
    </row>
    <row r="860" spans="1:27" ht="15" customHeight="1" x14ac:dyDescent="0.45">
      <c r="A860" s="1"/>
      <c r="B860" s="104"/>
      <c r="C860" s="104"/>
      <c r="D860" s="1"/>
      <c r="E860" s="1"/>
      <c r="F860" s="1"/>
      <c r="G860" s="1"/>
      <c r="H860" s="1"/>
      <c r="I860" s="1"/>
      <c r="J860" s="34"/>
      <c r="K860" s="1"/>
      <c r="L860" s="1"/>
      <c r="M860" s="1"/>
      <c r="N860" s="45"/>
      <c r="O860" s="1"/>
      <c r="P860" s="1"/>
      <c r="Q860" s="1"/>
    </row>
    <row r="861" spans="1:27" ht="15" customHeight="1" x14ac:dyDescent="0.45">
      <c r="A861" s="1"/>
      <c r="B861" s="104"/>
      <c r="C861" s="104"/>
      <c r="D861" s="1"/>
      <c r="E861" s="1"/>
      <c r="F861" s="1"/>
      <c r="G861" s="1"/>
      <c r="H861" s="1"/>
      <c r="I861" s="1"/>
      <c r="J861" s="34"/>
      <c r="K861" s="1"/>
      <c r="L861" s="1"/>
      <c r="M861" s="1"/>
      <c r="N861" s="45"/>
      <c r="O861" s="1"/>
      <c r="P861" s="1"/>
      <c r="Q861" s="1"/>
    </row>
    <row r="862" spans="1:27" ht="15" customHeight="1" x14ac:dyDescent="0.45">
      <c r="A862" s="1"/>
      <c r="B862" s="104"/>
      <c r="C862" s="104"/>
      <c r="D862" s="1"/>
      <c r="E862" s="1"/>
      <c r="F862" s="1"/>
      <c r="G862" s="1"/>
      <c r="H862" s="1"/>
      <c r="I862" s="1"/>
      <c r="J862" s="34"/>
      <c r="K862" s="1"/>
      <c r="L862" s="1"/>
      <c r="M862" s="1"/>
      <c r="N862" s="45"/>
      <c r="O862" s="1"/>
      <c r="P862" s="1"/>
      <c r="Q862" s="1"/>
    </row>
    <row r="863" spans="1:27" ht="15" customHeight="1" x14ac:dyDescent="0.45">
      <c r="A863" s="1"/>
      <c r="B863" s="104"/>
      <c r="C863" s="104"/>
      <c r="D863" s="1"/>
      <c r="E863" s="1"/>
      <c r="F863" s="1"/>
      <c r="G863" s="1"/>
      <c r="H863" s="1"/>
      <c r="I863" s="1"/>
      <c r="J863" s="34"/>
      <c r="K863" s="1"/>
      <c r="L863" s="1"/>
      <c r="M863" s="1"/>
      <c r="N863" s="45"/>
      <c r="O863" s="1"/>
      <c r="P863" s="1"/>
      <c r="Q863" s="1"/>
    </row>
    <row r="864" spans="1:27" ht="15" customHeight="1" x14ac:dyDescent="0.45">
      <c r="A864" s="1"/>
      <c r="B864" s="104"/>
      <c r="C864" s="104"/>
      <c r="D864" s="1"/>
      <c r="E864" s="1"/>
      <c r="F864" s="1"/>
      <c r="G864" s="1"/>
      <c r="H864" s="1"/>
      <c r="I864" s="1"/>
      <c r="J864" s="34"/>
      <c r="K864" s="1"/>
      <c r="L864" s="1"/>
      <c r="M864" s="1"/>
      <c r="N864" s="45"/>
      <c r="O864" s="1"/>
      <c r="P864" s="1"/>
      <c r="Q864" s="1"/>
    </row>
    <row r="865" spans="1:17" ht="15" customHeight="1" x14ac:dyDescent="0.45">
      <c r="A865" s="1"/>
      <c r="B865" s="104"/>
      <c r="C865" s="104"/>
      <c r="D865" s="1"/>
      <c r="E865" s="1"/>
      <c r="F865" s="1"/>
      <c r="G865" s="1"/>
      <c r="H865" s="1"/>
      <c r="I865" s="1"/>
      <c r="J865" s="34"/>
      <c r="K865" s="1"/>
      <c r="L865" s="1"/>
      <c r="M865" s="1"/>
      <c r="N865" s="45"/>
      <c r="O865" s="1"/>
      <c r="P865" s="1"/>
      <c r="Q865" s="1"/>
    </row>
    <row r="866" spans="1:17" ht="15" customHeight="1" x14ac:dyDescent="0.45">
      <c r="A866" s="1"/>
      <c r="B866" s="104"/>
      <c r="C866" s="104"/>
      <c r="D866" s="1"/>
      <c r="E866" s="1"/>
      <c r="F866" s="1"/>
      <c r="G866" s="1"/>
      <c r="H866" s="1"/>
      <c r="I866" s="1"/>
      <c r="J866" s="34"/>
      <c r="K866" s="1"/>
      <c r="L866" s="1"/>
      <c r="M866" s="1"/>
      <c r="N866" s="45"/>
      <c r="O866" s="1"/>
      <c r="P866" s="1"/>
      <c r="Q866" s="1"/>
    </row>
    <row r="867" spans="1:17" ht="15" customHeight="1" x14ac:dyDescent="0.45">
      <c r="A867" s="1"/>
      <c r="B867" s="104"/>
      <c r="C867" s="104"/>
      <c r="D867" s="1"/>
      <c r="E867" s="1"/>
      <c r="F867" s="1"/>
      <c r="G867" s="1"/>
      <c r="H867" s="1"/>
      <c r="I867" s="1"/>
      <c r="J867" s="34"/>
      <c r="K867" s="1"/>
      <c r="L867" s="1"/>
      <c r="M867" s="1"/>
      <c r="N867" s="45"/>
      <c r="O867" s="1"/>
      <c r="P867" s="1"/>
      <c r="Q867" s="1"/>
    </row>
    <row r="868" spans="1:17" ht="15" customHeight="1" x14ac:dyDescent="0.45">
      <c r="A868" s="1"/>
      <c r="B868" s="104"/>
      <c r="C868" s="104"/>
      <c r="D868" s="1"/>
      <c r="E868" s="1"/>
      <c r="F868" s="1"/>
      <c r="G868" s="1"/>
      <c r="H868" s="1"/>
      <c r="I868" s="1"/>
      <c r="J868" s="34"/>
      <c r="K868" s="1"/>
      <c r="L868" s="1"/>
      <c r="M868" s="1"/>
      <c r="N868" s="45"/>
      <c r="O868" s="1"/>
      <c r="P868" s="1"/>
      <c r="Q868" s="1"/>
    </row>
    <row r="869" spans="1:17" ht="15" customHeight="1" x14ac:dyDescent="0.45">
      <c r="A869" s="1"/>
      <c r="B869" s="104"/>
      <c r="C869" s="104"/>
      <c r="D869" s="1"/>
      <c r="E869" s="1"/>
      <c r="F869" s="1"/>
      <c r="G869" s="1"/>
      <c r="H869" s="1"/>
      <c r="I869" s="1"/>
      <c r="J869" s="34"/>
      <c r="K869" s="1"/>
      <c r="L869" s="1"/>
      <c r="M869" s="1"/>
      <c r="N869" s="45"/>
      <c r="O869" s="1"/>
      <c r="P869" s="1"/>
      <c r="Q869" s="1"/>
    </row>
    <row r="870" spans="1:17" ht="15" customHeight="1" x14ac:dyDescent="0.45">
      <c r="A870" s="1"/>
      <c r="B870" s="104"/>
      <c r="C870" s="104"/>
      <c r="D870" s="1"/>
      <c r="E870" s="1"/>
      <c r="F870" s="1"/>
      <c r="G870" s="1"/>
      <c r="H870" s="1"/>
      <c r="I870" s="1"/>
      <c r="J870" s="34"/>
      <c r="K870" s="1"/>
      <c r="L870" s="1"/>
      <c r="M870" s="1"/>
      <c r="N870" s="45"/>
      <c r="O870" s="1"/>
      <c r="P870" s="1"/>
      <c r="Q870" s="1"/>
    </row>
    <row r="871" spans="1:17" ht="15" customHeight="1" x14ac:dyDescent="0.45">
      <c r="A871" s="1"/>
      <c r="B871" s="104"/>
      <c r="C871" s="104"/>
      <c r="D871" s="1"/>
      <c r="E871" s="1"/>
      <c r="F871" s="1"/>
      <c r="G871" s="1"/>
      <c r="H871" s="1"/>
      <c r="I871" s="1"/>
      <c r="J871" s="34"/>
      <c r="K871" s="1"/>
      <c r="L871" s="1"/>
      <c r="M871" s="1"/>
      <c r="N871" s="45"/>
      <c r="O871" s="1"/>
      <c r="P871" s="1"/>
      <c r="Q871" s="1"/>
    </row>
    <row r="872" spans="1:17" ht="15" customHeight="1" x14ac:dyDescent="0.45">
      <c r="A872" s="1"/>
      <c r="B872" s="104"/>
      <c r="C872" s="104"/>
      <c r="D872" s="1"/>
      <c r="E872" s="1"/>
      <c r="F872" s="1"/>
      <c r="G872" s="1"/>
      <c r="H872" s="1"/>
      <c r="I872" s="1"/>
      <c r="J872" s="34"/>
      <c r="K872" s="1"/>
      <c r="L872" s="1"/>
      <c r="M872" s="1"/>
      <c r="N872" s="45"/>
      <c r="O872" s="1"/>
      <c r="P872" s="1"/>
      <c r="Q872" s="1"/>
    </row>
    <row r="873" spans="1:17" ht="15" customHeight="1" x14ac:dyDescent="0.45">
      <c r="A873" s="1"/>
      <c r="B873" s="104"/>
      <c r="C873" s="104"/>
      <c r="D873" s="1"/>
      <c r="E873" s="1"/>
      <c r="F873" s="1"/>
      <c r="G873" s="1"/>
      <c r="H873" s="1"/>
      <c r="I873" s="1"/>
      <c r="J873" s="34"/>
      <c r="K873" s="1"/>
      <c r="L873" s="1"/>
      <c r="M873" s="1"/>
      <c r="N873" s="45"/>
      <c r="O873" s="1"/>
      <c r="P873" s="1"/>
      <c r="Q873" s="1"/>
    </row>
    <row r="874" spans="1:17" ht="15" customHeight="1" x14ac:dyDescent="0.45">
      <c r="A874" s="1"/>
      <c r="B874" s="104"/>
      <c r="C874" s="104"/>
      <c r="D874" s="1"/>
      <c r="E874" s="1"/>
      <c r="F874" s="1"/>
      <c r="G874" s="1"/>
      <c r="H874" s="1"/>
      <c r="I874" s="1"/>
      <c r="J874" s="34"/>
      <c r="K874" s="1"/>
      <c r="L874" s="1"/>
      <c r="M874" s="1"/>
      <c r="N874" s="45"/>
      <c r="O874" s="1"/>
      <c r="P874" s="1"/>
      <c r="Q874" s="1"/>
    </row>
    <row r="875" spans="1:17" ht="15" customHeight="1" x14ac:dyDescent="0.45">
      <c r="A875" s="1"/>
      <c r="B875" s="104"/>
      <c r="C875" s="104"/>
      <c r="D875" s="1"/>
      <c r="E875" s="1"/>
      <c r="F875" s="1"/>
      <c r="G875" s="1"/>
      <c r="H875" s="1"/>
      <c r="I875" s="1"/>
      <c r="J875" s="34"/>
      <c r="K875" s="1"/>
      <c r="L875" s="1"/>
      <c r="M875" s="1"/>
      <c r="N875" s="45"/>
      <c r="O875" s="1"/>
      <c r="P875" s="1"/>
      <c r="Q875" s="1"/>
    </row>
    <row r="876" spans="1:17" ht="15" customHeight="1" x14ac:dyDescent="0.45">
      <c r="A876" s="1"/>
      <c r="B876" s="104"/>
      <c r="C876" s="104"/>
      <c r="D876" s="1"/>
      <c r="E876" s="1"/>
      <c r="F876" s="1"/>
      <c r="G876" s="1"/>
      <c r="H876" s="1"/>
      <c r="I876" s="1"/>
      <c r="J876" s="34"/>
      <c r="K876" s="1"/>
      <c r="L876" s="1"/>
      <c r="M876" s="1"/>
      <c r="N876" s="45"/>
      <c r="O876" s="1"/>
      <c r="P876" s="1"/>
      <c r="Q876" s="1"/>
    </row>
    <row r="877" spans="1:17" ht="15" customHeight="1" x14ac:dyDescent="0.45">
      <c r="A877" s="1"/>
      <c r="B877" s="104"/>
      <c r="C877" s="104"/>
      <c r="D877" s="1"/>
      <c r="E877" s="1"/>
      <c r="F877" s="1"/>
      <c r="G877" s="1"/>
      <c r="H877" s="1"/>
      <c r="I877" s="1"/>
      <c r="J877" s="34"/>
      <c r="K877" s="1"/>
      <c r="L877" s="1"/>
      <c r="M877" s="1"/>
      <c r="N877" s="45"/>
      <c r="O877" s="1"/>
      <c r="P877" s="1"/>
      <c r="Q877" s="1"/>
    </row>
    <row r="878" spans="1:17" ht="15" customHeight="1" x14ac:dyDescent="0.45">
      <c r="A878" s="1"/>
      <c r="B878" s="104"/>
      <c r="C878" s="104"/>
      <c r="D878" s="1"/>
      <c r="E878" s="1"/>
      <c r="F878" s="1"/>
      <c r="G878" s="1"/>
      <c r="H878" s="1"/>
      <c r="I878" s="1"/>
      <c r="J878" s="34"/>
      <c r="K878" s="1"/>
      <c r="L878" s="1"/>
      <c r="M878" s="1"/>
      <c r="N878" s="45"/>
      <c r="O878" s="1"/>
      <c r="P878" s="1"/>
      <c r="Q878" s="1"/>
    </row>
    <row r="879" spans="1:17" ht="15" customHeight="1" x14ac:dyDescent="0.45">
      <c r="A879" s="1"/>
      <c r="B879" s="104"/>
      <c r="C879" s="104"/>
      <c r="D879" s="1"/>
      <c r="E879" s="1"/>
      <c r="F879" s="1"/>
      <c r="G879" s="1"/>
      <c r="H879" s="1"/>
      <c r="I879" s="1"/>
      <c r="J879" s="34"/>
      <c r="K879" s="1"/>
      <c r="L879" s="1"/>
      <c r="M879" s="1"/>
      <c r="N879" s="45"/>
      <c r="O879" s="1"/>
      <c r="P879" s="1"/>
      <c r="Q879" s="1"/>
    </row>
    <row r="880" spans="1:17" ht="15" customHeight="1" x14ac:dyDescent="0.45">
      <c r="A880" s="1"/>
      <c r="B880" s="104"/>
      <c r="C880" s="104"/>
      <c r="D880" s="1"/>
      <c r="E880" s="1"/>
      <c r="F880" s="1"/>
      <c r="G880" s="1"/>
      <c r="H880" s="1"/>
      <c r="I880" s="1"/>
      <c r="J880" s="34"/>
      <c r="K880" s="1"/>
      <c r="L880" s="1"/>
      <c r="M880" s="1"/>
      <c r="N880" s="45"/>
      <c r="O880" s="1"/>
      <c r="P880" s="1"/>
      <c r="Q880" s="1"/>
    </row>
    <row r="881" spans="1:17" ht="15" customHeight="1" x14ac:dyDescent="0.45">
      <c r="A881" s="1"/>
      <c r="B881" s="104"/>
      <c r="C881" s="104"/>
      <c r="D881" s="1"/>
      <c r="E881" s="1"/>
      <c r="F881" s="1"/>
      <c r="G881" s="1"/>
      <c r="H881" s="1"/>
      <c r="I881" s="1"/>
      <c r="J881" s="34"/>
      <c r="K881" s="1"/>
      <c r="L881" s="1"/>
      <c r="M881" s="1"/>
      <c r="N881" s="45"/>
      <c r="O881" s="1"/>
      <c r="P881" s="1"/>
      <c r="Q881" s="1"/>
    </row>
    <row r="882" spans="1:17" ht="15" customHeight="1" x14ac:dyDescent="0.45">
      <c r="A882" s="1"/>
      <c r="B882" s="104"/>
      <c r="C882" s="104"/>
      <c r="D882" s="1"/>
      <c r="E882" s="1"/>
      <c r="F882" s="1"/>
      <c r="G882" s="1"/>
      <c r="H882" s="1"/>
      <c r="I882" s="1"/>
      <c r="J882" s="34"/>
      <c r="K882" s="1"/>
      <c r="L882" s="1"/>
      <c r="M882" s="1"/>
      <c r="N882" s="45"/>
      <c r="O882" s="1"/>
      <c r="P882" s="1"/>
      <c r="Q882" s="1"/>
    </row>
    <row r="883" spans="1:17" ht="15" customHeight="1" x14ac:dyDescent="0.45">
      <c r="A883" s="1"/>
      <c r="B883" s="104"/>
      <c r="C883" s="104"/>
      <c r="D883" s="1"/>
      <c r="E883" s="1"/>
      <c r="F883" s="1"/>
      <c r="G883" s="1"/>
      <c r="H883" s="1"/>
      <c r="I883" s="1"/>
      <c r="J883" s="34"/>
      <c r="K883" s="1"/>
      <c r="L883" s="1"/>
      <c r="M883" s="1"/>
      <c r="N883" s="45"/>
      <c r="O883" s="1"/>
      <c r="P883" s="1"/>
      <c r="Q883" s="1"/>
    </row>
    <row r="884" spans="1:17" ht="15" customHeight="1" x14ac:dyDescent="0.45">
      <c r="A884" s="1"/>
      <c r="B884" s="104"/>
      <c r="C884" s="104"/>
      <c r="D884" s="1"/>
      <c r="E884" s="1"/>
      <c r="F884" s="1"/>
      <c r="G884" s="1"/>
      <c r="H884" s="1"/>
      <c r="I884" s="1"/>
      <c r="J884" s="34"/>
      <c r="K884" s="1"/>
      <c r="L884" s="1"/>
      <c r="M884" s="1"/>
      <c r="N884" s="45"/>
      <c r="O884" s="1"/>
      <c r="P884" s="1"/>
      <c r="Q884" s="1"/>
    </row>
    <row r="885" spans="1:17" ht="15" customHeight="1" x14ac:dyDescent="0.45">
      <c r="A885" s="1"/>
      <c r="B885" s="104"/>
      <c r="C885" s="104"/>
      <c r="D885" s="1"/>
      <c r="E885" s="1"/>
      <c r="F885" s="1"/>
      <c r="G885" s="1"/>
      <c r="H885" s="1"/>
      <c r="I885" s="1"/>
      <c r="J885" s="34"/>
      <c r="K885" s="1"/>
      <c r="L885" s="1"/>
      <c r="M885" s="1"/>
      <c r="N885" s="45"/>
      <c r="O885" s="1"/>
      <c r="P885" s="1"/>
      <c r="Q885" s="1"/>
    </row>
    <row r="886" spans="1:17" ht="15" customHeight="1" x14ac:dyDescent="0.45">
      <c r="A886" s="1"/>
      <c r="B886" s="104"/>
      <c r="C886" s="104"/>
      <c r="D886" s="1"/>
      <c r="E886" s="1"/>
      <c r="F886" s="1"/>
      <c r="G886" s="1"/>
      <c r="H886" s="1"/>
      <c r="I886" s="1"/>
      <c r="J886" s="34"/>
      <c r="K886" s="1"/>
      <c r="L886" s="1"/>
      <c r="M886" s="1"/>
      <c r="N886" s="45"/>
      <c r="O886" s="1"/>
      <c r="P886" s="1"/>
      <c r="Q886" s="1"/>
    </row>
    <row r="887" spans="1:17" ht="15" customHeight="1" x14ac:dyDescent="0.45">
      <c r="A887" s="1"/>
      <c r="B887" s="104"/>
      <c r="C887" s="104"/>
      <c r="D887" s="1"/>
      <c r="E887" s="1"/>
      <c r="F887" s="1"/>
      <c r="G887" s="1"/>
      <c r="H887" s="1"/>
      <c r="I887" s="1"/>
      <c r="J887" s="34"/>
      <c r="K887" s="1"/>
      <c r="L887" s="1"/>
      <c r="M887" s="1"/>
      <c r="N887" s="45"/>
      <c r="O887" s="1"/>
      <c r="P887" s="1"/>
      <c r="Q887" s="1"/>
    </row>
    <row r="888" spans="1:17" ht="15" customHeight="1" x14ac:dyDescent="0.45">
      <c r="A888" s="1"/>
      <c r="B888" s="104"/>
      <c r="C888" s="104"/>
      <c r="D888" s="1"/>
      <c r="E888" s="1"/>
      <c r="F888" s="1"/>
      <c r="G888" s="1"/>
      <c r="H888" s="1"/>
      <c r="I888" s="1"/>
      <c r="J888" s="34"/>
      <c r="K888" s="1"/>
      <c r="L888" s="1"/>
      <c r="M888" s="1"/>
      <c r="N888" s="45"/>
      <c r="O888" s="1"/>
      <c r="P888" s="1"/>
      <c r="Q888" s="1"/>
    </row>
    <row r="889" spans="1:17" ht="15" customHeight="1" x14ac:dyDescent="0.45">
      <c r="A889" s="1"/>
      <c r="B889" s="104"/>
      <c r="C889" s="104"/>
      <c r="D889" s="1"/>
      <c r="E889" s="1"/>
      <c r="F889" s="1"/>
      <c r="G889" s="1"/>
      <c r="H889" s="1"/>
      <c r="I889" s="1"/>
      <c r="J889" s="34"/>
      <c r="K889" s="1"/>
      <c r="L889" s="1"/>
      <c r="M889" s="1"/>
      <c r="N889" s="45"/>
      <c r="O889" s="1"/>
      <c r="P889" s="1"/>
      <c r="Q889" s="1"/>
    </row>
    <row r="890" spans="1:17" ht="15" customHeight="1" x14ac:dyDescent="0.45">
      <c r="A890" s="1"/>
      <c r="B890" s="104"/>
      <c r="C890" s="104"/>
      <c r="D890" s="1"/>
      <c r="E890" s="1"/>
      <c r="F890" s="1"/>
      <c r="G890" s="1"/>
      <c r="H890" s="1"/>
      <c r="I890" s="1"/>
      <c r="J890" s="34"/>
      <c r="K890" s="1"/>
      <c r="L890" s="1"/>
      <c r="M890" s="1"/>
      <c r="N890" s="45"/>
      <c r="O890" s="1"/>
      <c r="P890" s="1"/>
      <c r="Q890" s="1"/>
    </row>
    <row r="891" spans="1:17" ht="15" customHeight="1" x14ac:dyDescent="0.45">
      <c r="A891" s="1"/>
      <c r="B891" s="104"/>
      <c r="C891" s="104"/>
      <c r="D891" s="1"/>
      <c r="E891" s="1"/>
      <c r="F891" s="1"/>
      <c r="G891" s="1"/>
      <c r="H891" s="1"/>
      <c r="I891" s="1"/>
      <c r="J891" s="34"/>
      <c r="K891" s="1"/>
      <c r="L891" s="1"/>
      <c r="M891" s="1"/>
      <c r="N891" s="45"/>
      <c r="O891" s="1"/>
      <c r="P891" s="1"/>
      <c r="Q891" s="1"/>
    </row>
    <row r="892" spans="1:17" ht="15" customHeight="1" x14ac:dyDescent="0.45">
      <c r="A892" s="1"/>
      <c r="B892" s="104"/>
      <c r="C892" s="104"/>
      <c r="D892" s="1"/>
      <c r="E892" s="1"/>
      <c r="F892" s="1"/>
      <c r="G892" s="1"/>
      <c r="H892" s="1"/>
      <c r="I892" s="1"/>
      <c r="J892" s="34"/>
      <c r="K892" s="1"/>
      <c r="L892" s="1"/>
      <c r="M892" s="1"/>
      <c r="N892" s="45"/>
      <c r="O892" s="1"/>
      <c r="P892" s="1"/>
      <c r="Q892" s="1"/>
    </row>
    <row r="893" spans="1:17" ht="15" customHeight="1" x14ac:dyDescent="0.45">
      <c r="A893" s="1"/>
      <c r="B893" s="104"/>
      <c r="C893" s="104"/>
      <c r="D893" s="1"/>
      <c r="E893" s="1"/>
      <c r="F893" s="1"/>
      <c r="G893" s="1"/>
      <c r="H893" s="1"/>
      <c r="I893" s="1"/>
      <c r="J893" s="34"/>
      <c r="K893" s="1"/>
      <c r="L893" s="1"/>
      <c r="M893" s="1"/>
      <c r="N893" s="45"/>
      <c r="O893" s="1"/>
      <c r="P893" s="1"/>
      <c r="Q893" s="1"/>
    </row>
    <row r="894" spans="1:17" ht="15" customHeight="1" x14ac:dyDescent="0.45">
      <c r="A894" s="1"/>
      <c r="B894" s="104"/>
      <c r="C894" s="104"/>
      <c r="D894" s="1"/>
      <c r="E894" s="1"/>
      <c r="F894" s="1"/>
      <c r="G894" s="1"/>
      <c r="H894" s="1"/>
      <c r="I894" s="1"/>
      <c r="J894" s="34"/>
      <c r="K894" s="1"/>
      <c r="L894" s="1"/>
      <c r="M894" s="1"/>
      <c r="N894" s="45"/>
      <c r="O894" s="1"/>
      <c r="P894" s="1"/>
      <c r="Q894" s="1"/>
    </row>
    <row r="895" spans="1:17" ht="15" customHeight="1" x14ac:dyDescent="0.45">
      <c r="A895" s="1"/>
      <c r="B895" s="104"/>
      <c r="C895" s="104"/>
      <c r="D895" s="1"/>
      <c r="E895" s="1"/>
      <c r="F895" s="1"/>
      <c r="G895" s="1"/>
      <c r="H895" s="1"/>
      <c r="I895" s="1"/>
      <c r="J895" s="34"/>
      <c r="K895" s="1"/>
      <c r="L895" s="1"/>
      <c r="M895" s="1"/>
      <c r="N895" s="45"/>
      <c r="O895" s="1"/>
      <c r="P895" s="1"/>
      <c r="Q895" s="1"/>
    </row>
    <row r="896" spans="1:17" ht="15" customHeight="1" x14ac:dyDescent="0.45">
      <c r="A896" s="1"/>
      <c r="B896" s="104"/>
      <c r="C896" s="104"/>
      <c r="D896" s="1"/>
      <c r="E896" s="1"/>
      <c r="F896" s="1"/>
      <c r="G896" s="1"/>
      <c r="H896" s="1"/>
      <c r="I896" s="1"/>
      <c r="J896" s="34"/>
      <c r="K896" s="1"/>
      <c r="L896" s="1"/>
      <c r="M896" s="1"/>
      <c r="N896" s="45"/>
      <c r="O896" s="1"/>
      <c r="P896" s="1"/>
      <c r="Q896" s="1"/>
    </row>
    <row r="897" spans="1:17" ht="15" customHeight="1" x14ac:dyDescent="0.45">
      <c r="A897" s="1"/>
      <c r="B897" s="104"/>
      <c r="C897" s="104"/>
      <c r="D897" s="1"/>
      <c r="E897" s="1"/>
      <c r="F897" s="1"/>
      <c r="G897" s="1"/>
      <c r="H897" s="1"/>
      <c r="I897" s="1"/>
      <c r="J897" s="34"/>
      <c r="K897" s="1"/>
      <c r="L897" s="1"/>
      <c r="M897" s="1"/>
      <c r="N897" s="45"/>
      <c r="O897" s="1"/>
      <c r="P897" s="1"/>
      <c r="Q897" s="1"/>
    </row>
    <row r="898" spans="1:17" ht="15" customHeight="1" x14ac:dyDescent="0.45">
      <c r="A898" s="1"/>
      <c r="B898" s="104"/>
      <c r="C898" s="104"/>
      <c r="D898" s="1"/>
      <c r="E898" s="1"/>
      <c r="F898" s="1"/>
      <c r="G898" s="1"/>
      <c r="H898" s="1"/>
      <c r="I898" s="1"/>
      <c r="J898" s="34"/>
      <c r="K898" s="1"/>
      <c r="L898" s="1"/>
      <c r="M898" s="1"/>
      <c r="N898" s="45"/>
      <c r="O898" s="1"/>
      <c r="P898" s="1"/>
      <c r="Q898" s="1"/>
    </row>
    <row r="899" spans="1:17" ht="15" customHeight="1" x14ac:dyDescent="0.45">
      <c r="A899" s="1"/>
      <c r="B899" s="104"/>
      <c r="C899" s="104"/>
      <c r="D899" s="1"/>
      <c r="E899" s="1"/>
      <c r="F899" s="1"/>
      <c r="G899" s="1"/>
      <c r="H899" s="1"/>
      <c r="I899" s="1"/>
      <c r="J899" s="34"/>
      <c r="K899" s="1"/>
      <c r="L899" s="1"/>
      <c r="M899" s="1"/>
      <c r="N899" s="45"/>
      <c r="O899" s="1"/>
      <c r="P899" s="1"/>
      <c r="Q899" s="1"/>
    </row>
    <row r="900" spans="1:17" ht="15" customHeight="1" x14ac:dyDescent="0.45">
      <c r="A900" s="1"/>
      <c r="B900" s="104"/>
      <c r="C900" s="104"/>
      <c r="D900" s="1"/>
      <c r="E900" s="1"/>
      <c r="F900" s="1"/>
      <c r="G900" s="1"/>
      <c r="H900" s="1"/>
      <c r="I900" s="1"/>
      <c r="J900" s="34"/>
      <c r="K900" s="1"/>
      <c r="L900" s="1"/>
      <c r="M900" s="1"/>
      <c r="N900" s="45"/>
      <c r="O900" s="1"/>
      <c r="P900" s="1"/>
      <c r="Q900" s="1"/>
    </row>
    <row r="901" spans="1:17" ht="15" customHeight="1" x14ac:dyDescent="0.45">
      <c r="A901" s="1"/>
      <c r="B901" s="104"/>
      <c r="C901" s="104"/>
      <c r="D901" s="1"/>
      <c r="E901" s="1"/>
      <c r="F901" s="1"/>
      <c r="G901" s="1"/>
      <c r="H901" s="1"/>
      <c r="I901" s="1"/>
      <c r="J901" s="34"/>
      <c r="K901" s="1"/>
      <c r="L901" s="1"/>
      <c r="M901" s="1"/>
      <c r="N901" s="45"/>
      <c r="O901" s="1"/>
      <c r="P901" s="1"/>
      <c r="Q901" s="1"/>
    </row>
    <row r="902" spans="1:17" ht="15" customHeight="1" x14ac:dyDescent="0.45">
      <c r="A902" s="1"/>
      <c r="B902" s="104"/>
      <c r="C902" s="104"/>
      <c r="D902" s="1"/>
      <c r="E902" s="1"/>
      <c r="F902" s="1"/>
      <c r="G902" s="1"/>
      <c r="H902" s="1"/>
      <c r="I902" s="1"/>
      <c r="J902" s="34"/>
      <c r="K902" s="1"/>
      <c r="L902" s="1"/>
      <c r="M902" s="1"/>
      <c r="N902" s="45"/>
      <c r="O902" s="1"/>
      <c r="P902" s="1"/>
      <c r="Q902" s="1"/>
    </row>
    <row r="903" spans="1:17" ht="15" customHeight="1" x14ac:dyDescent="0.45">
      <c r="A903" s="1"/>
      <c r="B903" s="104"/>
      <c r="C903" s="104"/>
      <c r="D903" s="1"/>
      <c r="E903" s="1"/>
      <c r="F903" s="1"/>
      <c r="G903" s="1"/>
      <c r="H903" s="1"/>
      <c r="I903" s="1"/>
      <c r="J903" s="34"/>
      <c r="K903" s="1"/>
      <c r="L903" s="1"/>
      <c r="M903" s="1"/>
      <c r="N903" s="45"/>
      <c r="O903" s="1"/>
      <c r="P903" s="1"/>
      <c r="Q903" s="1"/>
    </row>
    <row r="904" spans="1:17" ht="15" customHeight="1" x14ac:dyDescent="0.45">
      <c r="A904" s="1"/>
      <c r="B904" s="104"/>
      <c r="C904" s="104"/>
      <c r="D904" s="1"/>
      <c r="E904" s="1"/>
      <c r="F904" s="1"/>
      <c r="G904" s="1"/>
      <c r="H904" s="1"/>
      <c r="I904" s="1"/>
      <c r="J904" s="34"/>
      <c r="K904" s="1"/>
      <c r="L904" s="1"/>
      <c r="M904" s="1"/>
      <c r="N904" s="45"/>
      <c r="O904" s="1"/>
      <c r="P904" s="1"/>
      <c r="Q904" s="1"/>
    </row>
    <row r="905" spans="1:17" ht="15" customHeight="1" x14ac:dyDescent="0.45">
      <c r="A905" s="1"/>
      <c r="B905" s="104"/>
      <c r="C905" s="104"/>
      <c r="D905" s="1"/>
      <c r="E905" s="1"/>
      <c r="F905" s="1"/>
      <c r="G905" s="1"/>
      <c r="H905" s="1"/>
      <c r="I905" s="1"/>
      <c r="J905" s="34"/>
      <c r="K905" s="1"/>
      <c r="L905" s="1"/>
      <c r="M905" s="1"/>
      <c r="N905" s="45"/>
      <c r="O905" s="1"/>
      <c r="P905" s="1"/>
      <c r="Q905" s="1"/>
    </row>
    <row r="906" spans="1:17" ht="15" customHeight="1" x14ac:dyDescent="0.45">
      <c r="A906" s="1"/>
      <c r="B906" s="104"/>
      <c r="C906" s="104"/>
      <c r="D906" s="1"/>
      <c r="E906" s="1"/>
      <c r="F906" s="1"/>
      <c r="G906" s="1"/>
      <c r="H906" s="1"/>
      <c r="I906" s="1"/>
      <c r="J906" s="34"/>
      <c r="K906" s="1"/>
      <c r="L906" s="1"/>
      <c r="M906" s="1"/>
      <c r="N906" s="45"/>
      <c r="O906" s="1"/>
      <c r="P906" s="1"/>
      <c r="Q906" s="1"/>
    </row>
    <row r="907" spans="1:17" ht="15" customHeight="1" x14ac:dyDescent="0.45">
      <c r="A907" s="1"/>
      <c r="B907" s="104"/>
      <c r="C907" s="104"/>
      <c r="D907" s="1"/>
      <c r="E907" s="1"/>
      <c r="F907" s="1"/>
      <c r="G907" s="1"/>
      <c r="H907" s="1"/>
      <c r="I907" s="1"/>
      <c r="J907" s="34"/>
      <c r="K907" s="1"/>
      <c r="L907" s="1"/>
      <c r="M907" s="1"/>
      <c r="N907" s="45"/>
      <c r="O907" s="1"/>
      <c r="P907" s="1"/>
      <c r="Q907" s="1"/>
    </row>
    <row r="908" spans="1:17" ht="15" customHeight="1" x14ac:dyDescent="0.45">
      <c r="A908" s="1"/>
      <c r="B908" s="104"/>
      <c r="C908" s="104"/>
      <c r="D908" s="1"/>
      <c r="E908" s="1"/>
      <c r="F908" s="1"/>
      <c r="G908" s="1"/>
      <c r="H908" s="1"/>
      <c r="I908" s="1"/>
      <c r="J908" s="34"/>
      <c r="K908" s="1"/>
      <c r="L908" s="1"/>
      <c r="M908" s="1"/>
      <c r="N908" s="45"/>
      <c r="O908" s="1"/>
      <c r="P908" s="1"/>
      <c r="Q908" s="1"/>
    </row>
    <row r="909" spans="1:17" ht="15" customHeight="1" x14ac:dyDescent="0.45">
      <c r="A909" s="1"/>
      <c r="B909" s="104"/>
      <c r="C909" s="104"/>
      <c r="D909" s="1"/>
      <c r="E909" s="1"/>
      <c r="F909" s="1"/>
      <c r="G909" s="1"/>
      <c r="H909" s="1"/>
      <c r="I909" s="1"/>
      <c r="J909" s="34"/>
      <c r="K909" s="1"/>
      <c r="L909" s="1"/>
      <c r="M909" s="1"/>
      <c r="N909" s="45"/>
      <c r="O909" s="1"/>
      <c r="P909" s="1"/>
      <c r="Q909" s="1"/>
    </row>
    <row r="910" spans="1:17" ht="15" customHeight="1" x14ac:dyDescent="0.45">
      <c r="A910" s="1"/>
      <c r="B910" s="104"/>
      <c r="C910" s="104"/>
      <c r="D910" s="1"/>
      <c r="E910" s="1"/>
      <c r="F910" s="1"/>
      <c r="G910" s="1"/>
      <c r="H910" s="1"/>
      <c r="I910" s="1"/>
      <c r="J910" s="34"/>
      <c r="K910" s="1"/>
      <c r="L910" s="1"/>
      <c r="M910" s="1"/>
      <c r="N910" s="45"/>
      <c r="O910" s="1"/>
      <c r="P910" s="1"/>
      <c r="Q910" s="1"/>
    </row>
    <row r="911" spans="1:17" ht="15" customHeight="1" x14ac:dyDescent="0.45">
      <c r="A911" s="1"/>
      <c r="B911" s="104"/>
      <c r="C911" s="104"/>
      <c r="D911" s="1"/>
      <c r="E911" s="1"/>
      <c r="F911" s="1"/>
      <c r="G911" s="1"/>
      <c r="H911" s="1"/>
      <c r="I911" s="1"/>
      <c r="J911" s="34"/>
      <c r="K911" s="1"/>
      <c r="L911" s="1"/>
      <c r="M911" s="1"/>
      <c r="N911" s="45"/>
      <c r="O911" s="1"/>
      <c r="P911" s="1"/>
      <c r="Q911" s="1"/>
    </row>
    <row r="912" spans="1:17" ht="15" customHeight="1" x14ac:dyDescent="0.45">
      <c r="A912" s="1"/>
      <c r="B912" s="104"/>
      <c r="C912" s="104"/>
      <c r="D912" s="1"/>
      <c r="E912" s="1"/>
      <c r="F912" s="1"/>
      <c r="G912" s="1"/>
      <c r="H912" s="1"/>
      <c r="I912" s="1"/>
      <c r="J912" s="34"/>
      <c r="K912" s="1"/>
      <c r="L912" s="1"/>
      <c r="M912" s="1"/>
      <c r="N912" s="45"/>
      <c r="O912" s="1"/>
      <c r="P912" s="1"/>
      <c r="Q912" s="1"/>
    </row>
    <row r="913" spans="1:17" ht="15" customHeight="1" x14ac:dyDescent="0.45">
      <c r="A913" s="1"/>
      <c r="B913" s="104"/>
      <c r="C913" s="104"/>
      <c r="D913" s="1"/>
      <c r="E913" s="1"/>
      <c r="F913" s="1"/>
      <c r="G913" s="1"/>
      <c r="H913" s="1"/>
      <c r="I913" s="1"/>
      <c r="J913" s="34"/>
      <c r="K913" s="1"/>
      <c r="L913" s="1"/>
      <c r="M913" s="1"/>
      <c r="N913" s="45"/>
      <c r="O913" s="1"/>
      <c r="P913" s="1"/>
      <c r="Q913" s="1"/>
    </row>
    <row r="914" spans="1:17" ht="15" customHeight="1" x14ac:dyDescent="0.45">
      <c r="A914" s="1"/>
      <c r="B914" s="104"/>
      <c r="C914" s="104"/>
      <c r="D914" s="1"/>
      <c r="E914" s="1"/>
      <c r="F914" s="1"/>
      <c r="G914" s="1"/>
      <c r="H914" s="1"/>
      <c r="I914" s="1"/>
      <c r="J914" s="34"/>
      <c r="K914" s="1"/>
      <c r="L914" s="1"/>
      <c r="M914" s="1"/>
      <c r="N914" s="45"/>
      <c r="O914" s="1"/>
      <c r="P914" s="1"/>
      <c r="Q914" s="1"/>
    </row>
    <row r="915" spans="1:17" ht="15" customHeight="1" x14ac:dyDescent="0.45">
      <c r="A915" s="1"/>
      <c r="B915" s="104"/>
      <c r="C915" s="104"/>
      <c r="D915" s="1"/>
      <c r="E915" s="1"/>
      <c r="F915" s="1"/>
      <c r="G915" s="1"/>
      <c r="H915" s="1"/>
      <c r="I915" s="1"/>
      <c r="J915" s="34"/>
      <c r="K915" s="1"/>
      <c r="L915" s="1"/>
      <c r="M915" s="1"/>
      <c r="N915" s="45"/>
      <c r="O915" s="1"/>
      <c r="P915" s="1"/>
      <c r="Q915" s="1"/>
    </row>
    <row r="916" spans="1:17" ht="15" customHeight="1" x14ac:dyDescent="0.45">
      <c r="A916" s="1"/>
      <c r="B916" s="104"/>
      <c r="C916" s="104"/>
      <c r="D916" s="1"/>
      <c r="E916" s="1"/>
      <c r="F916" s="1"/>
      <c r="G916" s="1"/>
      <c r="H916" s="1"/>
      <c r="I916" s="1"/>
      <c r="J916" s="34"/>
      <c r="K916" s="1"/>
      <c r="L916" s="1"/>
      <c r="M916" s="1"/>
      <c r="N916" s="45"/>
      <c r="O916" s="1"/>
      <c r="P916" s="1"/>
      <c r="Q916" s="1"/>
    </row>
    <row r="917" spans="1:17" ht="15" customHeight="1" x14ac:dyDescent="0.45">
      <c r="A917" s="1"/>
      <c r="B917" s="104"/>
      <c r="C917" s="104"/>
      <c r="D917" s="1"/>
      <c r="E917" s="1"/>
      <c r="F917" s="1"/>
      <c r="G917" s="1"/>
      <c r="H917" s="1"/>
      <c r="I917" s="1"/>
      <c r="J917" s="34"/>
      <c r="K917" s="1"/>
      <c r="L917" s="1"/>
      <c r="M917" s="1"/>
      <c r="N917" s="45"/>
      <c r="O917" s="1"/>
      <c r="P917" s="1"/>
      <c r="Q917" s="1"/>
    </row>
    <row r="918" spans="1:17" ht="15" customHeight="1" x14ac:dyDescent="0.45">
      <c r="A918" s="1"/>
      <c r="B918" s="104"/>
      <c r="C918" s="104"/>
      <c r="D918" s="1"/>
      <c r="E918" s="1"/>
      <c r="F918" s="1"/>
      <c r="G918" s="1"/>
      <c r="H918" s="1"/>
      <c r="I918" s="1"/>
      <c r="J918" s="34"/>
      <c r="K918" s="1"/>
      <c r="L918" s="1"/>
      <c r="M918" s="1"/>
      <c r="N918" s="45"/>
      <c r="O918" s="1"/>
      <c r="P918" s="1"/>
      <c r="Q918" s="1"/>
    </row>
    <row r="919" spans="1:17" ht="15" customHeight="1" x14ac:dyDescent="0.45">
      <c r="A919" s="1"/>
      <c r="B919" s="104"/>
      <c r="C919" s="104"/>
      <c r="D919" s="1"/>
      <c r="E919" s="1"/>
      <c r="F919" s="1"/>
      <c r="G919" s="1"/>
      <c r="H919" s="1"/>
      <c r="I919" s="1"/>
      <c r="J919" s="34"/>
      <c r="K919" s="1"/>
      <c r="L919" s="1"/>
      <c r="M919" s="1"/>
      <c r="N919" s="45"/>
      <c r="O919" s="1"/>
      <c r="P919" s="1"/>
      <c r="Q919" s="1"/>
    </row>
    <row r="920" spans="1:17" ht="15" customHeight="1" x14ac:dyDescent="0.45">
      <c r="A920" s="1"/>
      <c r="B920" s="104"/>
      <c r="C920" s="104"/>
      <c r="D920" s="1"/>
      <c r="E920" s="1"/>
      <c r="F920" s="1"/>
      <c r="G920" s="1"/>
      <c r="H920" s="1"/>
      <c r="I920" s="1"/>
      <c r="J920" s="34"/>
      <c r="K920" s="1"/>
      <c r="L920" s="1"/>
      <c r="M920" s="1"/>
      <c r="N920" s="45"/>
      <c r="O920" s="1"/>
      <c r="P920" s="1"/>
      <c r="Q920" s="1"/>
    </row>
    <row r="921" spans="1:17" ht="15" customHeight="1" x14ac:dyDescent="0.45">
      <c r="A921" s="1"/>
      <c r="B921" s="104"/>
      <c r="C921" s="104"/>
      <c r="D921" s="1"/>
      <c r="E921" s="1"/>
      <c r="F921" s="1"/>
      <c r="G921" s="1"/>
      <c r="H921" s="1"/>
      <c r="I921" s="1"/>
      <c r="J921" s="34"/>
      <c r="K921" s="1"/>
      <c r="L921" s="1"/>
      <c r="M921" s="1"/>
      <c r="N921" s="45"/>
      <c r="O921" s="1"/>
      <c r="P921" s="1"/>
      <c r="Q921" s="1"/>
    </row>
    <row r="922" spans="1:17" ht="15" customHeight="1" x14ac:dyDescent="0.45">
      <c r="A922" s="1"/>
      <c r="B922" s="104"/>
      <c r="C922" s="104"/>
      <c r="D922" s="1"/>
      <c r="E922" s="1"/>
      <c r="F922" s="1"/>
      <c r="G922" s="1"/>
      <c r="H922" s="1"/>
      <c r="I922" s="1"/>
      <c r="J922" s="34"/>
      <c r="K922" s="1"/>
      <c r="L922" s="1"/>
      <c r="M922" s="1"/>
      <c r="N922" s="45"/>
      <c r="O922" s="1"/>
      <c r="P922" s="1"/>
      <c r="Q922" s="1"/>
    </row>
    <row r="923" spans="1:17" ht="15" customHeight="1" x14ac:dyDescent="0.45">
      <c r="A923" s="1"/>
      <c r="B923" s="104"/>
      <c r="C923" s="104"/>
      <c r="D923" s="1"/>
      <c r="E923" s="1"/>
      <c r="F923" s="1"/>
      <c r="G923" s="1"/>
      <c r="H923" s="1"/>
      <c r="I923" s="1"/>
      <c r="J923" s="34"/>
      <c r="K923" s="1"/>
      <c r="L923" s="1"/>
      <c r="M923" s="1"/>
      <c r="N923" s="45"/>
      <c r="O923" s="1"/>
      <c r="P923" s="1"/>
      <c r="Q923" s="1"/>
    </row>
    <row r="924" spans="1:17" ht="15" customHeight="1" x14ac:dyDescent="0.45">
      <c r="A924" s="1"/>
      <c r="B924" s="104"/>
      <c r="C924" s="104"/>
      <c r="D924" s="1"/>
      <c r="E924" s="1"/>
      <c r="F924" s="1"/>
      <c r="G924" s="1"/>
      <c r="H924" s="1"/>
      <c r="I924" s="1"/>
      <c r="J924" s="34"/>
      <c r="K924" s="1"/>
      <c r="L924" s="1"/>
      <c r="M924" s="1"/>
      <c r="N924" s="45"/>
      <c r="O924" s="1"/>
      <c r="P924" s="1"/>
      <c r="Q924" s="1"/>
    </row>
    <row r="925" spans="1:17" ht="15" customHeight="1" x14ac:dyDescent="0.45">
      <c r="A925" s="1"/>
      <c r="B925" s="104"/>
      <c r="C925" s="104"/>
      <c r="D925" s="1"/>
      <c r="E925" s="1"/>
      <c r="F925" s="1"/>
      <c r="G925" s="1"/>
      <c r="H925" s="1"/>
      <c r="I925" s="1"/>
      <c r="J925" s="34"/>
      <c r="K925" s="1"/>
      <c r="L925" s="1"/>
      <c r="M925" s="1"/>
      <c r="N925" s="45"/>
      <c r="O925" s="1"/>
      <c r="P925" s="1"/>
      <c r="Q925" s="1"/>
    </row>
    <row r="926" spans="1:17" ht="15" customHeight="1" x14ac:dyDescent="0.45">
      <c r="A926" s="1"/>
      <c r="B926" s="104"/>
      <c r="C926" s="104"/>
      <c r="D926" s="1"/>
      <c r="E926" s="1"/>
      <c r="F926" s="1"/>
      <c r="G926" s="1"/>
      <c r="H926" s="1"/>
      <c r="I926" s="1"/>
      <c r="J926" s="34"/>
      <c r="K926" s="1"/>
      <c r="L926" s="1"/>
      <c r="M926" s="1"/>
      <c r="N926" s="45"/>
      <c r="O926" s="1"/>
      <c r="P926" s="1"/>
      <c r="Q926" s="1"/>
    </row>
    <row r="927" spans="1:17" ht="15" customHeight="1" x14ac:dyDescent="0.45">
      <c r="A927" s="1"/>
      <c r="B927" s="104"/>
      <c r="C927" s="104"/>
      <c r="D927" s="1"/>
      <c r="E927" s="1"/>
      <c r="F927" s="1"/>
      <c r="G927" s="1"/>
      <c r="H927" s="1"/>
      <c r="I927" s="1"/>
      <c r="J927" s="34"/>
      <c r="K927" s="1"/>
      <c r="L927" s="1"/>
      <c r="M927" s="1"/>
      <c r="N927" s="45"/>
      <c r="O927" s="1"/>
      <c r="P927" s="1"/>
      <c r="Q927" s="1"/>
    </row>
    <row r="928" spans="1:17" ht="15" customHeight="1" x14ac:dyDescent="0.45">
      <c r="A928" s="1"/>
      <c r="B928" s="104"/>
      <c r="C928" s="104"/>
      <c r="D928" s="1"/>
      <c r="E928" s="1"/>
      <c r="F928" s="1"/>
      <c r="G928" s="1"/>
      <c r="H928" s="1"/>
      <c r="I928" s="1"/>
      <c r="J928" s="34"/>
      <c r="K928" s="1"/>
      <c r="L928" s="1"/>
      <c r="M928" s="1"/>
      <c r="N928" s="45"/>
      <c r="O928" s="1"/>
      <c r="P928" s="1"/>
      <c r="Q928" s="1"/>
    </row>
    <row r="929" spans="1:17" ht="15" customHeight="1" x14ac:dyDescent="0.45">
      <c r="A929" s="1"/>
      <c r="B929" s="104"/>
      <c r="C929" s="104"/>
      <c r="D929" s="1"/>
      <c r="E929" s="1"/>
      <c r="F929" s="1"/>
      <c r="G929" s="1"/>
      <c r="H929" s="1"/>
      <c r="I929" s="1"/>
      <c r="J929" s="34"/>
      <c r="K929" s="1"/>
      <c r="L929" s="1"/>
      <c r="M929" s="1"/>
      <c r="N929" s="45"/>
      <c r="O929" s="1"/>
      <c r="P929" s="1"/>
      <c r="Q929" s="1"/>
    </row>
    <row r="930" spans="1:17" ht="15" customHeight="1" x14ac:dyDescent="0.45">
      <c r="A930" s="1"/>
      <c r="B930" s="104"/>
      <c r="C930" s="104"/>
      <c r="D930" s="1"/>
      <c r="E930" s="1"/>
      <c r="F930" s="1"/>
      <c r="G930" s="1"/>
      <c r="H930" s="1"/>
      <c r="I930" s="1"/>
      <c r="J930" s="34"/>
      <c r="K930" s="1"/>
      <c r="L930" s="1"/>
      <c r="M930" s="1"/>
      <c r="N930" s="45"/>
      <c r="O930" s="1"/>
      <c r="P930" s="1"/>
      <c r="Q930" s="1"/>
    </row>
    <row r="931" spans="1:17" ht="15" customHeight="1" x14ac:dyDescent="0.45">
      <c r="A931" s="1"/>
      <c r="B931" s="104"/>
      <c r="C931" s="104"/>
      <c r="D931" s="1"/>
      <c r="E931" s="1"/>
      <c r="F931" s="1"/>
      <c r="G931" s="1"/>
      <c r="H931" s="1"/>
      <c r="I931" s="1"/>
      <c r="J931" s="34"/>
      <c r="K931" s="1"/>
      <c r="L931" s="1"/>
      <c r="M931" s="1"/>
      <c r="N931" s="45"/>
      <c r="O931" s="1"/>
      <c r="P931" s="1"/>
      <c r="Q931" s="1"/>
    </row>
    <row r="932" spans="1:17" ht="15" customHeight="1" x14ac:dyDescent="0.45">
      <c r="A932" s="1"/>
      <c r="B932" s="104"/>
      <c r="C932" s="104"/>
      <c r="D932" s="1"/>
      <c r="E932" s="1"/>
      <c r="F932" s="1"/>
      <c r="G932" s="1"/>
      <c r="H932" s="1"/>
      <c r="I932" s="1"/>
      <c r="J932" s="34"/>
      <c r="K932" s="1"/>
      <c r="L932" s="1"/>
      <c r="M932" s="1"/>
      <c r="N932" s="45"/>
      <c r="O932" s="1"/>
      <c r="P932" s="1"/>
      <c r="Q932" s="1"/>
    </row>
    <row r="933" spans="1:17" ht="15" customHeight="1" x14ac:dyDescent="0.45">
      <c r="A933" s="1"/>
      <c r="B933" s="104"/>
      <c r="C933" s="104"/>
      <c r="D933" s="1"/>
      <c r="E933" s="1"/>
      <c r="F933" s="1"/>
      <c r="G933" s="1"/>
      <c r="H933" s="1"/>
      <c r="I933" s="1"/>
      <c r="J933" s="34"/>
      <c r="K933" s="1"/>
      <c r="L933" s="1"/>
      <c r="M933" s="1"/>
      <c r="N933" s="45"/>
      <c r="O933" s="1"/>
      <c r="P933" s="1"/>
      <c r="Q933" s="1"/>
    </row>
    <row r="934" spans="1:17" ht="15" customHeight="1" x14ac:dyDescent="0.45">
      <c r="A934" s="1"/>
      <c r="B934" s="104"/>
      <c r="C934" s="104"/>
      <c r="D934" s="1"/>
      <c r="E934" s="1"/>
      <c r="F934" s="1"/>
      <c r="G934" s="1"/>
      <c r="H934" s="1"/>
      <c r="I934" s="1"/>
      <c r="J934" s="34"/>
      <c r="K934" s="1"/>
      <c r="L934" s="1"/>
      <c r="M934" s="1"/>
      <c r="N934" s="45"/>
      <c r="O934" s="1"/>
      <c r="P934" s="1"/>
      <c r="Q934" s="1"/>
    </row>
    <row r="935" spans="1:17" ht="15" customHeight="1" x14ac:dyDescent="0.45">
      <c r="A935" s="1"/>
      <c r="B935" s="104"/>
      <c r="C935" s="104"/>
      <c r="D935" s="1"/>
      <c r="E935" s="1"/>
      <c r="F935" s="1"/>
      <c r="G935" s="1"/>
      <c r="H935" s="1"/>
      <c r="I935" s="1"/>
      <c r="J935" s="34"/>
      <c r="K935" s="1"/>
      <c r="L935" s="1"/>
      <c r="M935" s="1"/>
      <c r="N935" s="45"/>
      <c r="O935" s="1"/>
      <c r="P935" s="1"/>
      <c r="Q935" s="1"/>
    </row>
    <row r="936" spans="1:17" ht="15" customHeight="1" x14ac:dyDescent="0.45">
      <c r="A936" s="1"/>
      <c r="B936" s="104"/>
      <c r="C936" s="104"/>
      <c r="D936" s="1"/>
      <c r="E936" s="1"/>
      <c r="F936" s="1"/>
      <c r="G936" s="1"/>
      <c r="H936" s="1"/>
      <c r="I936" s="1"/>
      <c r="J936" s="34"/>
      <c r="K936" s="1"/>
      <c r="L936" s="1"/>
      <c r="M936" s="1"/>
      <c r="N936" s="45"/>
      <c r="O936" s="1"/>
      <c r="P936" s="1"/>
      <c r="Q936" s="1"/>
    </row>
    <row r="937" spans="1:17" ht="15" customHeight="1" x14ac:dyDescent="0.45">
      <c r="A937" s="1"/>
      <c r="B937" s="104"/>
      <c r="C937" s="104"/>
      <c r="D937" s="1"/>
      <c r="E937" s="1"/>
      <c r="F937" s="1"/>
      <c r="G937" s="1"/>
      <c r="H937" s="1"/>
      <c r="I937" s="1"/>
      <c r="J937" s="34"/>
      <c r="K937" s="1"/>
      <c r="L937" s="1"/>
      <c r="M937" s="1"/>
      <c r="N937" s="45"/>
      <c r="O937" s="1"/>
      <c r="P937" s="1"/>
      <c r="Q937" s="1"/>
    </row>
    <row r="938" spans="1:17" ht="15" customHeight="1" x14ac:dyDescent="0.45">
      <c r="A938" s="1"/>
      <c r="B938" s="104"/>
      <c r="C938" s="104"/>
      <c r="D938" s="1"/>
      <c r="E938" s="1"/>
      <c r="F938" s="1"/>
      <c r="G938" s="1"/>
      <c r="H938" s="1"/>
      <c r="I938" s="1"/>
      <c r="J938" s="34"/>
      <c r="K938" s="1"/>
      <c r="L938" s="1"/>
      <c r="M938" s="1"/>
      <c r="N938" s="45"/>
      <c r="O938" s="1"/>
      <c r="P938" s="1"/>
      <c r="Q938" s="1"/>
    </row>
    <row r="939" spans="1:17" ht="15" customHeight="1" x14ac:dyDescent="0.45">
      <c r="A939" s="1"/>
      <c r="B939" s="104"/>
      <c r="C939" s="104"/>
      <c r="D939" s="1"/>
      <c r="E939" s="1"/>
      <c r="F939" s="1"/>
      <c r="G939" s="1"/>
      <c r="H939" s="1"/>
      <c r="I939" s="1"/>
      <c r="J939" s="34"/>
      <c r="K939" s="1"/>
      <c r="L939" s="1"/>
      <c r="M939" s="1"/>
      <c r="N939" s="45"/>
      <c r="O939" s="1"/>
      <c r="P939" s="1"/>
      <c r="Q939" s="1"/>
    </row>
    <row r="940" spans="1:17" ht="15" customHeight="1" x14ac:dyDescent="0.45">
      <c r="A940" s="1"/>
      <c r="B940" s="104"/>
      <c r="C940" s="104"/>
      <c r="D940" s="1"/>
      <c r="E940" s="1"/>
      <c r="F940" s="1"/>
      <c r="G940" s="1"/>
      <c r="H940" s="1"/>
      <c r="I940" s="1"/>
      <c r="J940" s="34"/>
      <c r="K940" s="1"/>
      <c r="L940" s="1"/>
      <c r="M940" s="1"/>
      <c r="N940" s="45"/>
      <c r="O940" s="1"/>
      <c r="P940" s="1"/>
      <c r="Q940" s="1"/>
    </row>
    <row r="941" spans="1:17" ht="15" customHeight="1" x14ac:dyDescent="0.45">
      <c r="A941" s="1"/>
      <c r="B941" s="104"/>
      <c r="C941" s="104"/>
      <c r="D941" s="1"/>
      <c r="E941" s="1"/>
      <c r="F941" s="1"/>
      <c r="G941" s="1"/>
      <c r="H941" s="1"/>
      <c r="I941" s="1"/>
      <c r="J941" s="34"/>
      <c r="K941" s="1"/>
      <c r="L941" s="1"/>
      <c r="M941" s="1"/>
      <c r="N941" s="45"/>
      <c r="O941" s="1"/>
      <c r="P941" s="1"/>
      <c r="Q941" s="1"/>
    </row>
    <row r="942" spans="1:17" ht="15" customHeight="1" x14ac:dyDescent="0.45">
      <c r="A942" s="1"/>
      <c r="B942" s="104"/>
      <c r="C942" s="104"/>
      <c r="D942" s="1"/>
      <c r="E942" s="1"/>
      <c r="F942" s="1"/>
      <c r="G942" s="1"/>
      <c r="H942" s="1"/>
      <c r="I942" s="1"/>
      <c r="J942" s="34"/>
      <c r="K942" s="1"/>
      <c r="L942" s="1"/>
      <c r="M942" s="1"/>
      <c r="N942" s="45"/>
      <c r="O942" s="1"/>
      <c r="P942" s="1"/>
      <c r="Q942" s="1"/>
    </row>
    <row r="943" spans="1:17" ht="15" customHeight="1" x14ac:dyDescent="0.45">
      <c r="A943" s="1"/>
      <c r="B943" s="104"/>
      <c r="C943" s="104"/>
      <c r="D943" s="1"/>
      <c r="E943" s="1"/>
      <c r="F943" s="1"/>
      <c r="G943" s="1"/>
      <c r="H943" s="1"/>
      <c r="I943" s="1"/>
      <c r="J943" s="34"/>
      <c r="K943" s="1"/>
      <c r="L943" s="1"/>
      <c r="M943" s="1"/>
      <c r="N943" s="45"/>
      <c r="O943" s="1"/>
      <c r="P943" s="1"/>
      <c r="Q943" s="1"/>
    </row>
    <row r="944" spans="1:17" ht="15" customHeight="1" x14ac:dyDescent="0.45">
      <c r="A944" s="1"/>
      <c r="B944" s="104"/>
      <c r="C944" s="104"/>
      <c r="D944" s="1"/>
      <c r="E944" s="1"/>
      <c r="F944" s="1"/>
      <c r="G944" s="1"/>
      <c r="H944" s="1"/>
      <c r="I944" s="1"/>
      <c r="J944" s="34"/>
      <c r="K944" s="1"/>
      <c r="L944" s="1"/>
      <c r="M944" s="1"/>
      <c r="N944" s="45"/>
      <c r="O944" s="1"/>
      <c r="P944" s="1"/>
      <c r="Q944" s="1"/>
    </row>
    <row r="945" spans="1:17" ht="15" customHeight="1" x14ac:dyDescent="0.45">
      <c r="A945" s="1"/>
      <c r="B945" s="104"/>
      <c r="C945" s="104"/>
      <c r="D945" s="1"/>
      <c r="E945" s="1"/>
      <c r="F945" s="1"/>
      <c r="G945" s="1"/>
      <c r="H945" s="1"/>
      <c r="I945" s="1"/>
      <c r="J945" s="34"/>
      <c r="K945" s="1"/>
      <c r="L945" s="1"/>
      <c r="M945" s="1"/>
      <c r="N945" s="45"/>
      <c r="O945" s="1"/>
      <c r="P945" s="1"/>
      <c r="Q945" s="1"/>
    </row>
    <row r="946" spans="1:17" ht="15" customHeight="1" x14ac:dyDescent="0.45">
      <c r="A946" s="1"/>
      <c r="B946" s="104"/>
      <c r="C946" s="104"/>
      <c r="D946" s="1"/>
      <c r="E946" s="1"/>
      <c r="F946" s="1"/>
      <c r="G946" s="1"/>
      <c r="H946" s="1"/>
      <c r="I946" s="1"/>
      <c r="J946" s="34"/>
      <c r="K946" s="1"/>
      <c r="L946" s="1"/>
      <c r="M946" s="1"/>
      <c r="N946" s="45"/>
      <c r="O946" s="1"/>
      <c r="P946" s="1"/>
      <c r="Q946" s="1"/>
    </row>
    <row r="947" spans="1:17" ht="15" customHeight="1" x14ac:dyDescent="0.45">
      <c r="A947" s="1"/>
      <c r="B947" s="104"/>
      <c r="C947" s="104"/>
      <c r="D947" s="1"/>
      <c r="E947" s="1"/>
      <c r="F947" s="1"/>
      <c r="G947" s="1"/>
      <c r="H947" s="1"/>
      <c r="I947" s="1"/>
      <c r="J947" s="34"/>
      <c r="K947" s="1"/>
      <c r="L947" s="1"/>
      <c r="M947" s="1"/>
      <c r="N947" s="45"/>
      <c r="O947" s="1"/>
      <c r="P947" s="1"/>
      <c r="Q947" s="1"/>
    </row>
    <row r="948" spans="1:17" ht="15" customHeight="1" x14ac:dyDescent="0.45">
      <c r="A948" s="1"/>
      <c r="B948" s="104"/>
      <c r="C948" s="104"/>
      <c r="D948" s="1"/>
      <c r="E948" s="1"/>
      <c r="F948" s="1"/>
      <c r="G948" s="1"/>
      <c r="H948" s="1"/>
      <c r="I948" s="1"/>
      <c r="J948" s="34"/>
      <c r="K948" s="1"/>
      <c r="L948" s="1"/>
      <c r="M948" s="1"/>
      <c r="N948" s="45"/>
      <c r="O948" s="1"/>
      <c r="P948" s="1"/>
      <c r="Q948" s="1"/>
    </row>
    <row r="949" spans="1:17" ht="15" customHeight="1" x14ac:dyDescent="0.45">
      <c r="A949" s="1"/>
      <c r="B949" s="104"/>
      <c r="C949" s="104"/>
      <c r="D949" s="1"/>
      <c r="E949" s="1"/>
      <c r="F949" s="1"/>
      <c r="G949" s="1"/>
      <c r="H949" s="1"/>
      <c r="I949" s="1"/>
      <c r="J949" s="34"/>
      <c r="K949" s="1"/>
      <c r="L949" s="1"/>
      <c r="M949" s="1"/>
      <c r="N949" s="45"/>
      <c r="O949" s="1"/>
      <c r="P949" s="1"/>
      <c r="Q949" s="1"/>
    </row>
    <row r="950" spans="1:17" ht="15" customHeight="1" x14ac:dyDescent="0.45">
      <c r="A950" s="1"/>
      <c r="B950" s="104"/>
      <c r="C950" s="104"/>
      <c r="D950" s="1"/>
      <c r="E950" s="1"/>
      <c r="F950" s="1"/>
      <c r="G950" s="1"/>
      <c r="H950" s="1"/>
      <c r="I950" s="1"/>
      <c r="J950" s="34"/>
      <c r="K950" s="1"/>
      <c r="L950" s="1"/>
      <c r="M950" s="1"/>
      <c r="N950" s="45"/>
      <c r="O950" s="1"/>
      <c r="P950" s="1"/>
      <c r="Q950" s="1"/>
    </row>
    <row r="951" spans="1:17" ht="15" customHeight="1" x14ac:dyDescent="0.45">
      <c r="A951" s="1"/>
      <c r="B951" s="104"/>
      <c r="C951" s="104"/>
      <c r="D951" s="1"/>
      <c r="E951" s="1"/>
      <c r="F951" s="1"/>
      <c r="G951" s="1"/>
      <c r="H951" s="1"/>
      <c r="I951" s="1"/>
      <c r="J951" s="34"/>
      <c r="K951" s="1"/>
      <c r="L951" s="1"/>
      <c r="M951" s="1"/>
      <c r="N951" s="45"/>
      <c r="O951" s="1"/>
      <c r="P951" s="1"/>
      <c r="Q951" s="1"/>
    </row>
    <row r="952" spans="1:17" ht="15" customHeight="1" x14ac:dyDescent="0.45">
      <c r="A952" s="1"/>
      <c r="B952" s="104"/>
      <c r="C952" s="104"/>
      <c r="D952" s="1"/>
      <c r="E952" s="1"/>
      <c r="F952" s="1"/>
      <c r="G952" s="1"/>
      <c r="H952" s="1"/>
      <c r="I952" s="1"/>
      <c r="J952" s="34"/>
      <c r="K952" s="1"/>
      <c r="L952" s="1"/>
      <c r="M952" s="1"/>
      <c r="N952" s="45"/>
      <c r="O952" s="1"/>
      <c r="P952" s="1"/>
      <c r="Q952" s="1"/>
    </row>
    <row r="953" spans="1:17" ht="15" customHeight="1" x14ac:dyDescent="0.45">
      <c r="A953" s="1"/>
      <c r="B953" s="104"/>
      <c r="C953" s="104"/>
      <c r="D953" s="1"/>
      <c r="E953" s="1"/>
      <c r="F953" s="1"/>
      <c r="G953" s="1"/>
      <c r="H953" s="1"/>
      <c r="I953" s="1"/>
      <c r="J953" s="34"/>
      <c r="K953" s="1"/>
      <c r="L953" s="1"/>
      <c r="M953" s="1"/>
      <c r="N953" s="45"/>
      <c r="O953" s="1"/>
      <c r="P953" s="1"/>
      <c r="Q953" s="1"/>
    </row>
    <row r="954" spans="1:17" ht="15" customHeight="1" x14ac:dyDescent="0.45">
      <c r="A954" s="1"/>
      <c r="B954" s="104"/>
      <c r="C954" s="104"/>
      <c r="D954" s="1"/>
      <c r="E954" s="1"/>
      <c r="F954" s="1"/>
      <c r="G954" s="1"/>
      <c r="H954" s="1"/>
      <c r="I954" s="1"/>
      <c r="J954" s="34"/>
      <c r="K954" s="1"/>
      <c r="L954" s="1"/>
      <c r="M954" s="1"/>
      <c r="N954" s="45"/>
      <c r="O954" s="1"/>
      <c r="P954" s="1"/>
      <c r="Q954" s="1"/>
    </row>
    <row r="955" spans="1:17" ht="15" customHeight="1" x14ac:dyDescent="0.45">
      <c r="A955" s="1"/>
      <c r="B955" s="104"/>
      <c r="C955" s="104"/>
      <c r="D955" s="1"/>
      <c r="E955" s="1"/>
      <c r="F955" s="1"/>
      <c r="G955" s="1"/>
      <c r="H955" s="1"/>
      <c r="I955" s="1"/>
      <c r="J955" s="34"/>
      <c r="K955" s="1"/>
      <c r="L955" s="1"/>
      <c r="M955" s="1"/>
      <c r="N955" s="45"/>
      <c r="O955" s="1"/>
      <c r="P955" s="1"/>
      <c r="Q955" s="1"/>
    </row>
    <row r="956" spans="1:17" ht="15" customHeight="1" x14ac:dyDescent="0.45">
      <c r="A956" s="1"/>
      <c r="B956" s="104"/>
      <c r="C956" s="104"/>
      <c r="D956" s="1"/>
      <c r="E956" s="1"/>
      <c r="F956" s="1"/>
      <c r="G956" s="1"/>
      <c r="H956" s="1"/>
      <c r="I956" s="1"/>
      <c r="J956" s="34"/>
      <c r="K956" s="1"/>
      <c r="L956" s="1"/>
      <c r="M956" s="1"/>
      <c r="N956" s="45"/>
      <c r="O956" s="1"/>
      <c r="P956" s="1"/>
      <c r="Q956" s="1"/>
    </row>
    <row r="957" spans="1:17" ht="15" customHeight="1" x14ac:dyDescent="0.45">
      <c r="A957" s="1"/>
      <c r="B957" s="104"/>
      <c r="C957" s="104"/>
      <c r="D957" s="1"/>
      <c r="E957" s="1"/>
      <c r="F957" s="1"/>
      <c r="G957" s="1"/>
      <c r="H957" s="1"/>
      <c r="I957" s="1"/>
      <c r="J957" s="34"/>
      <c r="K957" s="1"/>
      <c r="L957" s="1"/>
      <c r="M957" s="1"/>
      <c r="N957" s="45"/>
      <c r="O957" s="1"/>
      <c r="P957" s="1"/>
      <c r="Q957" s="1"/>
    </row>
    <row r="958" spans="1:17" ht="15" customHeight="1" x14ac:dyDescent="0.45">
      <c r="A958" s="1"/>
      <c r="B958" s="104"/>
      <c r="C958" s="104"/>
      <c r="D958" s="1"/>
      <c r="E958" s="1"/>
      <c r="F958" s="1"/>
      <c r="G958" s="1"/>
      <c r="H958" s="1"/>
      <c r="I958" s="1"/>
      <c r="J958" s="34"/>
      <c r="K958" s="1"/>
      <c r="L958" s="1"/>
      <c r="M958" s="1"/>
      <c r="N958" s="45"/>
      <c r="O958" s="1"/>
      <c r="P958" s="1"/>
      <c r="Q958" s="1"/>
    </row>
    <row r="959" spans="1:17" ht="15" customHeight="1" x14ac:dyDescent="0.45">
      <c r="A959" s="1"/>
      <c r="B959" s="104"/>
      <c r="C959" s="104"/>
      <c r="D959" s="1"/>
      <c r="E959" s="1"/>
      <c r="F959" s="1"/>
      <c r="G959" s="1"/>
      <c r="H959" s="1"/>
      <c r="I959" s="1"/>
      <c r="J959" s="34"/>
      <c r="K959" s="1"/>
      <c r="L959" s="1"/>
      <c r="M959" s="1"/>
      <c r="N959" s="45"/>
      <c r="O959" s="1"/>
      <c r="P959" s="1"/>
      <c r="Q959" s="1"/>
    </row>
    <row r="960" spans="1:17" ht="15" customHeight="1" x14ac:dyDescent="0.45">
      <c r="A960" s="1"/>
      <c r="B960" s="104"/>
      <c r="C960" s="104"/>
      <c r="D960" s="1"/>
      <c r="E960" s="1"/>
      <c r="F960" s="1"/>
      <c r="G960" s="1"/>
      <c r="H960" s="1"/>
      <c r="I960" s="1"/>
      <c r="J960" s="34"/>
      <c r="K960" s="1"/>
      <c r="L960" s="1"/>
      <c r="M960" s="1"/>
      <c r="N960" s="45"/>
      <c r="O960" s="1"/>
      <c r="P960" s="1"/>
      <c r="Q960" s="1"/>
    </row>
    <row r="961" spans="1:17" ht="15" customHeight="1" x14ac:dyDescent="0.45">
      <c r="A961" s="1"/>
      <c r="B961" s="104"/>
      <c r="C961" s="104"/>
      <c r="D961" s="1"/>
      <c r="E961" s="1"/>
      <c r="F961" s="1"/>
      <c r="G961" s="1"/>
      <c r="H961" s="1"/>
      <c r="I961" s="1"/>
      <c r="J961" s="34"/>
      <c r="K961" s="1"/>
      <c r="L961" s="1"/>
      <c r="M961" s="1"/>
      <c r="N961" s="45"/>
      <c r="O961" s="1"/>
      <c r="P961" s="1"/>
      <c r="Q961" s="1"/>
    </row>
    <row r="962" spans="1:17" ht="15" customHeight="1" x14ac:dyDescent="0.45">
      <c r="A962" s="1"/>
      <c r="B962" s="104"/>
      <c r="C962" s="104"/>
      <c r="D962" s="1"/>
      <c r="E962" s="1"/>
      <c r="F962" s="1"/>
      <c r="G962" s="1"/>
      <c r="H962" s="1"/>
      <c r="I962" s="1"/>
      <c r="J962" s="34"/>
      <c r="K962" s="1"/>
      <c r="L962" s="1"/>
      <c r="M962" s="1"/>
      <c r="N962" s="45"/>
      <c r="O962" s="1"/>
      <c r="P962" s="1"/>
      <c r="Q962" s="1"/>
    </row>
    <row r="963" spans="1:17" ht="15" customHeight="1" x14ac:dyDescent="0.45">
      <c r="A963" s="1"/>
      <c r="B963" s="104"/>
      <c r="C963" s="104"/>
      <c r="D963" s="1"/>
      <c r="E963" s="1"/>
      <c r="F963" s="1"/>
      <c r="G963" s="1"/>
      <c r="H963" s="1"/>
      <c r="I963" s="1"/>
      <c r="J963" s="34"/>
      <c r="K963" s="1"/>
      <c r="L963" s="1"/>
      <c r="M963" s="1"/>
      <c r="N963" s="45"/>
      <c r="O963" s="1"/>
      <c r="P963" s="1"/>
      <c r="Q963" s="1"/>
    </row>
    <row r="964" spans="1:17" ht="15" customHeight="1" x14ac:dyDescent="0.45">
      <c r="A964" s="1"/>
      <c r="B964" s="104"/>
      <c r="C964" s="104"/>
      <c r="D964" s="1"/>
      <c r="E964" s="1"/>
      <c r="F964" s="1"/>
      <c r="G964" s="1"/>
      <c r="H964" s="1"/>
      <c r="I964" s="1"/>
      <c r="J964" s="34"/>
      <c r="K964" s="1"/>
      <c r="L964" s="1"/>
      <c r="M964" s="1"/>
      <c r="N964" s="45"/>
      <c r="O964" s="1"/>
      <c r="P964" s="1"/>
      <c r="Q964" s="1"/>
    </row>
    <row r="965" spans="1:17" ht="15" customHeight="1" x14ac:dyDescent="0.45">
      <c r="A965" s="1"/>
      <c r="B965" s="104"/>
      <c r="C965" s="104"/>
      <c r="D965" s="1"/>
      <c r="E965" s="1"/>
      <c r="F965" s="1"/>
      <c r="G965" s="1"/>
      <c r="H965" s="1"/>
      <c r="I965" s="1"/>
      <c r="J965" s="34"/>
      <c r="K965" s="1"/>
      <c r="L965" s="1"/>
      <c r="M965" s="1"/>
      <c r="N965" s="45"/>
      <c r="O965" s="1"/>
      <c r="P965" s="1"/>
      <c r="Q965" s="1"/>
    </row>
    <row r="966" spans="1:17" ht="15" customHeight="1" x14ac:dyDescent="0.45">
      <c r="A966" s="1"/>
      <c r="B966" s="104"/>
      <c r="C966" s="104"/>
      <c r="D966" s="1"/>
      <c r="E966" s="1"/>
      <c r="F966" s="1"/>
      <c r="G966" s="1"/>
      <c r="H966" s="1"/>
      <c r="I966" s="1"/>
      <c r="J966" s="34"/>
      <c r="K966" s="1"/>
      <c r="L966" s="1"/>
      <c r="M966" s="1"/>
      <c r="N966" s="45"/>
      <c r="O966" s="1"/>
      <c r="P966" s="1"/>
      <c r="Q966" s="1"/>
    </row>
    <row r="967" spans="1:17" ht="15" customHeight="1" x14ac:dyDescent="0.45">
      <c r="A967" s="1"/>
      <c r="B967" s="104"/>
      <c r="C967" s="104"/>
      <c r="D967" s="1"/>
      <c r="E967" s="1"/>
      <c r="F967" s="1"/>
      <c r="G967" s="1"/>
      <c r="H967" s="1"/>
      <c r="I967" s="1"/>
      <c r="J967" s="34"/>
      <c r="K967" s="1"/>
      <c r="L967" s="1"/>
      <c r="M967" s="1"/>
      <c r="N967" s="45"/>
      <c r="O967" s="1"/>
      <c r="P967" s="1"/>
      <c r="Q967" s="1"/>
    </row>
    <row r="968" spans="1:17" ht="15" customHeight="1" x14ac:dyDescent="0.45">
      <c r="A968" s="1"/>
      <c r="B968" s="104"/>
      <c r="C968" s="104"/>
      <c r="D968" s="1"/>
      <c r="E968" s="1"/>
      <c r="F968" s="1"/>
      <c r="G968" s="1"/>
      <c r="H968" s="1"/>
      <c r="I968" s="1"/>
      <c r="J968" s="34"/>
      <c r="K968" s="1"/>
      <c r="L968" s="1"/>
      <c r="M968" s="1"/>
      <c r="N968" s="45"/>
      <c r="O968" s="1"/>
      <c r="P968" s="1"/>
      <c r="Q968" s="1"/>
    </row>
    <row r="969" spans="1:17" ht="15" customHeight="1" x14ac:dyDescent="0.45">
      <c r="A969" s="1"/>
      <c r="B969" s="104"/>
      <c r="C969" s="104"/>
      <c r="D969" s="1"/>
      <c r="E969" s="1"/>
      <c r="F969" s="1"/>
      <c r="G969" s="1"/>
      <c r="H969" s="1"/>
      <c r="I969" s="1"/>
      <c r="J969" s="34"/>
      <c r="K969" s="1"/>
      <c r="L969" s="1"/>
      <c r="M969" s="1"/>
      <c r="N969" s="45"/>
      <c r="O969" s="1"/>
      <c r="P969" s="1"/>
      <c r="Q969" s="1"/>
    </row>
    <row r="970" spans="1:17" ht="15" customHeight="1" x14ac:dyDescent="0.45">
      <c r="A970" s="1"/>
      <c r="B970" s="104"/>
      <c r="C970" s="104"/>
      <c r="D970" s="1"/>
      <c r="E970" s="1"/>
      <c r="F970" s="1"/>
      <c r="G970" s="1"/>
      <c r="H970" s="1"/>
      <c r="I970" s="1"/>
      <c r="J970" s="34"/>
      <c r="K970" s="1"/>
      <c r="L970" s="1"/>
      <c r="M970" s="1"/>
      <c r="N970" s="45"/>
      <c r="O970" s="1"/>
      <c r="P970" s="1"/>
      <c r="Q970" s="1"/>
    </row>
    <row r="971" spans="1:17" ht="15" customHeight="1" x14ac:dyDescent="0.45">
      <c r="A971" s="1"/>
      <c r="B971" s="104"/>
      <c r="C971" s="104"/>
      <c r="D971" s="1"/>
      <c r="E971" s="1"/>
      <c r="F971" s="1"/>
      <c r="G971" s="1"/>
      <c r="H971" s="1"/>
      <c r="I971" s="1"/>
      <c r="J971" s="34"/>
      <c r="K971" s="1"/>
      <c r="L971" s="1"/>
      <c r="M971" s="1"/>
      <c r="N971" s="45"/>
      <c r="O971" s="1"/>
      <c r="P971" s="1"/>
      <c r="Q971" s="1"/>
    </row>
    <row r="972" spans="1:17" ht="15" customHeight="1" x14ac:dyDescent="0.45">
      <c r="A972" s="1"/>
      <c r="B972" s="104"/>
      <c r="C972" s="104"/>
      <c r="D972" s="1"/>
      <c r="E972" s="1"/>
      <c r="F972" s="1"/>
      <c r="G972" s="1"/>
      <c r="H972" s="1"/>
      <c r="I972" s="1"/>
      <c r="J972" s="34"/>
      <c r="K972" s="1"/>
      <c r="L972" s="1"/>
      <c r="M972" s="1"/>
      <c r="N972" s="45"/>
      <c r="O972" s="1"/>
      <c r="P972" s="1"/>
      <c r="Q972" s="1"/>
    </row>
    <row r="973" spans="1:17" ht="15" customHeight="1" x14ac:dyDescent="0.45">
      <c r="A973" s="1"/>
      <c r="B973" s="104"/>
      <c r="C973" s="104"/>
      <c r="D973" s="1"/>
      <c r="E973" s="1"/>
      <c r="F973" s="1"/>
      <c r="G973" s="1"/>
      <c r="H973" s="1"/>
      <c r="I973" s="1"/>
      <c r="J973" s="34"/>
      <c r="K973" s="1"/>
      <c r="L973" s="1"/>
      <c r="M973" s="1"/>
      <c r="N973" s="45"/>
      <c r="O973" s="1"/>
      <c r="P973" s="1"/>
      <c r="Q973" s="1"/>
    </row>
    <row r="974" spans="1:17" ht="15" customHeight="1" x14ac:dyDescent="0.45">
      <c r="A974" s="1"/>
      <c r="B974" s="104"/>
      <c r="C974" s="104"/>
      <c r="D974" s="1"/>
      <c r="E974" s="1"/>
      <c r="F974" s="1"/>
      <c r="G974" s="1"/>
      <c r="H974" s="1"/>
      <c r="I974" s="1"/>
      <c r="J974" s="34"/>
      <c r="K974" s="1"/>
      <c r="L974" s="1"/>
      <c r="M974" s="1"/>
      <c r="N974" s="45"/>
      <c r="O974" s="1"/>
      <c r="P974" s="1"/>
      <c r="Q974" s="1"/>
    </row>
    <row r="975" spans="1:17" ht="15" customHeight="1" x14ac:dyDescent="0.45">
      <c r="A975" s="1"/>
      <c r="B975" s="104"/>
      <c r="C975" s="104"/>
      <c r="D975" s="1"/>
      <c r="E975" s="1"/>
      <c r="F975" s="1"/>
      <c r="G975" s="1"/>
      <c r="H975" s="1"/>
      <c r="I975" s="1"/>
      <c r="J975" s="34"/>
      <c r="K975" s="1"/>
      <c r="L975" s="1"/>
      <c r="M975" s="1"/>
      <c r="N975" s="45"/>
      <c r="O975" s="1"/>
      <c r="P975" s="1"/>
      <c r="Q975" s="1"/>
    </row>
    <row r="976" spans="1:17" ht="15" customHeight="1" x14ac:dyDescent="0.45">
      <c r="A976" s="1"/>
      <c r="B976" s="104"/>
      <c r="C976" s="104"/>
      <c r="D976" s="1"/>
      <c r="E976" s="1"/>
      <c r="F976" s="1"/>
      <c r="G976" s="1"/>
      <c r="H976" s="1"/>
      <c r="I976" s="1"/>
      <c r="J976" s="34"/>
      <c r="K976" s="1"/>
      <c r="L976" s="1"/>
      <c r="M976" s="1"/>
      <c r="N976" s="45"/>
      <c r="O976" s="1"/>
      <c r="P976" s="1"/>
      <c r="Q976" s="1"/>
    </row>
    <row r="977" spans="1:17" ht="15" customHeight="1" x14ac:dyDescent="0.45">
      <c r="A977" s="1"/>
      <c r="B977" s="104"/>
      <c r="C977" s="104"/>
      <c r="D977" s="1"/>
      <c r="E977" s="1"/>
      <c r="F977" s="1"/>
      <c r="G977" s="1"/>
      <c r="H977" s="1"/>
      <c r="I977" s="1"/>
      <c r="J977" s="34"/>
      <c r="K977" s="1"/>
      <c r="L977" s="1"/>
      <c r="M977" s="1"/>
      <c r="N977" s="45"/>
      <c r="O977" s="1"/>
      <c r="P977" s="1"/>
      <c r="Q977" s="1"/>
    </row>
    <row r="978" spans="1:17" ht="15" customHeight="1" x14ac:dyDescent="0.45">
      <c r="A978" s="1"/>
      <c r="B978" s="104"/>
      <c r="C978" s="104"/>
      <c r="D978" s="1"/>
      <c r="E978" s="1"/>
      <c r="F978" s="1"/>
      <c r="G978" s="1"/>
      <c r="H978" s="1"/>
      <c r="I978" s="1"/>
      <c r="J978" s="34"/>
      <c r="K978" s="1"/>
      <c r="L978" s="1"/>
      <c r="M978" s="1"/>
      <c r="N978" s="45"/>
      <c r="O978" s="1"/>
      <c r="P978" s="1"/>
      <c r="Q978" s="1"/>
    </row>
    <row r="979" spans="1:17" ht="15" customHeight="1" x14ac:dyDescent="0.45">
      <c r="A979" s="1"/>
      <c r="B979" s="104"/>
      <c r="C979" s="104"/>
      <c r="D979" s="1"/>
      <c r="E979" s="1"/>
      <c r="F979" s="1"/>
      <c r="G979" s="1"/>
      <c r="H979" s="1"/>
      <c r="I979" s="1"/>
      <c r="J979" s="34"/>
      <c r="K979" s="1"/>
      <c r="L979" s="1"/>
      <c r="M979" s="1"/>
      <c r="N979" s="45"/>
      <c r="O979" s="1"/>
      <c r="P979" s="1"/>
      <c r="Q979" s="1"/>
    </row>
    <row r="980" spans="1:17" ht="15" customHeight="1" x14ac:dyDescent="0.45">
      <c r="A980" s="1"/>
      <c r="B980" s="104"/>
      <c r="C980" s="104"/>
      <c r="D980" s="1"/>
      <c r="E980" s="1"/>
      <c r="F980" s="1"/>
      <c r="G980" s="1"/>
      <c r="H980" s="1"/>
      <c r="I980" s="1"/>
      <c r="J980" s="34"/>
      <c r="K980" s="1"/>
      <c r="L980" s="1"/>
      <c r="M980" s="1"/>
      <c r="N980" s="45"/>
      <c r="O980" s="1"/>
      <c r="P980" s="1"/>
      <c r="Q980" s="1"/>
    </row>
    <row r="981" spans="1:17" ht="15" customHeight="1" x14ac:dyDescent="0.45">
      <c r="A981" s="1"/>
      <c r="B981" s="104"/>
      <c r="C981" s="104"/>
      <c r="D981" s="1"/>
      <c r="E981" s="1"/>
      <c r="F981" s="1"/>
      <c r="G981" s="1"/>
      <c r="H981" s="1"/>
      <c r="I981" s="1"/>
      <c r="J981" s="34"/>
      <c r="K981" s="1"/>
      <c r="L981" s="1"/>
      <c r="M981" s="1"/>
      <c r="N981" s="45"/>
      <c r="O981" s="1"/>
      <c r="P981" s="1"/>
      <c r="Q981" s="1"/>
    </row>
    <row r="982" spans="1:17" ht="15" customHeight="1" x14ac:dyDescent="0.45">
      <c r="A982" s="1"/>
      <c r="B982" s="104"/>
      <c r="C982" s="104"/>
      <c r="D982" s="1"/>
      <c r="E982" s="1"/>
      <c r="F982" s="1"/>
      <c r="G982" s="1"/>
      <c r="H982" s="1"/>
      <c r="I982" s="1"/>
      <c r="J982" s="34"/>
      <c r="K982" s="1"/>
      <c r="L982" s="1"/>
      <c r="M982" s="1"/>
      <c r="N982" s="45"/>
      <c r="O982" s="1"/>
      <c r="P982" s="1"/>
      <c r="Q982" s="1"/>
    </row>
    <row r="983" spans="1:17" ht="15" customHeight="1" x14ac:dyDescent="0.45">
      <c r="A983" s="1"/>
      <c r="B983" s="104"/>
      <c r="C983" s="104"/>
      <c r="D983" s="1"/>
      <c r="E983" s="1"/>
      <c r="F983" s="1"/>
      <c r="G983" s="1"/>
      <c r="H983" s="1"/>
      <c r="I983" s="1"/>
      <c r="J983" s="34"/>
      <c r="K983" s="1"/>
      <c r="L983" s="1"/>
      <c r="M983" s="1"/>
      <c r="N983" s="45"/>
      <c r="O983" s="1"/>
      <c r="P983" s="1"/>
      <c r="Q983" s="1"/>
    </row>
    <row r="984" spans="1:17" ht="15" customHeight="1" x14ac:dyDescent="0.45">
      <c r="A984" s="1"/>
      <c r="B984" s="104"/>
      <c r="C984" s="104"/>
      <c r="D984" s="1"/>
      <c r="E984" s="1"/>
      <c r="F984" s="1"/>
      <c r="G984" s="1"/>
      <c r="H984" s="1"/>
      <c r="I984" s="1"/>
      <c r="J984" s="34"/>
      <c r="K984" s="1"/>
      <c r="L984" s="1"/>
      <c r="M984" s="1"/>
      <c r="N984" s="45"/>
      <c r="O984" s="1"/>
      <c r="P984" s="1"/>
      <c r="Q984" s="1"/>
    </row>
    <row r="985" spans="1:17" ht="15" customHeight="1" x14ac:dyDescent="0.45">
      <c r="A985" s="1"/>
      <c r="B985" s="104"/>
      <c r="C985" s="104"/>
      <c r="D985" s="1"/>
      <c r="E985" s="1"/>
      <c r="F985" s="1"/>
      <c r="G985" s="1"/>
      <c r="H985" s="1"/>
      <c r="I985" s="1"/>
      <c r="J985" s="34"/>
      <c r="K985" s="1"/>
      <c r="L985" s="1"/>
      <c r="M985" s="1"/>
      <c r="N985" s="45"/>
      <c r="O985" s="1"/>
      <c r="P985" s="1"/>
      <c r="Q985" s="1"/>
    </row>
    <row r="986" spans="1:17" ht="15" customHeight="1" x14ac:dyDescent="0.45">
      <c r="A986" s="1"/>
      <c r="B986" s="104"/>
      <c r="C986" s="104"/>
      <c r="D986" s="1"/>
      <c r="E986" s="1"/>
      <c r="F986" s="1"/>
      <c r="G986" s="1"/>
      <c r="H986" s="1"/>
      <c r="I986" s="1"/>
      <c r="J986" s="34"/>
      <c r="K986" s="1"/>
      <c r="L986" s="1"/>
      <c r="M986" s="1"/>
      <c r="N986" s="45"/>
      <c r="O986" s="1"/>
      <c r="P986" s="1"/>
      <c r="Q986" s="1"/>
    </row>
    <row r="987" spans="1:17" ht="15" customHeight="1" x14ac:dyDescent="0.45">
      <c r="A987" s="1"/>
      <c r="B987" s="104"/>
      <c r="C987" s="104"/>
      <c r="D987" s="1"/>
      <c r="E987" s="1"/>
      <c r="F987" s="1"/>
      <c r="G987" s="1"/>
      <c r="H987" s="1"/>
      <c r="I987" s="1"/>
      <c r="J987" s="34"/>
      <c r="K987" s="1"/>
      <c r="L987" s="1"/>
      <c r="M987" s="1"/>
      <c r="N987" s="45"/>
      <c r="O987" s="1"/>
      <c r="P987" s="1"/>
      <c r="Q987" s="1"/>
    </row>
    <row r="988" spans="1:17" ht="15" customHeight="1" x14ac:dyDescent="0.45">
      <c r="A988" s="1"/>
      <c r="B988" s="104"/>
      <c r="C988" s="104"/>
      <c r="D988" s="1"/>
      <c r="E988" s="1"/>
      <c r="F988" s="1"/>
      <c r="G988" s="1"/>
      <c r="H988" s="1"/>
      <c r="I988" s="1"/>
      <c r="J988" s="34"/>
      <c r="K988" s="1"/>
      <c r="L988" s="1"/>
      <c r="M988" s="1"/>
      <c r="N988" s="45"/>
      <c r="O988" s="1"/>
      <c r="P988" s="1"/>
      <c r="Q988" s="1"/>
    </row>
    <row r="989" spans="1:17" ht="15" customHeight="1" x14ac:dyDescent="0.45">
      <c r="A989" s="1"/>
      <c r="B989" s="104"/>
      <c r="C989" s="104"/>
      <c r="D989" s="1"/>
      <c r="E989" s="1"/>
      <c r="F989" s="1"/>
      <c r="G989" s="1"/>
      <c r="H989" s="1"/>
      <c r="I989" s="1"/>
      <c r="J989" s="34"/>
      <c r="K989" s="1"/>
      <c r="L989" s="1"/>
      <c r="M989" s="1"/>
      <c r="N989" s="45"/>
      <c r="O989" s="1"/>
      <c r="P989" s="1"/>
      <c r="Q989" s="1"/>
    </row>
    <row r="990" spans="1:17" ht="15" customHeight="1" x14ac:dyDescent="0.45">
      <c r="A990" s="1"/>
      <c r="B990" s="104"/>
      <c r="C990" s="104"/>
      <c r="D990" s="1"/>
      <c r="E990" s="1"/>
      <c r="F990" s="1"/>
      <c r="G990" s="1"/>
      <c r="H990" s="1"/>
      <c r="I990" s="1"/>
      <c r="J990" s="34"/>
      <c r="K990" s="1"/>
      <c r="L990" s="1"/>
      <c r="M990" s="1"/>
      <c r="N990" s="45"/>
      <c r="O990" s="1"/>
      <c r="P990" s="1"/>
      <c r="Q990" s="1"/>
    </row>
    <row r="991" spans="1:17" ht="15" customHeight="1" x14ac:dyDescent="0.45">
      <c r="A991" s="1"/>
      <c r="B991" s="104"/>
      <c r="C991" s="104"/>
      <c r="D991" s="1"/>
      <c r="E991" s="1"/>
      <c r="F991" s="1"/>
      <c r="G991" s="1"/>
      <c r="H991" s="1"/>
      <c r="I991" s="1"/>
      <c r="J991" s="34"/>
      <c r="K991" s="1"/>
      <c r="L991" s="1"/>
      <c r="M991" s="1"/>
      <c r="N991" s="45"/>
      <c r="O991" s="1"/>
      <c r="P991" s="1"/>
      <c r="Q991" s="1"/>
    </row>
    <row r="992" spans="1:17" ht="15" customHeight="1" x14ac:dyDescent="0.45">
      <c r="A992" s="1"/>
      <c r="B992" s="104"/>
      <c r="C992" s="104"/>
      <c r="D992" s="1"/>
      <c r="E992" s="1"/>
      <c r="F992" s="1"/>
      <c r="G992" s="1"/>
      <c r="H992" s="1"/>
      <c r="I992" s="1"/>
      <c r="J992" s="34"/>
      <c r="K992" s="1"/>
      <c r="L992" s="1"/>
      <c r="M992" s="1"/>
      <c r="N992" s="45"/>
      <c r="O992" s="1"/>
      <c r="P992" s="1"/>
      <c r="Q992" s="1"/>
    </row>
    <row r="993" spans="1:17" ht="15" customHeight="1" x14ac:dyDescent="0.45">
      <c r="A993" s="1"/>
      <c r="B993" s="104"/>
      <c r="C993" s="104"/>
      <c r="D993" s="1"/>
      <c r="E993" s="1"/>
      <c r="F993" s="1"/>
      <c r="G993" s="1"/>
      <c r="H993" s="1"/>
      <c r="I993" s="1"/>
      <c r="J993" s="34"/>
      <c r="K993" s="1"/>
      <c r="L993" s="1"/>
      <c r="M993" s="1"/>
      <c r="N993" s="45"/>
      <c r="O993" s="1"/>
      <c r="P993" s="1"/>
      <c r="Q993" s="1"/>
    </row>
    <row r="994" spans="1:17" ht="15" customHeight="1" x14ac:dyDescent="0.45">
      <c r="A994" s="1"/>
      <c r="B994" s="104"/>
      <c r="C994" s="104"/>
      <c r="D994" s="1"/>
      <c r="E994" s="1"/>
      <c r="F994" s="1"/>
      <c r="G994" s="1"/>
      <c r="H994" s="1"/>
      <c r="I994" s="1"/>
      <c r="J994" s="34"/>
      <c r="K994" s="1"/>
      <c r="L994" s="1"/>
      <c r="M994" s="1"/>
      <c r="N994" s="45"/>
      <c r="O994" s="1"/>
      <c r="P994" s="1"/>
      <c r="Q994" s="1"/>
    </row>
    <row r="995" spans="1:17" ht="15" customHeight="1" x14ac:dyDescent="0.45">
      <c r="A995" s="1"/>
      <c r="B995" s="104"/>
      <c r="C995" s="104"/>
      <c r="D995" s="1"/>
      <c r="E995" s="1"/>
      <c r="F995" s="1"/>
      <c r="G995" s="1"/>
      <c r="H995" s="1"/>
      <c r="I995" s="1"/>
      <c r="J995" s="34"/>
      <c r="K995" s="1"/>
      <c r="L995" s="1"/>
      <c r="M995" s="1"/>
      <c r="N995" s="45"/>
      <c r="O995" s="1"/>
      <c r="P995" s="1"/>
      <c r="Q995" s="1"/>
    </row>
    <row r="996" spans="1:17" ht="15" customHeight="1" x14ac:dyDescent="0.45">
      <c r="A996" s="1"/>
      <c r="B996" s="104"/>
      <c r="C996" s="104"/>
      <c r="D996" s="1"/>
      <c r="E996" s="1"/>
      <c r="F996" s="1"/>
      <c r="G996" s="1"/>
      <c r="H996" s="1"/>
      <c r="I996" s="1"/>
      <c r="J996" s="34"/>
      <c r="K996" s="1"/>
      <c r="L996" s="1"/>
      <c r="M996" s="1"/>
      <c r="N996" s="45"/>
      <c r="O996" s="1"/>
      <c r="P996" s="1"/>
      <c r="Q996" s="1"/>
    </row>
    <row r="997" spans="1:17" ht="15" customHeight="1" x14ac:dyDescent="0.45">
      <c r="A997" s="1"/>
      <c r="B997" s="104"/>
      <c r="C997" s="104"/>
      <c r="D997" s="1"/>
      <c r="E997" s="1"/>
      <c r="F997" s="1"/>
      <c r="G997" s="1"/>
      <c r="H997" s="1"/>
      <c r="I997" s="1"/>
      <c r="J997" s="34"/>
      <c r="K997" s="1"/>
      <c r="L997" s="1"/>
      <c r="M997" s="1"/>
      <c r="N997" s="45"/>
      <c r="O997" s="1"/>
      <c r="P997" s="1"/>
      <c r="Q997" s="1"/>
    </row>
    <row r="998" spans="1:17" ht="15" customHeight="1" x14ac:dyDescent="0.45">
      <c r="A998" s="1"/>
      <c r="B998" s="104"/>
      <c r="C998" s="104"/>
      <c r="D998" s="1"/>
      <c r="E998" s="1"/>
      <c r="F998" s="1"/>
      <c r="G998" s="1"/>
      <c r="H998" s="1"/>
      <c r="I998" s="1"/>
      <c r="J998" s="34"/>
      <c r="K998" s="1"/>
      <c r="L998" s="1"/>
      <c r="M998" s="1"/>
      <c r="N998" s="45"/>
      <c r="O998" s="1"/>
      <c r="P998" s="1"/>
      <c r="Q998" s="1"/>
    </row>
    <row r="999" spans="1:17" ht="15" customHeight="1" x14ac:dyDescent="0.45">
      <c r="A999" s="1"/>
      <c r="B999" s="104"/>
      <c r="C999" s="104"/>
      <c r="D999" s="1"/>
      <c r="E999" s="1"/>
      <c r="F999" s="1"/>
      <c r="G999" s="1"/>
      <c r="H999" s="1"/>
      <c r="I999" s="1"/>
      <c r="J999" s="34"/>
      <c r="K999" s="1"/>
      <c r="L999" s="1"/>
      <c r="M999" s="1"/>
      <c r="N999" s="45"/>
      <c r="O999" s="1"/>
      <c r="P999" s="1"/>
      <c r="Q999" s="1"/>
    </row>
    <row r="1000" spans="1:17" ht="15" customHeight="1" x14ac:dyDescent="0.45">
      <c r="A1000" s="1"/>
      <c r="B1000" s="104"/>
      <c r="C1000" s="104"/>
      <c r="D1000" s="1"/>
      <c r="E1000" s="1"/>
      <c r="F1000" s="1"/>
      <c r="G1000" s="1"/>
      <c r="H1000" s="1"/>
      <c r="I1000" s="1"/>
      <c r="J1000" s="34"/>
      <c r="K1000" s="1"/>
      <c r="L1000" s="1"/>
      <c r="M1000" s="1"/>
      <c r="N1000" s="45"/>
      <c r="O1000" s="1"/>
      <c r="P1000" s="1"/>
      <c r="Q1000" s="1"/>
    </row>
    <row r="1001" spans="1:17" ht="15" customHeight="1" x14ac:dyDescent="0.45">
      <c r="A1001" s="1"/>
      <c r="B1001" s="104"/>
      <c r="C1001" s="104"/>
      <c r="D1001" s="1"/>
      <c r="E1001" s="1"/>
      <c r="F1001" s="1"/>
      <c r="G1001" s="1"/>
      <c r="H1001" s="1"/>
      <c r="I1001" s="1"/>
      <c r="J1001" s="34"/>
      <c r="K1001" s="1"/>
      <c r="L1001" s="1"/>
      <c r="M1001" s="1"/>
      <c r="N1001" s="45"/>
      <c r="O1001" s="1"/>
      <c r="P1001" s="1"/>
      <c r="Q1001" s="1"/>
    </row>
    <row r="1002" spans="1:17" ht="15" customHeight="1" x14ac:dyDescent="0.45">
      <c r="A1002" s="1"/>
      <c r="B1002" s="104"/>
      <c r="C1002" s="104"/>
      <c r="D1002" s="1"/>
      <c r="E1002" s="1"/>
      <c r="F1002" s="1"/>
      <c r="G1002" s="1"/>
      <c r="H1002" s="1"/>
      <c r="I1002" s="1"/>
      <c r="J1002" s="34"/>
      <c r="K1002" s="1"/>
      <c r="L1002" s="1"/>
      <c r="M1002" s="1"/>
      <c r="N1002" s="45"/>
      <c r="O1002" s="1"/>
      <c r="P1002" s="1"/>
      <c r="Q1002" s="1"/>
    </row>
    <row r="1003" spans="1:17" ht="15" customHeight="1" x14ac:dyDescent="0.45">
      <c r="A1003" s="1"/>
      <c r="B1003" s="104"/>
      <c r="C1003" s="104"/>
      <c r="D1003" s="1"/>
      <c r="E1003" s="1"/>
      <c r="F1003" s="1"/>
      <c r="G1003" s="1"/>
      <c r="H1003" s="1"/>
      <c r="I1003" s="1"/>
      <c r="J1003" s="34"/>
      <c r="K1003" s="1"/>
      <c r="L1003" s="1"/>
      <c r="M1003" s="1"/>
      <c r="N1003" s="45"/>
      <c r="O1003" s="1"/>
      <c r="P1003" s="1"/>
      <c r="Q1003" s="1"/>
    </row>
    <row r="1004" spans="1:17" ht="15" customHeight="1" x14ac:dyDescent="0.45">
      <c r="A1004" s="1"/>
      <c r="B1004" s="104"/>
      <c r="C1004" s="104"/>
      <c r="D1004" s="1"/>
      <c r="E1004" s="1"/>
      <c r="F1004" s="1"/>
      <c r="G1004" s="1"/>
      <c r="H1004" s="1"/>
      <c r="I1004" s="1"/>
      <c r="J1004" s="34"/>
      <c r="K1004" s="1"/>
      <c r="L1004" s="1"/>
      <c r="M1004" s="1"/>
      <c r="N1004" s="45"/>
      <c r="O1004" s="1"/>
      <c r="P1004" s="1"/>
      <c r="Q1004" s="1"/>
    </row>
    <row r="1005" spans="1:17" ht="15" customHeight="1" x14ac:dyDescent="0.45">
      <c r="A1005" s="1"/>
      <c r="B1005" s="104"/>
      <c r="C1005" s="104"/>
      <c r="D1005" s="1"/>
      <c r="E1005" s="1"/>
      <c r="F1005" s="1"/>
      <c r="G1005" s="1"/>
      <c r="H1005" s="1"/>
      <c r="I1005" s="1"/>
      <c r="J1005" s="34"/>
      <c r="K1005" s="1"/>
      <c r="L1005" s="1"/>
      <c r="M1005" s="1"/>
      <c r="N1005" s="45"/>
      <c r="O1005" s="1"/>
      <c r="P1005" s="1"/>
      <c r="Q1005" s="1"/>
    </row>
    <row r="1006" spans="1:17" ht="15" customHeight="1" x14ac:dyDescent="0.45">
      <c r="A1006" s="1"/>
      <c r="B1006" s="104"/>
      <c r="C1006" s="104"/>
      <c r="D1006" s="1"/>
      <c r="E1006" s="1"/>
      <c r="F1006" s="1"/>
      <c r="G1006" s="1"/>
      <c r="H1006" s="1"/>
      <c r="I1006" s="1"/>
      <c r="J1006" s="34"/>
      <c r="K1006" s="1"/>
      <c r="L1006" s="1"/>
      <c r="M1006" s="1"/>
      <c r="N1006" s="45"/>
      <c r="O1006" s="1"/>
      <c r="P1006" s="1"/>
      <c r="Q1006" s="1"/>
    </row>
    <row r="1007" spans="1:17" ht="15" customHeight="1" x14ac:dyDescent="0.45">
      <c r="A1007" s="1"/>
      <c r="B1007" s="104"/>
      <c r="C1007" s="104"/>
      <c r="D1007" s="1"/>
      <c r="E1007" s="1"/>
      <c r="F1007" s="1"/>
      <c r="G1007" s="1"/>
      <c r="H1007" s="1"/>
      <c r="I1007" s="1"/>
      <c r="J1007" s="34"/>
      <c r="K1007" s="1"/>
      <c r="L1007" s="1"/>
      <c r="M1007" s="1"/>
      <c r="N1007" s="45"/>
      <c r="O1007" s="1"/>
      <c r="P1007" s="1"/>
      <c r="Q1007" s="1"/>
    </row>
    <row r="1008" spans="1:17" ht="15" customHeight="1" x14ac:dyDescent="0.45">
      <c r="A1008" s="1"/>
      <c r="B1008" s="104"/>
      <c r="C1008" s="104"/>
      <c r="D1008" s="1"/>
      <c r="E1008" s="1"/>
      <c r="F1008" s="1"/>
      <c r="G1008" s="1"/>
      <c r="H1008" s="1"/>
      <c r="I1008" s="1"/>
      <c r="J1008" s="34"/>
      <c r="K1008" s="1"/>
      <c r="L1008" s="1"/>
      <c r="M1008" s="1"/>
      <c r="N1008" s="45"/>
      <c r="O1008" s="1"/>
      <c r="P1008" s="1"/>
      <c r="Q1008" s="1"/>
    </row>
    <row r="1009" spans="1:17" ht="15" customHeight="1" x14ac:dyDescent="0.45">
      <c r="A1009" s="1"/>
      <c r="B1009" s="104"/>
      <c r="C1009" s="104"/>
      <c r="D1009" s="1"/>
      <c r="E1009" s="1"/>
      <c r="F1009" s="1"/>
      <c r="G1009" s="1"/>
      <c r="H1009" s="1"/>
      <c r="I1009" s="1"/>
      <c r="J1009" s="34"/>
      <c r="K1009" s="1"/>
      <c r="L1009" s="1"/>
      <c r="M1009" s="1"/>
      <c r="N1009" s="45"/>
      <c r="O1009" s="1"/>
      <c r="P1009" s="1"/>
      <c r="Q1009" s="1"/>
    </row>
    <row r="1010" spans="1:17" ht="15" customHeight="1" x14ac:dyDescent="0.45">
      <c r="A1010" s="1"/>
      <c r="B1010" s="104"/>
      <c r="C1010" s="104"/>
      <c r="D1010" s="1"/>
      <c r="E1010" s="1"/>
      <c r="F1010" s="1"/>
      <c r="G1010" s="1"/>
      <c r="H1010" s="1"/>
      <c r="I1010" s="1"/>
      <c r="J1010" s="34"/>
      <c r="K1010" s="1"/>
      <c r="L1010" s="1"/>
      <c r="M1010" s="1"/>
      <c r="N1010" s="45"/>
      <c r="O1010" s="1"/>
      <c r="P1010" s="1"/>
      <c r="Q1010" s="1"/>
    </row>
    <row r="1011" spans="1:17" ht="15" customHeight="1" x14ac:dyDescent="0.45">
      <c r="A1011" s="1"/>
      <c r="B1011" s="104"/>
      <c r="C1011" s="104"/>
      <c r="D1011" s="1"/>
      <c r="E1011" s="1"/>
      <c r="F1011" s="1"/>
      <c r="G1011" s="1"/>
      <c r="H1011" s="1"/>
      <c r="I1011" s="1"/>
      <c r="J1011" s="34"/>
      <c r="K1011" s="1"/>
      <c r="L1011" s="1"/>
      <c r="M1011" s="1"/>
      <c r="N1011" s="45"/>
      <c r="O1011" s="1"/>
      <c r="P1011" s="1"/>
      <c r="Q1011" s="1"/>
    </row>
    <row r="1012" spans="1:17" ht="15" customHeight="1" x14ac:dyDescent="0.45">
      <c r="A1012" s="1"/>
      <c r="B1012" s="104"/>
      <c r="C1012" s="104"/>
      <c r="D1012" s="1"/>
      <c r="E1012" s="1"/>
      <c r="F1012" s="1"/>
      <c r="G1012" s="1"/>
      <c r="H1012" s="1"/>
      <c r="I1012" s="1"/>
      <c r="J1012" s="34"/>
      <c r="K1012" s="1"/>
      <c r="L1012" s="1"/>
      <c r="M1012" s="1"/>
      <c r="N1012" s="45"/>
      <c r="O1012" s="1"/>
      <c r="P1012" s="1"/>
      <c r="Q1012" s="1"/>
    </row>
    <row r="1013" spans="1:17" ht="15" customHeight="1" x14ac:dyDescent="0.45">
      <c r="A1013" s="1"/>
      <c r="B1013" s="104"/>
      <c r="C1013" s="104"/>
      <c r="D1013" s="1"/>
      <c r="E1013" s="1"/>
      <c r="F1013" s="1"/>
      <c r="G1013" s="1"/>
      <c r="H1013" s="1"/>
      <c r="I1013" s="1"/>
      <c r="J1013" s="34"/>
      <c r="K1013" s="1"/>
      <c r="L1013" s="1"/>
      <c r="M1013" s="1"/>
      <c r="N1013" s="45"/>
      <c r="O1013" s="1"/>
      <c r="P1013" s="1"/>
      <c r="Q1013" s="1"/>
    </row>
    <row r="1014" spans="1:17" ht="15" customHeight="1" x14ac:dyDescent="0.45">
      <c r="A1014" s="1"/>
      <c r="B1014" s="104"/>
      <c r="C1014" s="104"/>
      <c r="D1014" s="1"/>
      <c r="E1014" s="1"/>
      <c r="F1014" s="1"/>
      <c r="G1014" s="1"/>
      <c r="H1014" s="1"/>
      <c r="I1014" s="1"/>
      <c r="J1014" s="34"/>
      <c r="K1014" s="1"/>
      <c r="L1014" s="1"/>
      <c r="M1014" s="1"/>
      <c r="N1014" s="45"/>
      <c r="O1014" s="1"/>
      <c r="P1014" s="1"/>
      <c r="Q1014" s="1"/>
    </row>
  </sheetData>
  <autoFilter ref="A1:AA511">
    <sortState ref="A317:AA421">
      <sortCondition ref="Q1:Q486"/>
    </sortState>
  </autoFilter>
  <pageMargins left="0.7" right="0.7" top="0.75" bottom="0.75" header="0.3" footer="0.3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Local, Sustainable</vt:lpstr>
      <vt:lpstr>'Local, Sustainable'!Print_Area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Lenard, Samantha</dc:creator>
  <cp:lastModifiedBy>Spicer, Taylor</cp:lastModifiedBy>
  <cp:lastPrinted>2016-12-27T22:30:21Z</cp:lastPrinted>
  <dcterms:created xsi:type="dcterms:W3CDTF">2015-11-13T22:29:18Z</dcterms:created>
  <dcterms:modified xsi:type="dcterms:W3CDTF">2017-07-19T21:04:27Z</dcterms:modified>
</cp:coreProperties>
</file>