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8256" yWindow="828" windowWidth="5976" windowHeight="1236" tabRatio="729" firstSheet="1" activeTab="1"/>
  </bookViews>
  <sheets>
    <sheet name="Summary" sheetId="11" r:id="rId1"/>
    <sheet name="June 2016" sheetId="16" r:id="rId2"/>
    <sheet name="May 2016" sheetId="15" r:id="rId3"/>
    <sheet name="Apr 2016" sheetId="14" r:id="rId4"/>
    <sheet name="Mar 2016" sheetId="13" r:id="rId5"/>
    <sheet name="Feb 2016" sheetId="12" r:id="rId6"/>
    <sheet name="Jan 2016" sheetId="1" r:id="rId7"/>
    <sheet name="Dec 2015" sheetId="4" r:id="rId8"/>
    <sheet name="Nov 2015" sheetId="6" r:id="rId9"/>
    <sheet name="Oct 2015" sheetId="7" r:id="rId10"/>
    <sheet name="Sept 2015" sheetId="8" r:id="rId11"/>
    <sheet name="Aug 2015" sheetId="9" r:id="rId12"/>
    <sheet name="July 2015" sheetId="10" r:id="rId13"/>
    <sheet name="Sheet3" sheetId="3" r:id="rId14"/>
    <sheet name="NMSU Energy Use Data" sheetId="23" r:id="rId15"/>
    <sheet name="HPG-LPG ELEC Breakout" sheetId="24" r:id="rId16"/>
    <sheet name="NMSU Sewer-Water Breakout" sheetId="25" r:id="rId17"/>
    <sheet name="NMSU Utlity Rates" sheetId="26" r:id="rId18"/>
  </sheets>
  <externalReferences>
    <externalReference r:id="rId19"/>
  </externalReferences>
  <definedNames>
    <definedName name="_xlnm.Print_Area" localSheetId="5">'Feb 2016'!$A$1:$J$179</definedName>
    <definedName name="_xlnm.Print_Area" localSheetId="15">'HPG-LPG ELEC Breakout'!$A$1:$N$103</definedName>
  </definedNames>
  <calcPr calcId="145621"/>
</workbook>
</file>

<file path=xl/calcChain.xml><?xml version="1.0" encoding="utf-8"?>
<calcChain xmlns="http://schemas.openxmlformats.org/spreadsheetml/2006/main">
  <c r="C133" i="16" l="1"/>
  <c r="B137" i="16"/>
  <c r="C117" i="16" l="1"/>
  <c r="C91" i="16" l="1"/>
  <c r="E85" i="16"/>
  <c r="E84" i="16"/>
  <c r="E83" i="16"/>
  <c r="E82" i="16"/>
  <c r="E71" i="16" l="1"/>
  <c r="E68" i="16"/>
  <c r="B63" i="16"/>
  <c r="I58" i="16"/>
  <c r="C117" i="15" l="1"/>
  <c r="B93" i="15" l="1"/>
  <c r="C91" i="15"/>
  <c r="F85" i="15"/>
  <c r="F84" i="15"/>
  <c r="E85" i="15"/>
  <c r="E84" i="15"/>
  <c r="E83" i="15"/>
  <c r="E82" i="15"/>
  <c r="E71" i="15"/>
  <c r="E68" i="15"/>
  <c r="B63" i="15"/>
  <c r="C58" i="15"/>
  <c r="I58" i="15"/>
  <c r="C117" i="14" l="1"/>
  <c r="C116" i="13"/>
  <c r="C116" i="14"/>
  <c r="C115" i="14"/>
  <c r="C115" i="13"/>
  <c r="C113" i="14"/>
  <c r="C110" i="14"/>
  <c r="B85" i="14"/>
  <c r="G85" i="14"/>
  <c r="G84" i="14"/>
  <c r="G83" i="14"/>
  <c r="G82" i="14"/>
  <c r="C91" i="14"/>
  <c r="E84" i="14"/>
  <c r="E82" i="14"/>
  <c r="E85" i="14"/>
  <c r="E83" i="14"/>
  <c r="E71" i="14" l="1"/>
  <c r="E68" i="14"/>
  <c r="B63" i="14"/>
  <c r="J58" i="14"/>
  <c r="C117" i="12" l="1"/>
  <c r="C117" i="13" s="1"/>
  <c r="C112" i="13"/>
  <c r="C113" i="13"/>
  <c r="C110" i="13"/>
  <c r="C91" i="13"/>
  <c r="E71" i="13" l="1"/>
  <c r="E68" i="13"/>
  <c r="B63" i="13"/>
  <c r="J58" i="13"/>
  <c r="P10" i="24" l="1"/>
  <c r="O10" i="24"/>
  <c r="P21" i="24"/>
  <c r="O21" i="24"/>
  <c r="P20" i="24"/>
  <c r="O20" i="24"/>
  <c r="P19" i="24"/>
  <c r="O19" i="24"/>
  <c r="P18" i="24"/>
  <c r="O18" i="24"/>
  <c r="P17" i="24"/>
  <c r="O17" i="24"/>
  <c r="P16" i="24"/>
  <c r="O16" i="24"/>
  <c r="P15" i="24"/>
  <c r="O15" i="24"/>
  <c r="P14" i="24"/>
  <c r="O14" i="24"/>
  <c r="P13" i="24"/>
  <c r="O13" i="24"/>
  <c r="P12" i="24"/>
  <c r="O12" i="24"/>
  <c r="P11" i="24"/>
  <c r="O11" i="24"/>
  <c r="P23" i="24"/>
  <c r="O23" i="24"/>
  <c r="B23" i="24"/>
  <c r="J22" i="24"/>
  <c r="I22" i="24"/>
  <c r="H22" i="24"/>
  <c r="G22" i="24"/>
  <c r="F22" i="24"/>
  <c r="E22" i="24"/>
  <c r="D22" i="24"/>
  <c r="C22" i="24"/>
  <c r="N21" i="24"/>
  <c r="M21" i="24"/>
  <c r="L21" i="24"/>
  <c r="K21" i="24"/>
  <c r="N20" i="24"/>
  <c r="M20" i="24"/>
  <c r="L20" i="24"/>
  <c r="K20" i="24"/>
  <c r="N19" i="24"/>
  <c r="M19" i="24"/>
  <c r="L19" i="24"/>
  <c r="K19" i="24"/>
  <c r="N18" i="24"/>
  <c r="M18" i="24"/>
  <c r="L18" i="24"/>
  <c r="K18" i="24"/>
  <c r="N17" i="24"/>
  <c r="M17" i="24"/>
  <c r="L17" i="24"/>
  <c r="K17" i="24"/>
  <c r="N16" i="24"/>
  <c r="M16" i="24"/>
  <c r="L16" i="24"/>
  <c r="K16" i="24"/>
  <c r="N15" i="24"/>
  <c r="M15" i="24"/>
  <c r="L15" i="24"/>
  <c r="K15" i="24"/>
  <c r="N14" i="24"/>
  <c r="M14" i="24"/>
  <c r="L14" i="24"/>
  <c r="K14" i="24"/>
  <c r="N13" i="24"/>
  <c r="M13" i="24"/>
  <c r="L13" i="24"/>
  <c r="K13" i="24"/>
  <c r="N12" i="24"/>
  <c r="M12" i="24"/>
  <c r="L12" i="24"/>
  <c r="K12" i="24"/>
  <c r="N11" i="24"/>
  <c r="M11" i="24"/>
  <c r="L11" i="24"/>
  <c r="K11" i="24"/>
  <c r="N10" i="24"/>
  <c r="N22" i="24" s="1"/>
  <c r="M10" i="24"/>
  <c r="M22" i="24" s="1"/>
  <c r="L10" i="24"/>
  <c r="L22" i="24" s="1"/>
  <c r="K10" i="24"/>
  <c r="K22" i="24" s="1"/>
  <c r="P44" i="23" l="1"/>
  <c r="P43" i="23"/>
  <c r="P42" i="23"/>
  <c r="P41" i="23"/>
  <c r="P40" i="23"/>
  <c r="P39" i="23"/>
  <c r="P38" i="23"/>
  <c r="P37" i="23"/>
  <c r="P36" i="23"/>
  <c r="P35" i="23"/>
  <c r="P34" i="23"/>
  <c r="P33" i="23"/>
  <c r="K41" i="23"/>
  <c r="K40" i="23"/>
  <c r="K39" i="23"/>
  <c r="K38" i="23"/>
  <c r="K37" i="23"/>
  <c r="K36" i="23"/>
  <c r="K35" i="23"/>
  <c r="K34" i="23"/>
  <c r="K33" i="23"/>
  <c r="F41" i="23"/>
  <c r="F40" i="23"/>
  <c r="F39" i="23"/>
  <c r="F38" i="23"/>
  <c r="F37" i="23"/>
  <c r="F36" i="23"/>
  <c r="F34" i="23"/>
  <c r="F33" i="23"/>
  <c r="O45" i="23"/>
  <c r="J45" i="23"/>
  <c r="E45" i="23"/>
  <c r="D45" i="23"/>
  <c r="C115" i="12" l="1"/>
  <c r="C113" i="12"/>
  <c r="C110" i="12"/>
  <c r="B93" i="12"/>
  <c r="E87" i="12"/>
  <c r="E82" i="12"/>
  <c r="E84" i="12"/>
  <c r="E85" i="12"/>
  <c r="E83" i="12"/>
  <c r="C91" i="12"/>
  <c r="E76" i="12"/>
  <c r="E71" i="12"/>
  <c r="E68" i="12"/>
  <c r="C58" i="12"/>
  <c r="J58" i="12"/>
  <c r="B63" i="12"/>
  <c r="C117" i="1" l="1"/>
  <c r="C116" i="1"/>
  <c r="C115" i="1"/>
  <c r="C113" i="1"/>
  <c r="C110" i="1"/>
  <c r="B93" i="1"/>
  <c r="C91" i="1"/>
  <c r="E71" i="1" l="1"/>
  <c r="E68" i="1"/>
  <c r="B63" i="1"/>
  <c r="C58" i="1"/>
  <c r="K58" i="1"/>
  <c r="I58" i="4"/>
  <c r="C117" i="4" l="1"/>
  <c r="C117" i="6"/>
  <c r="C116" i="4"/>
  <c r="C116" i="6"/>
  <c r="C115" i="4"/>
  <c r="C112" i="4"/>
  <c r="C113" i="4"/>
  <c r="C110" i="4"/>
  <c r="C91" i="4"/>
  <c r="E71" i="4"/>
  <c r="E68" i="4"/>
  <c r="B63" i="4"/>
  <c r="C58" i="4"/>
  <c r="B58" i="4" s="1"/>
  <c r="E37" i="6" l="1"/>
  <c r="C110" i="6"/>
  <c r="C117" i="7"/>
  <c r="F74" i="6"/>
  <c r="C115" i="6"/>
  <c r="C113" i="6"/>
  <c r="C91" i="6" l="1"/>
  <c r="E71" i="6"/>
  <c r="E68" i="6"/>
  <c r="B63" i="6"/>
  <c r="B58" i="6"/>
  <c r="C58" i="6"/>
  <c r="I58" i="6"/>
  <c r="C116" i="8" l="1"/>
  <c r="C116" i="7"/>
  <c r="C115" i="7"/>
  <c r="C113" i="7"/>
  <c r="C110" i="7"/>
  <c r="C91" i="7"/>
  <c r="D87" i="7"/>
  <c r="D82" i="7"/>
  <c r="D83" i="7"/>
  <c r="D85" i="7"/>
  <c r="E71" i="7"/>
  <c r="E68" i="7"/>
  <c r="B63" i="7"/>
  <c r="C58" i="7"/>
  <c r="I58" i="7"/>
  <c r="B85" i="8" l="1"/>
  <c r="D28" i="8" l="1"/>
  <c r="C115" i="8"/>
  <c r="C115" i="9"/>
  <c r="C113" i="8"/>
  <c r="C110" i="8"/>
  <c r="C91" i="8"/>
  <c r="E71" i="8"/>
  <c r="E68" i="8"/>
  <c r="B63" i="8"/>
  <c r="B58" i="8"/>
  <c r="I58" i="8"/>
  <c r="L25" i="9" l="1"/>
  <c r="E26" i="9" l="1"/>
  <c r="E26" i="10"/>
  <c r="B85" i="9" l="1"/>
  <c r="B87" i="9"/>
  <c r="C117" i="9"/>
  <c r="C110" i="9"/>
  <c r="C117" i="10"/>
  <c r="C113" i="9"/>
  <c r="B103" i="9"/>
  <c r="B102" i="9"/>
  <c r="B93" i="9"/>
  <c r="C91" i="9"/>
  <c r="E71" i="9"/>
  <c r="E68" i="9"/>
  <c r="B63" i="9"/>
  <c r="B58" i="9"/>
  <c r="I58" i="9"/>
  <c r="I58" i="10"/>
  <c r="D31" i="10" l="1"/>
  <c r="D30" i="10"/>
  <c r="D29" i="10"/>
  <c r="C116" i="10" l="1"/>
  <c r="C115" i="10"/>
  <c r="B58" i="10"/>
  <c r="AE23" i="23"/>
  <c r="AE22" i="23"/>
  <c r="AE21" i="23"/>
  <c r="AE20" i="23"/>
  <c r="AE19" i="23"/>
  <c r="AE18" i="23"/>
  <c r="AE17" i="23"/>
  <c r="AE16" i="23"/>
  <c r="AE15" i="23"/>
  <c r="AE14" i="23"/>
  <c r="AE13" i="23"/>
  <c r="AE12" i="23"/>
  <c r="AD24" i="23"/>
  <c r="Z23" i="23"/>
  <c r="Z22" i="23"/>
  <c r="Z21" i="23"/>
  <c r="Z20" i="23"/>
  <c r="Z19" i="23"/>
  <c r="Z18" i="23"/>
  <c r="Z17" i="23"/>
  <c r="Z16" i="23"/>
  <c r="Z15" i="23"/>
  <c r="Z14" i="23"/>
  <c r="Z13" i="23"/>
  <c r="Z12" i="23"/>
  <c r="Y24" i="23"/>
  <c r="U23" i="23"/>
  <c r="U22" i="23"/>
  <c r="U21" i="23"/>
  <c r="U20" i="23"/>
  <c r="U19" i="23"/>
  <c r="U18" i="23"/>
  <c r="U17" i="23"/>
  <c r="U16" i="23"/>
  <c r="U15" i="23"/>
  <c r="U14" i="23"/>
  <c r="U13" i="23"/>
  <c r="U12" i="23"/>
  <c r="T23" i="23"/>
  <c r="T22" i="23"/>
  <c r="T21" i="23"/>
  <c r="T20" i="23"/>
  <c r="T19" i="23"/>
  <c r="T18" i="23"/>
  <c r="T17" i="23"/>
  <c r="T16" i="23"/>
  <c r="T15" i="23"/>
  <c r="T14" i="23"/>
  <c r="T13" i="23"/>
  <c r="T12" i="23"/>
  <c r="T24" i="23" s="1"/>
  <c r="P23" i="23"/>
  <c r="P22" i="23"/>
  <c r="P21" i="23"/>
  <c r="P20" i="23"/>
  <c r="P19" i="23"/>
  <c r="P18" i="23"/>
  <c r="P17" i="23"/>
  <c r="P16" i="23"/>
  <c r="P15" i="23"/>
  <c r="P14" i="23"/>
  <c r="P13" i="23"/>
  <c r="P12" i="23"/>
  <c r="O24" i="23"/>
  <c r="J24" i="23"/>
  <c r="F23" i="23"/>
  <c r="F22" i="23"/>
  <c r="F21" i="23"/>
  <c r="F20" i="23"/>
  <c r="F19" i="23"/>
  <c r="F18" i="23"/>
  <c r="F17" i="23"/>
  <c r="F16" i="23"/>
  <c r="F15" i="23"/>
  <c r="F14" i="23"/>
  <c r="F13" i="23"/>
  <c r="F12" i="23"/>
  <c r="E24" i="23"/>
  <c r="I84" i="26"/>
  <c r="H84" i="26"/>
  <c r="G84" i="26"/>
  <c r="F84" i="26"/>
  <c r="E84" i="26"/>
  <c r="D84" i="26"/>
  <c r="C84" i="26"/>
  <c r="I64" i="26"/>
  <c r="H64" i="26"/>
  <c r="G64" i="26"/>
  <c r="F64" i="26"/>
  <c r="E64" i="26"/>
  <c r="D64" i="26"/>
  <c r="C64" i="26"/>
  <c r="I44" i="26"/>
  <c r="H44" i="26"/>
  <c r="G44" i="26"/>
  <c r="F44" i="26"/>
  <c r="E44" i="26"/>
  <c r="D44" i="26"/>
  <c r="C44" i="26"/>
  <c r="I24" i="26"/>
  <c r="H24" i="26"/>
  <c r="G24" i="26"/>
  <c r="F24" i="26"/>
  <c r="E24" i="26"/>
  <c r="D24" i="26"/>
  <c r="C24" i="26"/>
  <c r="B4" i="26"/>
  <c r="Y43" i="25"/>
  <c r="M43" i="25"/>
  <c r="G43" i="25"/>
  <c r="W42" i="25"/>
  <c r="V42" i="25"/>
  <c r="U42" i="25"/>
  <c r="T42" i="25"/>
  <c r="Q42" i="25"/>
  <c r="P42" i="25"/>
  <c r="O42" i="25"/>
  <c r="N42" i="25"/>
  <c r="K42" i="25"/>
  <c r="J42" i="25"/>
  <c r="I42" i="25"/>
  <c r="H42" i="25"/>
  <c r="E42" i="25"/>
  <c r="D42" i="25"/>
  <c r="C42" i="25"/>
  <c r="B42" i="25"/>
  <c r="X41" i="25"/>
  <c r="R41" i="25"/>
  <c r="S41" i="25" s="1"/>
  <c r="L41" i="25"/>
  <c r="F41" i="25"/>
  <c r="X40" i="25"/>
  <c r="S40" i="25"/>
  <c r="R40" i="25"/>
  <c r="L40" i="25"/>
  <c r="F40" i="25"/>
  <c r="X39" i="25"/>
  <c r="S39" i="25"/>
  <c r="R39" i="25"/>
  <c r="L39" i="25"/>
  <c r="F39" i="25"/>
  <c r="X38" i="25"/>
  <c r="R38" i="25"/>
  <c r="S38" i="25" s="1"/>
  <c r="L38" i="25"/>
  <c r="F38" i="25"/>
  <c r="X37" i="25"/>
  <c r="R37" i="25"/>
  <c r="S37" i="25" s="1"/>
  <c r="L37" i="25"/>
  <c r="F37" i="25"/>
  <c r="X36" i="25"/>
  <c r="S36" i="25"/>
  <c r="R36" i="25"/>
  <c r="L36" i="25"/>
  <c r="F36" i="25"/>
  <c r="X35" i="25"/>
  <c r="S35" i="25"/>
  <c r="R35" i="25"/>
  <c r="L35" i="25"/>
  <c r="F35" i="25"/>
  <c r="X34" i="25"/>
  <c r="R34" i="25"/>
  <c r="S34" i="25" s="1"/>
  <c r="L34" i="25"/>
  <c r="F34" i="25"/>
  <c r="X33" i="25"/>
  <c r="R33" i="25"/>
  <c r="S33" i="25" s="1"/>
  <c r="L33" i="25"/>
  <c r="F33" i="25"/>
  <c r="X32" i="25"/>
  <c r="S32" i="25"/>
  <c r="R32" i="25"/>
  <c r="L32" i="25"/>
  <c r="F32" i="25"/>
  <c r="X31" i="25"/>
  <c r="S31" i="25"/>
  <c r="R31" i="25"/>
  <c r="L31" i="25"/>
  <c r="F31" i="25"/>
  <c r="X30" i="25"/>
  <c r="X42" i="25" s="1"/>
  <c r="R30" i="25"/>
  <c r="S30" i="25" s="1"/>
  <c r="S43" i="25" s="1"/>
  <c r="L30" i="25"/>
  <c r="L42" i="25" s="1"/>
  <c r="F30" i="25"/>
  <c r="F42" i="25" s="1"/>
  <c r="U24" i="25"/>
  <c r="S23" i="25"/>
  <c r="R23" i="25"/>
  <c r="Q23" i="25"/>
  <c r="N23" i="25"/>
  <c r="M23" i="25"/>
  <c r="L23" i="25"/>
  <c r="I23" i="25"/>
  <c r="H23" i="25"/>
  <c r="G23" i="25"/>
  <c r="D23" i="25"/>
  <c r="C23" i="25"/>
  <c r="B23" i="25"/>
  <c r="T22" i="25"/>
  <c r="O22" i="25"/>
  <c r="P22" i="25" s="1"/>
  <c r="K22" i="25"/>
  <c r="J22" i="25"/>
  <c r="E22" i="25"/>
  <c r="F22" i="25" s="1"/>
  <c r="T21" i="25"/>
  <c r="O21" i="25"/>
  <c r="P21" i="25" s="1"/>
  <c r="K21" i="25"/>
  <c r="J21" i="25"/>
  <c r="E21" i="25"/>
  <c r="F21" i="25" s="1"/>
  <c r="T20" i="25"/>
  <c r="P20" i="25"/>
  <c r="O20" i="25"/>
  <c r="J20" i="25"/>
  <c r="K20" i="25" s="1"/>
  <c r="F20" i="25"/>
  <c r="E20" i="25"/>
  <c r="T19" i="25"/>
  <c r="P19" i="25"/>
  <c r="O19" i="25"/>
  <c r="J19" i="25"/>
  <c r="K19" i="25" s="1"/>
  <c r="F19" i="25"/>
  <c r="E19" i="25"/>
  <c r="T18" i="25"/>
  <c r="O18" i="25"/>
  <c r="P18" i="25" s="1"/>
  <c r="K18" i="25"/>
  <c r="J18" i="25"/>
  <c r="E18" i="25"/>
  <c r="F18" i="25" s="1"/>
  <c r="T17" i="25"/>
  <c r="O17" i="25"/>
  <c r="P17" i="25" s="1"/>
  <c r="K17" i="25"/>
  <c r="J17" i="25"/>
  <c r="E17" i="25"/>
  <c r="F17" i="25" s="1"/>
  <c r="T16" i="25"/>
  <c r="P16" i="25"/>
  <c r="O16" i="25"/>
  <c r="J16" i="25"/>
  <c r="K16" i="25" s="1"/>
  <c r="F16" i="25"/>
  <c r="E16" i="25"/>
  <c r="T15" i="25"/>
  <c r="P15" i="25"/>
  <c r="O15" i="25"/>
  <c r="J15" i="25"/>
  <c r="K15" i="25" s="1"/>
  <c r="F15" i="25"/>
  <c r="E15" i="25"/>
  <c r="T14" i="25"/>
  <c r="O14" i="25"/>
  <c r="P14" i="25" s="1"/>
  <c r="K14" i="25"/>
  <c r="J14" i="25"/>
  <c r="E14" i="25"/>
  <c r="F14" i="25" s="1"/>
  <c r="T13" i="25"/>
  <c r="O13" i="25"/>
  <c r="J13" i="25"/>
  <c r="K13" i="25" s="1"/>
  <c r="F13" i="25"/>
  <c r="E13" i="25"/>
  <c r="T12" i="25"/>
  <c r="P12" i="25"/>
  <c r="O12" i="25"/>
  <c r="J12" i="25"/>
  <c r="K12" i="25" s="1"/>
  <c r="K24" i="25" s="1"/>
  <c r="F12" i="25"/>
  <c r="E12" i="25"/>
  <c r="T11" i="25"/>
  <c r="T23" i="25" s="1"/>
  <c r="O11" i="25"/>
  <c r="P11" i="25" s="1"/>
  <c r="P24" i="25" s="1"/>
  <c r="K11" i="25"/>
  <c r="J11" i="25"/>
  <c r="J23" i="25" s="1"/>
  <c r="E11" i="25"/>
  <c r="E23" i="25" s="1"/>
  <c r="B4" i="25"/>
  <c r="J101" i="24"/>
  <c r="I101" i="24"/>
  <c r="H101" i="24"/>
  <c r="G101" i="24"/>
  <c r="F101" i="24"/>
  <c r="E101" i="24"/>
  <c r="C101" i="24"/>
  <c r="O100" i="24"/>
  <c r="N100" i="24"/>
  <c r="M100" i="24"/>
  <c r="L100" i="24"/>
  <c r="P100" i="24" s="1"/>
  <c r="K100" i="24"/>
  <c r="O99" i="24"/>
  <c r="N99" i="24"/>
  <c r="M99" i="24"/>
  <c r="L99" i="24"/>
  <c r="P99" i="24" s="1"/>
  <c r="K99" i="24"/>
  <c r="O98" i="24"/>
  <c r="N98" i="24"/>
  <c r="M98" i="24"/>
  <c r="L98" i="24"/>
  <c r="P98" i="24" s="1"/>
  <c r="K98" i="24"/>
  <c r="O97" i="24"/>
  <c r="N97" i="24"/>
  <c r="M97" i="24"/>
  <c r="L97" i="24"/>
  <c r="P97" i="24" s="1"/>
  <c r="K97" i="24"/>
  <c r="O96" i="24"/>
  <c r="N96" i="24"/>
  <c r="M96" i="24"/>
  <c r="L96" i="24"/>
  <c r="P96" i="24" s="1"/>
  <c r="K96" i="24"/>
  <c r="O95" i="24"/>
  <c r="N95" i="24"/>
  <c r="M95" i="24"/>
  <c r="L95" i="24"/>
  <c r="P95" i="24" s="1"/>
  <c r="K95" i="24"/>
  <c r="O94" i="24"/>
  <c r="N94" i="24"/>
  <c r="M94" i="24"/>
  <c r="L94" i="24"/>
  <c r="P94" i="24" s="1"/>
  <c r="K94" i="24"/>
  <c r="O93" i="24"/>
  <c r="N93" i="24"/>
  <c r="M93" i="24"/>
  <c r="L93" i="24"/>
  <c r="P93" i="24" s="1"/>
  <c r="K93" i="24"/>
  <c r="O92" i="24"/>
  <c r="N92" i="24"/>
  <c r="M92" i="24"/>
  <c r="L92" i="24"/>
  <c r="P92" i="24" s="1"/>
  <c r="K92" i="24"/>
  <c r="O91" i="24"/>
  <c r="N91" i="24"/>
  <c r="M91" i="24"/>
  <c r="L91" i="24"/>
  <c r="P91" i="24" s="1"/>
  <c r="K91" i="24"/>
  <c r="O90" i="24"/>
  <c r="M90" i="24"/>
  <c r="M101" i="24" s="1"/>
  <c r="L90" i="24"/>
  <c r="P90" i="24" s="1"/>
  <c r="K90" i="24"/>
  <c r="D90" i="24"/>
  <c r="D101" i="24" s="1"/>
  <c r="O89" i="24"/>
  <c r="O102" i="24" s="1"/>
  <c r="N89" i="24"/>
  <c r="M89" i="24"/>
  <c r="L89" i="24"/>
  <c r="P89" i="24" s="1"/>
  <c r="K89" i="24"/>
  <c r="K101" i="24" s="1"/>
  <c r="J82" i="24"/>
  <c r="I82" i="24"/>
  <c r="H82" i="24"/>
  <c r="G82" i="24"/>
  <c r="F82" i="24"/>
  <c r="E82" i="24"/>
  <c r="D82" i="24"/>
  <c r="C82" i="24"/>
  <c r="O81" i="24"/>
  <c r="N81" i="24"/>
  <c r="M81" i="24"/>
  <c r="L81" i="24"/>
  <c r="P81" i="24" s="1"/>
  <c r="K81" i="24"/>
  <c r="O80" i="24"/>
  <c r="N80" i="24"/>
  <c r="M80" i="24"/>
  <c r="L80" i="24"/>
  <c r="P80" i="24" s="1"/>
  <c r="K80" i="24"/>
  <c r="O79" i="24"/>
  <c r="N79" i="24"/>
  <c r="M79" i="24"/>
  <c r="L79" i="24"/>
  <c r="P79" i="24" s="1"/>
  <c r="K79" i="24"/>
  <c r="O78" i="24"/>
  <c r="N78" i="24"/>
  <c r="M78" i="24"/>
  <c r="L78" i="24"/>
  <c r="P78" i="24" s="1"/>
  <c r="K78" i="24"/>
  <c r="O77" i="24"/>
  <c r="N77" i="24"/>
  <c r="M77" i="24"/>
  <c r="L77" i="24"/>
  <c r="P77" i="24" s="1"/>
  <c r="K77" i="24"/>
  <c r="O76" i="24"/>
  <c r="N76" i="24"/>
  <c r="M76" i="24"/>
  <c r="L76" i="24"/>
  <c r="P76" i="24" s="1"/>
  <c r="K76" i="24"/>
  <c r="O75" i="24"/>
  <c r="N75" i="24"/>
  <c r="M75" i="24"/>
  <c r="L75" i="24"/>
  <c r="P75" i="24" s="1"/>
  <c r="K75" i="24"/>
  <c r="O74" i="24"/>
  <c r="N74" i="24"/>
  <c r="M74" i="24"/>
  <c r="L74" i="24"/>
  <c r="P74" i="24" s="1"/>
  <c r="K74" i="24"/>
  <c r="O73" i="24"/>
  <c r="N73" i="24"/>
  <c r="M73" i="24"/>
  <c r="L73" i="24"/>
  <c r="P73" i="24" s="1"/>
  <c r="K73" i="24"/>
  <c r="O72" i="24"/>
  <c r="N72" i="24"/>
  <c r="M72" i="24"/>
  <c r="L72" i="24"/>
  <c r="P72" i="24" s="1"/>
  <c r="K72" i="24"/>
  <c r="O71" i="24"/>
  <c r="N71" i="24"/>
  <c r="M71" i="24"/>
  <c r="L71" i="24"/>
  <c r="P71" i="24" s="1"/>
  <c r="K71" i="24"/>
  <c r="O70" i="24"/>
  <c r="O83" i="24" s="1"/>
  <c r="N70" i="24"/>
  <c r="N82" i="24" s="1"/>
  <c r="M70" i="24"/>
  <c r="M82" i="24" s="1"/>
  <c r="L70" i="24"/>
  <c r="L82" i="24" s="1"/>
  <c r="K70" i="24"/>
  <c r="K82" i="24" s="1"/>
  <c r="J62" i="24"/>
  <c r="I62" i="24"/>
  <c r="H62" i="24"/>
  <c r="G62" i="24"/>
  <c r="F62" i="24"/>
  <c r="E62" i="24"/>
  <c r="D62" i="24"/>
  <c r="C62" i="24"/>
  <c r="O61" i="24"/>
  <c r="N61" i="24"/>
  <c r="M61" i="24"/>
  <c r="L61" i="24"/>
  <c r="P61" i="24" s="1"/>
  <c r="K61" i="24"/>
  <c r="O60" i="24"/>
  <c r="N60" i="24"/>
  <c r="M60" i="24"/>
  <c r="L60" i="24"/>
  <c r="P60" i="24" s="1"/>
  <c r="K60" i="24"/>
  <c r="O59" i="24"/>
  <c r="N59" i="24"/>
  <c r="M59" i="24"/>
  <c r="L59" i="24"/>
  <c r="P59" i="24" s="1"/>
  <c r="K59" i="24"/>
  <c r="O58" i="24"/>
  <c r="N58" i="24"/>
  <c r="M58" i="24"/>
  <c r="L58" i="24"/>
  <c r="P58" i="24" s="1"/>
  <c r="K58" i="24"/>
  <c r="O57" i="24"/>
  <c r="N57" i="24"/>
  <c r="M57" i="24"/>
  <c r="L57" i="24"/>
  <c r="P57" i="24" s="1"/>
  <c r="K57" i="24"/>
  <c r="O56" i="24"/>
  <c r="N56" i="24"/>
  <c r="M56" i="24"/>
  <c r="L56" i="24"/>
  <c r="P56" i="24" s="1"/>
  <c r="K56" i="24"/>
  <c r="O55" i="24"/>
  <c r="N55" i="24"/>
  <c r="M55" i="24"/>
  <c r="L55" i="24"/>
  <c r="P55" i="24" s="1"/>
  <c r="K55" i="24"/>
  <c r="O54" i="24"/>
  <c r="N54" i="24"/>
  <c r="M54" i="24"/>
  <c r="L54" i="24"/>
  <c r="P54" i="24" s="1"/>
  <c r="K54" i="24"/>
  <c r="O53" i="24"/>
  <c r="N53" i="24"/>
  <c r="M53" i="24"/>
  <c r="L53" i="24"/>
  <c r="P53" i="24" s="1"/>
  <c r="K53" i="24"/>
  <c r="O52" i="24"/>
  <c r="N52" i="24"/>
  <c r="M52" i="24"/>
  <c r="L52" i="24"/>
  <c r="P52" i="24" s="1"/>
  <c r="K52" i="24"/>
  <c r="O51" i="24"/>
  <c r="N51" i="24"/>
  <c r="M51" i="24"/>
  <c r="L51" i="24"/>
  <c r="P51" i="24" s="1"/>
  <c r="K51" i="24"/>
  <c r="O50" i="24"/>
  <c r="O63" i="24" s="1"/>
  <c r="N50" i="24"/>
  <c r="N62" i="24" s="1"/>
  <c r="M50" i="24"/>
  <c r="M62" i="24" s="1"/>
  <c r="L50" i="24"/>
  <c r="L62" i="24" s="1"/>
  <c r="K50" i="24"/>
  <c r="K62" i="24" s="1"/>
  <c r="J42" i="24"/>
  <c r="I42" i="24"/>
  <c r="H42" i="24"/>
  <c r="G42" i="24"/>
  <c r="F42" i="24"/>
  <c r="E42" i="24"/>
  <c r="D42" i="24"/>
  <c r="C42" i="24"/>
  <c r="O41" i="24"/>
  <c r="N41" i="24"/>
  <c r="M41" i="24"/>
  <c r="L41" i="24"/>
  <c r="P41" i="24" s="1"/>
  <c r="K41" i="24"/>
  <c r="O40" i="24"/>
  <c r="N40" i="24"/>
  <c r="M40" i="24"/>
  <c r="L40" i="24"/>
  <c r="P40" i="24" s="1"/>
  <c r="K40" i="24"/>
  <c r="O39" i="24"/>
  <c r="N39" i="24"/>
  <c r="M39" i="24"/>
  <c r="L39" i="24"/>
  <c r="P39" i="24" s="1"/>
  <c r="K39" i="24"/>
  <c r="O38" i="24"/>
  <c r="N38" i="24"/>
  <c r="M38" i="24"/>
  <c r="L38" i="24"/>
  <c r="P38" i="24" s="1"/>
  <c r="K38" i="24"/>
  <c r="O37" i="24"/>
  <c r="N37" i="24"/>
  <c r="M37" i="24"/>
  <c r="L37" i="24"/>
  <c r="P37" i="24" s="1"/>
  <c r="K37" i="24"/>
  <c r="O36" i="24"/>
  <c r="N36" i="24"/>
  <c r="M36" i="24"/>
  <c r="L36" i="24"/>
  <c r="P36" i="24" s="1"/>
  <c r="K36" i="24"/>
  <c r="O35" i="24"/>
  <c r="N35" i="24"/>
  <c r="M35" i="24"/>
  <c r="L35" i="24"/>
  <c r="P35" i="24" s="1"/>
  <c r="K35" i="24"/>
  <c r="O34" i="24"/>
  <c r="N34" i="24"/>
  <c r="M34" i="24"/>
  <c r="L34" i="24"/>
  <c r="P34" i="24" s="1"/>
  <c r="K34" i="24"/>
  <c r="O33" i="24"/>
  <c r="N33" i="24"/>
  <c r="M33" i="24"/>
  <c r="L33" i="24"/>
  <c r="P33" i="24" s="1"/>
  <c r="K33" i="24"/>
  <c r="O32" i="24"/>
  <c r="N32" i="24"/>
  <c r="M32" i="24"/>
  <c r="L32" i="24"/>
  <c r="P32" i="24" s="1"/>
  <c r="K32" i="24"/>
  <c r="O31" i="24"/>
  <c r="N31" i="24"/>
  <c r="M31" i="24"/>
  <c r="L31" i="24"/>
  <c r="P31" i="24" s="1"/>
  <c r="K31" i="24"/>
  <c r="O30" i="24"/>
  <c r="O43" i="24" s="1"/>
  <c r="N30" i="24"/>
  <c r="N42" i="24" s="1"/>
  <c r="M30" i="24"/>
  <c r="M42" i="24" s="1"/>
  <c r="L30" i="24"/>
  <c r="L42" i="24" s="1"/>
  <c r="K30" i="24"/>
  <c r="K42" i="24" s="1"/>
  <c r="B4" i="24"/>
  <c r="N45" i="23"/>
  <c r="M45" i="23"/>
  <c r="L45" i="23"/>
  <c r="I45" i="23"/>
  <c r="H45" i="23"/>
  <c r="G45" i="23"/>
  <c r="C45" i="23"/>
  <c r="B45" i="23"/>
  <c r="AC24" i="23"/>
  <c r="AB24" i="23"/>
  <c r="AA24" i="23"/>
  <c r="X24" i="23"/>
  <c r="W24" i="23"/>
  <c r="V24" i="23"/>
  <c r="S24" i="23"/>
  <c r="R24" i="23"/>
  <c r="Q24" i="23"/>
  <c r="N24" i="23"/>
  <c r="M24" i="23"/>
  <c r="L24" i="23"/>
  <c r="I24" i="23"/>
  <c r="H24" i="23"/>
  <c r="G24" i="23"/>
  <c r="D24" i="23"/>
  <c r="C24" i="23"/>
  <c r="B24" i="23"/>
  <c r="B4" i="23"/>
  <c r="AF15" i="23" l="1"/>
  <c r="AF19" i="23"/>
  <c r="AF14" i="23"/>
  <c r="AF16" i="23"/>
  <c r="AF18" i="23"/>
  <c r="AF20" i="23"/>
  <c r="AF21" i="23"/>
  <c r="AF12" i="23"/>
  <c r="P24" i="23"/>
  <c r="AE24" i="23"/>
  <c r="U24" i="23"/>
  <c r="F24" i="23"/>
  <c r="AF13" i="23"/>
  <c r="AF22" i="23"/>
  <c r="P45" i="23"/>
  <c r="AF23" i="23"/>
  <c r="AF17" i="23"/>
  <c r="P102" i="24"/>
  <c r="P50" i="24"/>
  <c r="P63" i="24" s="1"/>
  <c r="F11" i="25"/>
  <c r="F24" i="25" s="1"/>
  <c r="R42" i="25"/>
  <c r="N90" i="24"/>
  <c r="N101" i="24" s="1"/>
  <c r="L101" i="24"/>
  <c r="O23" i="25"/>
  <c r="Z24" i="23"/>
  <c r="P30" i="24"/>
  <c r="P43" i="24" s="1"/>
  <c r="P70" i="24"/>
  <c r="P83" i="24" s="1"/>
  <c r="L25" i="23" l="1"/>
  <c r="AF24" i="23"/>
  <c r="AF25" i="23" s="1"/>
  <c r="B93" i="16" l="1"/>
  <c r="B93" i="8"/>
  <c r="B93" i="7"/>
  <c r="B93" i="6"/>
  <c r="B93" i="4"/>
  <c r="B93" i="13"/>
  <c r="B93" i="14"/>
  <c r="B96" i="16"/>
  <c r="B97" i="16"/>
  <c r="B98" i="16"/>
  <c r="B99" i="16"/>
  <c r="B96" i="9"/>
  <c r="B97" i="9"/>
  <c r="B98" i="9"/>
  <c r="B99" i="9"/>
  <c r="B96" i="8"/>
  <c r="B97" i="8"/>
  <c r="B98" i="8"/>
  <c r="B99" i="8"/>
  <c r="B96" i="7"/>
  <c r="B97" i="7"/>
  <c r="B98" i="7"/>
  <c r="B99" i="7"/>
  <c r="B96" i="6"/>
  <c r="B97" i="6"/>
  <c r="B98" i="6"/>
  <c r="B99" i="6"/>
  <c r="B96" i="4"/>
  <c r="B97" i="4"/>
  <c r="B98" i="4"/>
  <c r="B99" i="4"/>
  <c r="B96" i="1"/>
  <c r="B97" i="1"/>
  <c r="B98" i="1"/>
  <c r="B99" i="1"/>
  <c r="B96" i="12"/>
  <c r="B97" i="12"/>
  <c r="B98" i="12"/>
  <c r="B99" i="12"/>
  <c r="B96" i="13"/>
  <c r="B97" i="13"/>
  <c r="B98" i="13"/>
  <c r="B99" i="13"/>
  <c r="B96" i="14"/>
  <c r="B97" i="14"/>
  <c r="B98" i="14"/>
  <c r="B99" i="14"/>
  <c r="B96" i="15"/>
  <c r="B97" i="15"/>
  <c r="B98" i="15"/>
  <c r="B99" i="15"/>
  <c r="B159" i="16" l="1"/>
  <c r="B156" i="16"/>
  <c r="B153" i="16"/>
  <c r="C113" i="16" l="1"/>
  <c r="C110" i="16"/>
  <c r="B103" i="16"/>
  <c r="B102" i="16"/>
  <c r="B58" i="16"/>
  <c r="B159" i="15" l="1"/>
  <c r="B156" i="15"/>
  <c r="B153" i="15"/>
  <c r="C113" i="15"/>
  <c r="C115" i="15" s="1"/>
  <c r="C110" i="15"/>
  <c r="B103" i="15"/>
  <c r="B102" i="15"/>
  <c r="D28" i="13" l="1"/>
  <c r="D28" i="12"/>
  <c r="C115" i="11"/>
  <c r="C115" i="16"/>
  <c r="D28" i="10"/>
  <c r="C112" i="11"/>
  <c r="C116" i="11" s="1"/>
  <c r="C117" i="11" s="1"/>
  <c r="C112" i="16"/>
  <c r="C112" i="15"/>
  <c r="C112" i="12"/>
  <c r="C116" i="12" s="1"/>
  <c r="C112" i="1"/>
  <c r="D28" i="1" s="1"/>
  <c r="C112" i="6"/>
  <c r="D28" i="6" s="1"/>
  <c r="C112" i="7"/>
  <c r="D28" i="7" s="1"/>
  <c r="C112" i="8"/>
  <c r="C117" i="8" s="1"/>
  <c r="C112" i="9"/>
  <c r="C112" i="10"/>
  <c r="C112" i="14"/>
  <c r="D28" i="14" s="1"/>
  <c r="D28" i="4" l="1"/>
  <c r="C116" i="9"/>
  <c r="D28" i="9" s="1"/>
  <c r="C116" i="16"/>
  <c r="D28" i="16" s="1"/>
  <c r="C116" i="15"/>
  <c r="B58" i="14"/>
  <c r="D28" i="15" l="1"/>
  <c r="B159" i="14"/>
  <c r="B156" i="14"/>
  <c r="B153" i="14"/>
  <c r="B103" i="14"/>
  <c r="B102" i="14"/>
  <c r="B107" i="12" l="1"/>
  <c r="E20" i="12"/>
  <c r="E97" i="13"/>
  <c r="E96" i="13"/>
  <c r="D13" i="13"/>
  <c r="B159" i="13"/>
  <c r="B156" i="13"/>
  <c r="B153" i="13"/>
  <c r="B103" i="13"/>
  <c r="B102" i="13"/>
  <c r="B58" i="13"/>
  <c r="E100" i="12" l="1"/>
  <c r="E97" i="12"/>
  <c r="E96" i="12"/>
  <c r="G93" i="12"/>
  <c r="D13" i="12" l="1"/>
  <c r="B159" i="12" l="1"/>
  <c r="B156" i="12"/>
  <c r="B153" i="12"/>
  <c r="B103" i="12"/>
  <c r="B102" i="12"/>
  <c r="D93" i="12"/>
  <c r="B58" i="12"/>
  <c r="D13" i="1" l="1"/>
  <c r="C73" i="1" l="1"/>
  <c r="C74" i="1" s="1"/>
  <c r="C76" i="1" s="1"/>
  <c r="C72" i="1"/>
  <c r="B159" i="1"/>
  <c r="B156" i="1"/>
  <c r="B153" i="1"/>
  <c r="B103" i="1" l="1"/>
  <c r="B102" i="1"/>
  <c r="B58" i="1"/>
  <c r="D13" i="4" l="1"/>
  <c r="E73" i="4" l="1"/>
  <c r="B159" i="4"/>
  <c r="B156" i="4"/>
  <c r="B153" i="4"/>
  <c r="B103" i="4"/>
  <c r="B102" i="4"/>
  <c r="E70" i="4" l="1"/>
  <c r="E74" i="4" s="1"/>
  <c r="E76" i="4" s="1"/>
  <c r="D13" i="6" l="1"/>
  <c r="B159" i="6"/>
  <c r="B156" i="6"/>
  <c r="B153" i="6"/>
  <c r="B103" i="6"/>
  <c r="B102" i="6"/>
  <c r="N87" i="7" l="1"/>
  <c r="N84" i="7"/>
  <c r="N85" i="7"/>
  <c r="N83" i="7"/>
  <c r="N82" i="7"/>
  <c r="M87" i="7"/>
  <c r="L87" i="7"/>
  <c r="D13" i="7" l="1"/>
  <c r="B159" i="7" l="1"/>
  <c r="B156" i="7"/>
  <c r="B153" i="7"/>
  <c r="B103" i="7"/>
  <c r="B102" i="7"/>
  <c r="B58" i="7"/>
  <c r="C60" i="7" l="1"/>
  <c r="D13" i="8" l="1"/>
  <c r="B159" i="8"/>
  <c r="B156" i="8"/>
  <c r="B153" i="8"/>
  <c r="B103" i="8"/>
  <c r="B102" i="8"/>
  <c r="C76" i="8"/>
  <c r="B159" i="9" l="1"/>
  <c r="B156" i="9"/>
  <c r="B153" i="9"/>
  <c r="E70" i="10" l="1"/>
  <c r="C74" i="10" l="1"/>
  <c r="C73" i="10"/>
  <c r="C72" i="10"/>
  <c r="C71" i="10"/>
  <c r="D153" i="16" l="1"/>
  <c r="D154" i="16" s="1"/>
  <c r="D153" i="15"/>
  <c r="D154" i="15" s="1"/>
  <c r="D153" i="14"/>
  <c r="D154" i="14" s="1"/>
  <c r="D153" i="13"/>
  <c r="D154" i="13" s="1"/>
  <c r="D153" i="12"/>
  <c r="D154" i="12" s="1"/>
  <c r="D153" i="1"/>
  <c r="D154" i="1" s="1"/>
  <c r="D153" i="4"/>
  <c r="D154" i="4" s="1"/>
  <c r="D153" i="6"/>
  <c r="D154" i="6" s="1"/>
  <c r="D153" i="7"/>
  <c r="D154" i="7" s="1"/>
  <c r="D153" i="8"/>
  <c r="D154" i="8" s="1"/>
  <c r="D153" i="9"/>
  <c r="D154" i="9" s="1"/>
  <c r="D153" i="10"/>
  <c r="D153" i="11" l="1"/>
  <c r="D154" i="11" s="1"/>
  <c r="D154" i="10"/>
  <c r="E63" i="4" l="1"/>
  <c r="E63" i="6"/>
  <c r="E63" i="7"/>
  <c r="E63" i="8"/>
  <c r="E63" i="9"/>
  <c r="E63" i="10"/>
  <c r="E63" i="1"/>
  <c r="D13" i="16" l="1"/>
  <c r="B82" i="11"/>
  <c r="E63" i="16" l="1"/>
  <c r="D13" i="15" l="1"/>
  <c r="E8" i="15"/>
  <c r="E63" i="15" l="1"/>
  <c r="D159" i="14" l="1"/>
  <c r="D160" i="14" s="1"/>
  <c r="D159" i="16"/>
  <c r="D160" i="16" s="1"/>
  <c r="D159" i="15"/>
  <c r="D160" i="15" s="1"/>
  <c r="D159" i="13"/>
  <c r="D160" i="13" s="1"/>
  <c r="D159" i="12"/>
  <c r="D160" i="12" s="1"/>
  <c r="D159" i="1"/>
  <c r="D160" i="1" s="1"/>
  <c r="D159" i="4"/>
  <c r="D160" i="4" s="1"/>
  <c r="D159" i="6"/>
  <c r="D160" i="6" s="1"/>
  <c r="D159" i="7"/>
  <c r="D160" i="7" s="1"/>
  <c r="D159" i="8"/>
  <c r="D160" i="8" s="1"/>
  <c r="D159" i="9"/>
  <c r="D160" i="9" s="1"/>
  <c r="D159" i="10"/>
  <c r="D160" i="10" l="1"/>
  <c r="D160" i="11" s="1"/>
  <c r="D159" i="11"/>
  <c r="B145" i="14"/>
  <c r="D13" i="14" l="1"/>
  <c r="E26" i="12" l="1"/>
  <c r="E26" i="1"/>
  <c r="E26" i="4"/>
  <c r="E26" i="6"/>
  <c r="E26" i="7"/>
  <c r="E26" i="8"/>
  <c r="E26" i="13"/>
  <c r="E26" i="16"/>
  <c r="E26" i="15"/>
  <c r="E26" i="14"/>
  <c r="D156" i="14" l="1"/>
  <c r="E63" i="14" l="1"/>
  <c r="E63" i="13" l="1"/>
  <c r="E63" i="12" l="1"/>
  <c r="E37" i="1" l="1"/>
  <c r="B170" i="11" l="1"/>
  <c r="B148" i="11"/>
  <c r="B143" i="11"/>
  <c r="B142" i="11"/>
  <c r="C131" i="11"/>
  <c r="C130" i="11"/>
  <c r="C129" i="11"/>
  <c r="B91" i="11"/>
  <c r="B84" i="11"/>
  <c r="B85" i="11"/>
  <c r="B83" i="11" l="1"/>
  <c r="C51" i="11"/>
  <c r="C50" i="11"/>
  <c r="C47" i="11"/>
  <c r="G25" i="11"/>
  <c r="G18" i="11"/>
  <c r="G17" i="11"/>
  <c r="G11" i="11"/>
  <c r="G10" i="11"/>
  <c r="G9" i="11"/>
  <c r="G8" i="11"/>
  <c r="C170" i="16"/>
  <c r="E25" i="16" s="1"/>
  <c r="D156" i="16"/>
  <c r="D157" i="16" s="1"/>
  <c r="B150" i="16"/>
  <c r="B145" i="16"/>
  <c r="C136" i="16"/>
  <c r="E22" i="16" s="1"/>
  <c r="D103" i="16"/>
  <c r="D102" i="16"/>
  <c r="D99" i="16"/>
  <c r="D98" i="16"/>
  <c r="D97" i="16"/>
  <c r="D96" i="16"/>
  <c r="D93" i="16"/>
  <c r="B87" i="16"/>
  <c r="C86" i="16"/>
  <c r="C85" i="16"/>
  <c r="C84" i="16"/>
  <c r="C83" i="16"/>
  <c r="C82" i="16"/>
  <c r="E73" i="16"/>
  <c r="E70" i="16"/>
  <c r="C53" i="16"/>
  <c r="K23" i="23" s="1"/>
  <c r="E38" i="16"/>
  <c r="F44" i="23" s="1"/>
  <c r="E37" i="16"/>
  <c r="K44" i="23" s="1"/>
  <c r="E13" i="16"/>
  <c r="E11" i="16"/>
  <c r="E10" i="16"/>
  <c r="E9" i="16"/>
  <c r="E8" i="16"/>
  <c r="J8" i="16" s="1"/>
  <c r="C170" i="15"/>
  <c r="E25" i="15" s="1"/>
  <c r="D156" i="15"/>
  <c r="D157" i="15" s="1"/>
  <c r="B150" i="15"/>
  <c r="E14" i="15" s="1"/>
  <c r="B145" i="15"/>
  <c r="C136" i="15"/>
  <c r="E22" i="15" s="1"/>
  <c r="C133" i="15"/>
  <c r="B137" i="15" s="1"/>
  <c r="C137" i="15" s="1"/>
  <c r="D103" i="15"/>
  <c r="D102" i="15"/>
  <c r="D99" i="15"/>
  <c r="D98" i="15"/>
  <c r="D97" i="15"/>
  <c r="D96" i="15"/>
  <c r="D93" i="15"/>
  <c r="B87" i="15"/>
  <c r="C86" i="15"/>
  <c r="C85" i="15"/>
  <c r="C84" i="15"/>
  <c r="C83" i="15"/>
  <c r="C82" i="15"/>
  <c r="C76" i="15"/>
  <c r="E73" i="15"/>
  <c r="E70" i="15"/>
  <c r="C53" i="15"/>
  <c r="K22" i="23" s="1"/>
  <c r="E38" i="15"/>
  <c r="F43" i="23" s="1"/>
  <c r="E37" i="15"/>
  <c r="K43" i="23" s="1"/>
  <c r="E13" i="15"/>
  <c r="E11" i="15"/>
  <c r="E10" i="15"/>
  <c r="E9" i="15"/>
  <c r="J8" i="15"/>
  <c r="C170" i="14"/>
  <c r="E25" i="14" s="1"/>
  <c r="D157" i="14"/>
  <c r="B163" i="14" s="1"/>
  <c r="B165" i="14" s="1"/>
  <c r="B150" i="14"/>
  <c r="E15" i="14"/>
  <c r="C136" i="14"/>
  <c r="E22" i="14" s="1"/>
  <c r="C133" i="14"/>
  <c r="B137" i="14" s="1"/>
  <c r="C137" i="14" s="1"/>
  <c r="D103" i="14"/>
  <c r="D102" i="14"/>
  <c r="D99" i="14"/>
  <c r="D98" i="14"/>
  <c r="D97" i="14"/>
  <c r="D96" i="14"/>
  <c r="D93" i="14"/>
  <c r="B87" i="14"/>
  <c r="C86" i="14"/>
  <c r="C85" i="14"/>
  <c r="C84" i="14"/>
  <c r="C83" i="14"/>
  <c r="C82" i="14"/>
  <c r="C76" i="14"/>
  <c r="E73" i="14"/>
  <c r="E70" i="14"/>
  <c r="C53" i="14"/>
  <c r="K21" i="23" s="1"/>
  <c r="E38" i="14"/>
  <c r="F42" i="23" s="1"/>
  <c r="E37" i="14"/>
  <c r="K42" i="23" s="1"/>
  <c r="E13" i="14"/>
  <c r="E11" i="14"/>
  <c r="E10" i="14"/>
  <c r="E9" i="14"/>
  <c r="E8" i="14"/>
  <c r="J8" i="14" s="1"/>
  <c r="C170" i="13"/>
  <c r="E25" i="13" s="1"/>
  <c r="D156" i="13"/>
  <c r="D157" i="13" s="1"/>
  <c r="B150" i="13"/>
  <c r="E14" i="13" s="1"/>
  <c r="B145" i="13"/>
  <c r="E15" i="13" s="1"/>
  <c r="C136" i="13"/>
  <c r="E22" i="13" s="1"/>
  <c r="C133" i="13"/>
  <c r="B137" i="13" s="1"/>
  <c r="C137" i="13" s="1"/>
  <c r="D103" i="13"/>
  <c r="D102" i="13"/>
  <c r="D99" i="13"/>
  <c r="E99" i="13" s="1"/>
  <c r="E100" i="13" s="1"/>
  <c r="B107" i="13" s="1"/>
  <c r="D98" i="13"/>
  <c r="D97" i="13"/>
  <c r="D96" i="13"/>
  <c r="D93" i="13"/>
  <c r="B87" i="13"/>
  <c r="C86" i="13"/>
  <c r="C85" i="13"/>
  <c r="C84" i="13"/>
  <c r="C83" i="13"/>
  <c r="C82" i="13"/>
  <c r="E73" i="13"/>
  <c r="E70" i="13"/>
  <c r="C53" i="13"/>
  <c r="K20" i="23" s="1"/>
  <c r="E38" i="13"/>
  <c r="E37" i="13"/>
  <c r="E13" i="13"/>
  <c r="E11" i="13"/>
  <c r="E10" i="13"/>
  <c r="E9" i="13"/>
  <c r="E8" i="13"/>
  <c r="J8" i="13" s="1"/>
  <c r="K45" i="23" l="1"/>
  <c r="E12" i="14"/>
  <c r="B163" i="13"/>
  <c r="B165" i="13" s="1"/>
  <c r="E24" i="13" s="1"/>
  <c r="B163" i="15"/>
  <c r="B165" i="15" s="1"/>
  <c r="E24" i="15" s="1"/>
  <c r="E15" i="15"/>
  <c r="C60" i="16"/>
  <c r="E17" i="16" s="1"/>
  <c r="C60" i="13"/>
  <c r="E17" i="13" s="1"/>
  <c r="C60" i="14"/>
  <c r="E17" i="14" s="1"/>
  <c r="E12" i="16"/>
  <c r="E12" i="13"/>
  <c r="E12" i="15"/>
  <c r="B163" i="16"/>
  <c r="B165" i="16" s="1"/>
  <c r="E24" i="16" s="1"/>
  <c r="E24" i="14"/>
  <c r="E14" i="16"/>
  <c r="E39" i="15"/>
  <c r="E74" i="16"/>
  <c r="E76" i="16" s="1"/>
  <c r="D27" i="16" s="1"/>
  <c r="E39" i="14"/>
  <c r="E74" i="14"/>
  <c r="E76" i="14" s="1"/>
  <c r="D27" i="14" s="1"/>
  <c r="D104" i="13"/>
  <c r="B108" i="13" s="1"/>
  <c r="E21" i="13" s="1"/>
  <c r="C87" i="13"/>
  <c r="C87" i="14"/>
  <c r="D100" i="14"/>
  <c r="B107" i="14" s="1"/>
  <c r="E20" i="14" s="1"/>
  <c r="E74" i="15"/>
  <c r="E76" i="15" s="1"/>
  <c r="D27" i="15" s="1"/>
  <c r="E39" i="16"/>
  <c r="D104" i="16"/>
  <c r="B108" i="16" s="1"/>
  <c r="E21" i="16" s="1"/>
  <c r="C87" i="15"/>
  <c r="C122" i="15" s="1"/>
  <c r="D29" i="15" s="1"/>
  <c r="D104" i="14"/>
  <c r="B108" i="14" s="1"/>
  <c r="E21" i="14" s="1"/>
  <c r="D100" i="13"/>
  <c r="E20" i="13" s="1"/>
  <c r="D100" i="16"/>
  <c r="B107" i="16" s="1"/>
  <c r="E20" i="16" s="1"/>
  <c r="E39" i="13"/>
  <c r="E74" i="13"/>
  <c r="E76" i="13" s="1"/>
  <c r="D27" i="13" s="1"/>
  <c r="D100" i="15"/>
  <c r="B107" i="15" s="1"/>
  <c r="E20" i="15" s="1"/>
  <c r="D104" i="15"/>
  <c r="B108" i="15" s="1"/>
  <c r="E21" i="15" s="1"/>
  <c r="E15" i="16"/>
  <c r="C87" i="16"/>
  <c r="E16" i="15"/>
  <c r="E23" i="15"/>
  <c r="E23" i="14"/>
  <c r="E16" i="14"/>
  <c r="E14" i="14"/>
  <c r="E16" i="13"/>
  <c r="E23" i="13"/>
  <c r="C170" i="12"/>
  <c r="E25" i="12" s="1"/>
  <c r="D156" i="12"/>
  <c r="D157" i="12" s="1"/>
  <c r="B150" i="12"/>
  <c r="E14" i="12" s="1"/>
  <c r="B145" i="12"/>
  <c r="E15" i="12" s="1"/>
  <c r="C136" i="12"/>
  <c r="E22" i="12" s="1"/>
  <c r="C133" i="12"/>
  <c r="B137" i="12" s="1"/>
  <c r="C137" i="12" s="1"/>
  <c r="D103" i="12"/>
  <c r="D102" i="12"/>
  <c r="D99" i="12"/>
  <c r="D98" i="12"/>
  <c r="D97" i="12"/>
  <c r="D96" i="12"/>
  <c r="B87" i="12"/>
  <c r="B86" i="11" s="1"/>
  <c r="C86" i="12"/>
  <c r="C85" i="12"/>
  <c r="C84" i="12"/>
  <c r="C83" i="12"/>
  <c r="C82" i="12"/>
  <c r="C76" i="12"/>
  <c r="E73" i="12"/>
  <c r="E70" i="12"/>
  <c r="C53" i="12"/>
  <c r="K19" i="23" s="1"/>
  <c r="E38" i="12"/>
  <c r="E37" i="12"/>
  <c r="E13" i="12"/>
  <c r="E11" i="12"/>
  <c r="E10" i="12"/>
  <c r="E9" i="12"/>
  <c r="E8" i="12"/>
  <c r="J8" i="12" s="1"/>
  <c r="C170" i="11"/>
  <c r="E25" i="11" s="1"/>
  <c r="D91" i="11"/>
  <c r="C85" i="11"/>
  <c r="C84" i="11"/>
  <c r="C83" i="11"/>
  <c r="C82" i="11"/>
  <c r="E73" i="11"/>
  <c r="E70" i="11"/>
  <c r="E38" i="11"/>
  <c r="E37" i="11"/>
  <c r="E10" i="11"/>
  <c r="E9" i="11"/>
  <c r="E8" i="11"/>
  <c r="J8" i="11" s="1"/>
  <c r="C53" i="10"/>
  <c r="K12" i="23" s="1"/>
  <c r="C170" i="10"/>
  <c r="E25" i="10" s="1"/>
  <c r="D156" i="10"/>
  <c r="B150" i="10"/>
  <c r="E14" i="10" s="1"/>
  <c r="B145" i="10"/>
  <c r="C136" i="10"/>
  <c r="E22" i="10" s="1"/>
  <c r="C133" i="10"/>
  <c r="B137" i="10" s="1"/>
  <c r="C137" i="10" s="1"/>
  <c r="D103" i="10"/>
  <c r="D102" i="10"/>
  <c r="D99" i="10"/>
  <c r="D98" i="10"/>
  <c r="D97" i="10"/>
  <c r="D96" i="10"/>
  <c r="D93" i="10"/>
  <c r="D91" i="10"/>
  <c r="B87" i="10"/>
  <c r="C86" i="10"/>
  <c r="C85" i="10"/>
  <c r="C84" i="10"/>
  <c r="C83" i="10"/>
  <c r="C82" i="10"/>
  <c r="C76" i="10"/>
  <c r="E73" i="10"/>
  <c r="E38" i="10"/>
  <c r="E37" i="10"/>
  <c r="E11" i="10"/>
  <c r="E10" i="10"/>
  <c r="E9" i="10"/>
  <c r="E8" i="10"/>
  <c r="J8" i="10" s="1"/>
  <c r="C170" i="9"/>
  <c r="E25" i="9" s="1"/>
  <c r="D156" i="9"/>
  <c r="D157" i="9" s="1"/>
  <c r="B163" i="9" s="1"/>
  <c r="B150" i="9"/>
  <c r="E14" i="9" s="1"/>
  <c r="B145" i="9"/>
  <c r="E15" i="9" s="1"/>
  <c r="C136" i="9"/>
  <c r="E22" i="9" s="1"/>
  <c r="C133" i="9"/>
  <c r="B137" i="9" s="1"/>
  <c r="C137" i="9" s="1"/>
  <c r="D103" i="9"/>
  <c r="D102" i="9"/>
  <c r="D99" i="9"/>
  <c r="D98" i="9"/>
  <c r="D97" i="9"/>
  <c r="D96" i="9"/>
  <c r="D93" i="9"/>
  <c r="C86" i="9"/>
  <c r="C85" i="9"/>
  <c r="C84" i="9"/>
  <c r="C83" i="9"/>
  <c r="C82" i="9"/>
  <c r="C76" i="9"/>
  <c r="E73" i="9"/>
  <c r="C53" i="9"/>
  <c r="K13" i="23" s="1"/>
  <c r="E38" i="9"/>
  <c r="E37" i="9"/>
  <c r="E13" i="9"/>
  <c r="E11" i="9"/>
  <c r="E10" i="9"/>
  <c r="E9" i="9"/>
  <c r="E8" i="9"/>
  <c r="J8" i="9" s="1"/>
  <c r="C170" i="8"/>
  <c r="E25" i="8" s="1"/>
  <c r="D156" i="8"/>
  <c r="D157" i="8" s="1"/>
  <c r="B163" i="8" s="1"/>
  <c r="B150" i="8"/>
  <c r="E14" i="8" s="1"/>
  <c r="B145" i="8"/>
  <c r="E15" i="8" s="1"/>
  <c r="C136" i="8"/>
  <c r="E22" i="8" s="1"/>
  <c r="C133" i="8"/>
  <c r="B137" i="8" s="1"/>
  <c r="C137" i="8" s="1"/>
  <c r="D103" i="8"/>
  <c r="D102" i="8"/>
  <c r="D99" i="8"/>
  <c r="D98" i="8"/>
  <c r="D97" i="8"/>
  <c r="D96" i="8"/>
  <c r="D93" i="8"/>
  <c r="B87" i="8"/>
  <c r="C86" i="8"/>
  <c r="C85" i="8"/>
  <c r="C84" i="8"/>
  <c r="C83" i="8"/>
  <c r="C82" i="8"/>
  <c r="E73" i="8"/>
  <c r="E70" i="8"/>
  <c r="C53" i="8"/>
  <c r="K14" i="23" s="1"/>
  <c r="E38" i="8"/>
  <c r="F35" i="23" s="1"/>
  <c r="F45" i="23" s="1"/>
  <c r="E37" i="8"/>
  <c r="E13" i="8"/>
  <c r="E11" i="8"/>
  <c r="E10" i="8"/>
  <c r="E9" i="8"/>
  <c r="E8" i="8"/>
  <c r="J8" i="8" s="1"/>
  <c r="C170" i="7"/>
  <c r="E25" i="7" s="1"/>
  <c r="D156" i="7"/>
  <c r="D157" i="7" s="1"/>
  <c r="B163" i="7" s="1"/>
  <c r="B150" i="7"/>
  <c r="E14" i="7" s="1"/>
  <c r="B145" i="7"/>
  <c r="E15" i="7" s="1"/>
  <c r="C136" i="7"/>
  <c r="E22" i="7" s="1"/>
  <c r="C133" i="7"/>
  <c r="B137" i="7" s="1"/>
  <c r="C137" i="7" s="1"/>
  <c r="D103" i="7"/>
  <c r="D102" i="7"/>
  <c r="D99" i="7"/>
  <c r="D98" i="7"/>
  <c r="D97" i="7"/>
  <c r="D96" i="7"/>
  <c r="D93" i="7"/>
  <c r="B87" i="7"/>
  <c r="C86" i="7"/>
  <c r="C85" i="7"/>
  <c r="C84" i="7"/>
  <c r="C83" i="7"/>
  <c r="C82" i="7"/>
  <c r="C76" i="7"/>
  <c r="E73" i="7"/>
  <c r="E70" i="7"/>
  <c r="C53" i="7"/>
  <c r="K15" i="23" s="1"/>
  <c r="E38" i="7"/>
  <c r="E37" i="7"/>
  <c r="E13" i="7"/>
  <c r="E11" i="7"/>
  <c r="E10" i="7"/>
  <c r="E9" i="7"/>
  <c r="E8" i="7"/>
  <c r="J8" i="7" s="1"/>
  <c r="C170" i="6"/>
  <c r="E25" i="6" s="1"/>
  <c r="D156" i="6"/>
  <c r="D157" i="6" s="1"/>
  <c r="B150" i="6"/>
  <c r="E14" i="6" s="1"/>
  <c r="B145" i="6"/>
  <c r="E15" i="6" s="1"/>
  <c r="C136" i="6"/>
  <c r="E22" i="6" s="1"/>
  <c r="C133" i="6"/>
  <c r="B137" i="6" s="1"/>
  <c r="C137" i="6" s="1"/>
  <c r="D103" i="6"/>
  <c r="D102" i="6"/>
  <c r="D99" i="6"/>
  <c r="D98" i="6"/>
  <c r="D97" i="6"/>
  <c r="D96" i="6"/>
  <c r="D93" i="6"/>
  <c r="B87" i="6"/>
  <c r="C86" i="6"/>
  <c r="C85" i="6"/>
  <c r="C84" i="6"/>
  <c r="C83" i="6"/>
  <c r="C82" i="6"/>
  <c r="C76" i="6"/>
  <c r="E73" i="6"/>
  <c r="E70" i="6"/>
  <c r="C53" i="6"/>
  <c r="K16" i="23" s="1"/>
  <c r="E38" i="6"/>
  <c r="E13" i="6"/>
  <c r="E11" i="6"/>
  <c r="E10" i="6"/>
  <c r="E9" i="6"/>
  <c r="E8" i="6"/>
  <c r="J8" i="6" s="1"/>
  <c r="E13" i="4"/>
  <c r="E11" i="4"/>
  <c r="E10" i="4"/>
  <c r="E9" i="4"/>
  <c r="E8" i="4"/>
  <c r="J8" i="4" s="1"/>
  <c r="E13" i="1"/>
  <c r="E11" i="1"/>
  <c r="E10" i="1"/>
  <c r="E9" i="1"/>
  <c r="E8" i="1"/>
  <c r="J8" i="1" s="1"/>
  <c r="D93" i="4"/>
  <c r="C170" i="4"/>
  <c r="E25" i="4" s="1"/>
  <c r="D156" i="4"/>
  <c r="D157" i="4" s="1"/>
  <c r="B150" i="4"/>
  <c r="E14" i="4" s="1"/>
  <c r="B145" i="4"/>
  <c r="E15" i="4" s="1"/>
  <c r="C136" i="4"/>
  <c r="E22" i="4" s="1"/>
  <c r="C133" i="4"/>
  <c r="B137" i="4" s="1"/>
  <c r="C137" i="4" s="1"/>
  <c r="D103" i="4"/>
  <c r="D102" i="4"/>
  <c r="D99" i="4"/>
  <c r="D98" i="4"/>
  <c r="D97" i="4"/>
  <c r="D96" i="4"/>
  <c r="B87" i="4"/>
  <c r="C86" i="4"/>
  <c r="C85" i="4"/>
  <c r="C83" i="4"/>
  <c r="C82" i="4"/>
  <c r="C76" i="4"/>
  <c r="C53" i="4"/>
  <c r="E38" i="4"/>
  <c r="E37" i="4"/>
  <c r="E73" i="1"/>
  <c r="E70" i="1"/>
  <c r="C170" i="1"/>
  <c r="E25" i="1" s="1"/>
  <c r="D156" i="1"/>
  <c r="D157" i="1" s="1"/>
  <c r="B163" i="1" s="1"/>
  <c r="B150" i="1"/>
  <c r="E14" i="1" s="1"/>
  <c r="B145" i="1"/>
  <c r="E15" i="1" s="1"/>
  <c r="C136" i="1"/>
  <c r="E22" i="1" s="1"/>
  <c r="C133" i="1"/>
  <c r="B137" i="1" s="1"/>
  <c r="C137" i="1" s="1"/>
  <c r="E16" i="1" s="1"/>
  <c r="D103" i="1"/>
  <c r="D102" i="1"/>
  <c r="D99" i="1"/>
  <c r="D98" i="1"/>
  <c r="D97" i="1"/>
  <c r="D96" i="1"/>
  <c r="D93" i="1"/>
  <c r="B87" i="1"/>
  <c r="C86" i="1"/>
  <c r="C85" i="1"/>
  <c r="C84" i="1"/>
  <c r="C83" i="1"/>
  <c r="C82" i="1"/>
  <c r="C53" i="1"/>
  <c r="K18" i="23" s="1"/>
  <c r="E38" i="1"/>
  <c r="E12" i="4" l="1"/>
  <c r="K17" i="23"/>
  <c r="B165" i="7"/>
  <c r="K24" i="23"/>
  <c r="B25" i="23" s="1"/>
  <c r="D19" i="10"/>
  <c r="D91" i="9"/>
  <c r="D19" i="9" s="1"/>
  <c r="C123" i="16"/>
  <c r="D30" i="16" s="1"/>
  <c r="C124" i="16"/>
  <c r="D31" i="16" s="1"/>
  <c r="E12" i="1"/>
  <c r="D157" i="10"/>
  <c r="B163" i="10" s="1"/>
  <c r="B165" i="10" s="1"/>
  <c r="E24" i="10" s="1"/>
  <c r="D156" i="11"/>
  <c r="B163" i="6"/>
  <c r="B165" i="6" s="1"/>
  <c r="E24" i="6" s="1"/>
  <c r="B163" i="12"/>
  <c r="B165" i="12" s="1"/>
  <c r="E24" i="12" s="1"/>
  <c r="B163" i="4"/>
  <c r="B165" i="4" s="1"/>
  <c r="E24" i="4" s="1"/>
  <c r="E24" i="7"/>
  <c r="C60" i="6"/>
  <c r="E17" i="6" s="1"/>
  <c r="E17" i="7"/>
  <c r="C60" i="1"/>
  <c r="E17" i="1" s="1"/>
  <c r="C60" i="4"/>
  <c r="E17" i="4" s="1"/>
  <c r="C60" i="8"/>
  <c r="E17" i="8" s="1"/>
  <c r="C60" i="10"/>
  <c r="E17" i="10" s="1"/>
  <c r="C60" i="9"/>
  <c r="E17" i="9" s="1"/>
  <c r="C60" i="12"/>
  <c r="E17" i="12" s="1"/>
  <c r="E12" i="8"/>
  <c r="E12" i="9"/>
  <c r="E12" i="12"/>
  <c r="E12" i="6"/>
  <c r="E12" i="7"/>
  <c r="E12" i="10"/>
  <c r="E13" i="10"/>
  <c r="E63" i="11"/>
  <c r="E13" i="11" s="1"/>
  <c r="C86" i="11"/>
  <c r="C87" i="11" s="1"/>
  <c r="C122" i="11" s="1"/>
  <c r="B87" i="11"/>
  <c r="C59" i="11"/>
  <c r="C132" i="11"/>
  <c r="C133" i="11" s="1"/>
  <c r="B137" i="11" s="1"/>
  <c r="C137" i="11" s="1"/>
  <c r="E23" i="11" s="1"/>
  <c r="C124" i="14"/>
  <c r="D31" i="14" s="1"/>
  <c r="C122" i="14"/>
  <c r="D29" i="14" s="1"/>
  <c r="B149" i="11"/>
  <c r="B150" i="11" s="1"/>
  <c r="E14" i="11" s="1"/>
  <c r="B144" i="11"/>
  <c r="B145" i="11" s="1"/>
  <c r="E15" i="11" s="1"/>
  <c r="C137" i="16"/>
  <c r="B136" i="11"/>
  <c r="C136" i="11" s="1"/>
  <c r="E22" i="11" s="1"/>
  <c r="C52" i="11"/>
  <c r="C123" i="13"/>
  <c r="D30" i="13" s="1"/>
  <c r="C122" i="13"/>
  <c r="D29" i="13" s="1"/>
  <c r="D98" i="11"/>
  <c r="D93" i="11"/>
  <c r="D157" i="11"/>
  <c r="D96" i="11"/>
  <c r="D102" i="11"/>
  <c r="E39" i="9"/>
  <c r="D97" i="11"/>
  <c r="E39" i="10"/>
  <c r="D104" i="12"/>
  <c r="B108" i="12" s="1"/>
  <c r="E21" i="12" s="1"/>
  <c r="E18" i="13"/>
  <c r="C123" i="14"/>
  <c r="D30" i="14" s="1"/>
  <c r="C124" i="13"/>
  <c r="D31" i="13" s="1"/>
  <c r="E23" i="1"/>
  <c r="D104" i="4"/>
  <c r="B108" i="4" s="1"/>
  <c r="E21" i="4" s="1"/>
  <c r="E74" i="7"/>
  <c r="E76" i="7" s="1"/>
  <c r="D27" i="7" s="1"/>
  <c r="E18" i="14"/>
  <c r="E18" i="15"/>
  <c r="C124" i="15"/>
  <c r="D31" i="15" s="1"/>
  <c r="C87" i="6"/>
  <c r="E18" i="6" s="1"/>
  <c r="C123" i="15"/>
  <c r="D30" i="15" s="1"/>
  <c r="E74" i="11"/>
  <c r="E76" i="11" s="1"/>
  <c r="E74" i="12"/>
  <c r="D27" i="12" s="1"/>
  <c r="E18" i="16"/>
  <c r="E23" i="4"/>
  <c r="E16" i="4"/>
  <c r="D27" i="4"/>
  <c r="C87" i="12"/>
  <c r="D100" i="12"/>
  <c r="C122" i="16"/>
  <c r="D29" i="16" s="1"/>
  <c r="E39" i="11"/>
  <c r="E39" i="12"/>
  <c r="E74" i="10"/>
  <c r="E76" i="10" s="1"/>
  <c r="E23" i="12"/>
  <c r="E16" i="12"/>
  <c r="E15" i="10"/>
  <c r="D104" i="10"/>
  <c r="D100" i="10"/>
  <c r="B107" i="10" s="1"/>
  <c r="E20" i="10" s="1"/>
  <c r="C87" i="10"/>
  <c r="C122" i="10" s="1"/>
  <c r="E23" i="10"/>
  <c r="E16" i="10"/>
  <c r="D104" i="9"/>
  <c r="B108" i="9" s="1"/>
  <c r="E21" i="9" s="1"/>
  <c r="D100" i="9"/>
  <c r="B107" i="9" s="1"/>
  <c r="E20" i="9" s="1"/>
  <c r="C87" i="9"/>
  <c r="C123" i="9" s="1"/>
  <c r="D30" i="9" s="1"/>
  <c r="E23" i="9"/>
  <c r="E16" i="9"/>
  <c r="B165" i="9"/>
  <c r="E24" i="9" s="1"/>
  <c r="E39" i="8"/>
  <c r="D104" i="8"/>
  <c r="B108" i="8" s="1"/>
  <c r="E21" i="8" s="1"/>
  <c r="D100" i="8"/>
  <c r="B107" i="8" s="1"/>
  <c r="E20" i="8" s="1"/>
  <c r="C87" i="8"/>
  <c r="C122" i="8" s="1"/>
  <c r="D29" i="8" s="1"/>
  <c r="E74" i="8"/>
  <c r="E76" i="8" s="1"/>
  <c r="D27" i="8" s="1"/>
  <c r="E16" i="8"/>
  <c r="E23" i="8"/>
  <c r="B165" i="8"/>
  <c r="E24" i="8" s="1"/>
  <c r="E39" i="7"/>
  <c r="D104" i="7"/>
  <c r="B108" i="7" s="1"/>
  <c r="E21" i="7" s="1"/>
  <c r="D100" i="7"/>
  <c r="B107" i="7" s="1"/>
  <c r="E20" i="7" s="1"/>
  <c r="C87" i="7"/>
  <c r="C123" i="7" s="1"/>
  <c r="D30" i="7" s="1"/>
  <c r="E16" i="7"/>
  <c r="E23" i="7"/>
  <c r="E39" i="6"/>
  <c r="D104" i="6"/>
  <c r="B108" i="6" s="1"/>
  <c r="E21" i="6" s="1"/>
  <c r="D100" i="6"/>
  <c r="B107" i="6" s="1"/>
  <c r="E20" i="6" s="1"/>
  <c r="E74" i="6"/>
  <c r="E16" i="6"/>
  <c r="E23" i="6"/>
  <c r="D100" i="4"/>
  <c r="B107" i="4" s="1"/>
  <c r="E20" i="4" s="1"/>
  <c r="C87" i="4"/>
  <c r="E39" i="4"/>
  <c r="E74" i="1"/>
  <c r="E76" i="1" s="1"/>
  <c r="D27" i="1" s="1"/>
  <c r="D104" i="1"/>
  <c r="B108" i="1" s="1"/>
  <c r="E21" i="1" s="1"/>
  <c r="D100" i="1"/>
  <c r="B107" i="1" s="1"/>
  <c r="E20" i="1" s="1"/>
  <c r="C87" i="1"/>
  <c r="E18" i="1" s="1"/>
  <c r="B165" i="1"/>
  <c r="E24" i="1" s="1"/>
  <c r="E39" i="1"/>
  <c r="B108" i="10" l="1"/>
  <c r="E21" i="10" s="1"/>
  <c r="D91" i="8"/>
  <c r="D27" i="10"/>
  <c r="E70" i="9"/>
  <c r="E74" i="9" s="1"/>
  <c r="E76" i="9" s="1"/>
  <c r="D27" i="9" s="1"/>
  <c r="E76" i="6"/>
  <c r="D27" i="6" s="1"/>
  <c r="B163" i="11"/>
  <c r="B165" i="11" s="1"/>
  <c r="E24" i="11" s="1"/>
  <c r="D99" i="11"/>
  <c r="D100" i="11" s="1"/>
  <c r="B107" i="11" s="1"/>
  <c r="E20" i="11" s="1"/>
  <c r="C53" i="11"/>
  <c r="E12" i="11" s="1"/>
  <c r="E11" i="11"/>
  <c r="E16" i="11"/>
  <c r="D103" i="11"/>
  <c r="D104" i="11" s="1"/>
  <c r="B108" i="11" s="1"/>
  <c r="E21" i="11" s="1"/>
  <c r="E23" i="16"/>
  <c r="E16" i="16"/>
  <c r="C123" i="12"/>
  <c r="D30" i="12" s="1"/>
  <c r="C122" i="12"/>
  <c r="D29" i="12" s="1"/>
  <c r="C124" i="12"/>
  <c r="D31" i="12" s="1"/>
  <c r="C123" i="6"/>
  <c r="D30" i="6" s="1"/>
  <c r="C123" i="11"/>
  <c r="C122" i="6"/>
  <c r="D29" i="6" s="1"/>
  <c r="C124" i="6"/>
  <c r="D31" i="6" s="1"/>
  <c r="E18" i="11"/>
  <c r="C124" i="11"/>
  <c r="C123" i="4"/>
  <c r="D30" i="4" s="1"/>
  <c r="E18" i="4"/>
  <c r="E18" i="12"/>
  <c r="C123" i="10"/>
  <c r="E18" i="10"/>
  <c r="C124" i="10"/>
  <c r="E18" i="9"/>
  <c r="C124" i="9"/>
  <c r="D31" i="9" s="1"/>
  <c r="C122" i="9"/>
  <c r="D29" i="9" s="1"/>
  <c r="C123" i="8"/>
  <c r="D30" i="8" s="1"/>
  <c r="E18" i="8"/>
  <c r="C124" i="8"/>
  <c r="D31" i="8" s="1"/>
  <c r="C122" i="7"/>
  <c r="D29" i="7" s="1"/>
  <c r="E18" i="7"/>
  <c r="C124" i="7"/>
  <c r="D31" i="7" s="1"/>
  <c r="C124" i="4"/>
  <c r="D31" i="4" s="1"/>
  <c r="C122" i="4"/>
  <c r="D29" i="4" s="1"/>
  <c r="C124" i="1"/>
  <c r="D31" i="1" s="1"/>
  <c r="C123" i="1"/>
  <c r="D30" i="1" s="1"/>
  <c r="C122" i="1"/>
  <c r="D29" i="1" s="1"/>
  <c r="D91" i="7" l="1"/>
  <c r="D91" i="6" s="1"/>
  <c r="D19" i="8"/>
  <c r="C125" i="12"/>
  <c r="D19" i="7" l="1"/>
  <c r="D19" i="6"/>
  <c r="D91" i="4"/>
  <c r="D19" i="4" l="1"/>
  <c r="D91" i="1"/>
  <c r="D91" i="12" l="1"/>
  <c r="D19" i="1"/>
  <c r="D91" i="13" l="1"/>
  <c r="D19" i="12"/>
  <c r="D91" i="14" l="1"/>
  <c r="D19" i="13"/>
  <c r="D19" i="14" l="1"/>
  <c r="D91" i="15"/>
  <c r="C60" i="15"/>
  <c r="E17" i="15" s="1"/>
  <c r="B58" i="15"/>
  <c r="B58" i="11" s="1"/>
  <c r="C58" i="11" s="1"/>
  <c r="C60" i="11" s="1"/>
  <c r="E17" i="11" s="1"/>
  <c r="D91" i="16" l="1"/>
  <c r="D19" i="16" s="1"/>
  <c r="D19" i="15"/>
</calcChain>
</file>

<file path=xl/comments1.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usage from monthly CLC bill for LP 159900000-160978</t>
        </r>
      </text>
    </comment>
    <comment ref="C59" authorId="0">
      <text>
        <r>
          <rPr>
            <b/>
            <sz val="8"/>
            <color indexed="81"/>
            <rFont val="Tahoma"/>
            <family val="2"/>
          </rPr>
          <t>lorrsilv:</t>
        </r>
        <r>
          <rPr>
            <sz val="8"/>
            <color indexed="81"/>
            <rFont val="Tahoma"/>
            <family val="2"/>
          </rPr>
          <t xml:space="preserve">
usage from monthly CLC bill for LP 159900000-160978</t>
        </r>
      </text>
    </comment>
    <comment ref="B82" authorId="0">
      <text>
        <r>
          <rPr>
            <b/>
            <sz val="8"/>
            <color indexed="81"/>
            <rFont val="Tahoma"/>
            <family val="2"/>
          </rPr>
          <t>lorrsilv:</t>
        </r>
        <r>
          <rPr>
            <sz val="8"/>
            <color indexed="81"/>
            <rFont val="Tahoma"/>
            <family val="2"/>
          </rPr>
          <t xml:space="preserve">
usage from monthly CLC bill for LP 159900000-160978</t>
        </r>
      </text>
    </comment>
    <comment ref="B83" authorId="0">
      <text>
        <r>
          <rPr>
            <b/>
            <sz val="8"/>
            <color indexed="81"/>
            <rFont val="Tahoma"/>
            <family val="2"/>
          </rPr>
          <t>lorrsilv:</t>
        </r>
        <r>
          <rPr>
            <sz val="8"/>
            <color indexed="81"/>
            <rFont val="Tahoma"/>
            <family val="2"/>
          </rPr>
          <t xml:space="preserve">
usage from monthly CLC bill for LP 159900000-160978</t>
        </r>
      </text>
    </comment>
    <comment ref="B84" authorId="0">
      <text>
        <r>
          <rPr>
            <b/>
            <sz val="8"/>
            <color indexed="81"/>
            <rFont val="Tahoma"/>
            <family val="2"/>
          </rPr>
          <t>lorrsilv:</t>
        </r>
        <r>
          <rPr>
            <sz val="8"/>
            <color indexed="81"/>
            <rFont val="Tahoma"/>
            <family val="2"/>
          </rPr>
          <t xml:space="preserve">
usage from monthly CLC bill for LP 159900000-160978</t>
        </r>
      </text>
    </comment>
    <comment ref="B85" authorId="0">
      <text>
        <r>
          <rPr>
            <b/>
            <sz val="8"/>
            <color indexed="81"/>
            <rFont val="Tahoma"/>
            <family val="2"/>
          </rPr>
          <t>lorrsilv:</t>
        </r>
        <r>
          <rPr>
            <sz val="8"/>
            <color indexed="81"/>
            <rFont val="Tahoma"/>
            <family val="2"/>
          </rPr>
          <t xml:space="preserve">
usage from monthly CLC bill for LP 159900000-160978</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usage from monthly CLC bill for LP 159900000-160978</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D93" authorId="0">
      <text>
        <r>
          <rPr>
            <b/>
            <sz val="8"/>
            <color indexed="81"/>
            <rFont val="Tahoma"/>
            <family val="2"/>
          </rPr>
          <t>lorrsilv:</t>
        </r>
        <r>
          <rPr>
            <sz val="8"/>
            <color indexed="81"/>
            <rFont val="Tahoma"/>
            <family val="2"/>
          </rPr>
          <t xml:space="preserve">
usage from monthly CLC bill for LP 159900000-160978</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D96" authorId="0">
      <text>
        <r>
          <rPr>
            <b/>
            <sz val="8"/>
            <color indexed="81"/>
            <rFont val="Tahoma"/>
            <family val="2"/>
          </rPr>
          <t>lorrsilv:</t>
        </r>
        <r>
          <rPr>
            <sz val="8"/>
            <color indexed="81"/>
            <rFont val="Tahoma"/>
            <family val="2"/>
          </rPr>
          <t xml:space="preserve">
usage from monthly CLC bill for LP 159900000-160978</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D97" authorId="0">
      <text>
        <r>
          <rPr>
            <b/>
            <sz val="8"/>
            <color indexed="81"/>
            <rFont val="Tahoma"/>
            <family val="2"/>
          </rPr>
          <t>lorrsilv:</t>
        </r>
        <r>
          <rPr>
            <sz val="8"/>
            <color indexed="81"/>
            <rFont val="Tahoma"/>
            <family val="2"/>
          </rPr>
          <t xml:space="preserve">
usage from monthly CLC bill for LP 159900000-160978</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D98" authorId="0">
      <text>
        <r>
          <rPr>
            <b/>
            <sz val="8"/>
            <color indexed="81"/>
            <rFont val="Tahoma"/>
            <family val="2"/>
          </rPr>
          <t>lorrsilv:</t>
        </r>
        <r>
          <rPr>
            <sz val="8"/>
            <color indexed="81"/>
            <rFont val="Tahoma"/>
            <family val="2"/>
          </rPr>
          <t xml:space="preserve">
usage from monthly CLC bill for LP 159900000-160978</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D99" authorId="0">
      <text>
        <r>
          <rPr>
            <b/>
            <sz val="8"/>
            <color indexed="81"/>
            <rFont val="Tahoma"/>
            <family val="2"/>
          </rPr>
          <t>lorrsilv:</t>
        </r>
        <r>
          <rPr>
            <sz val="8"/>
            <color indexed="81"/>
            <rFont val="Tahoma"/>
            <family val="2"/>
          </rPr>
          <t xml:space="preserve">
usage from monthly CLC bill for LP 159900000-160978</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D102" authorId="0">
      <text>
        <r>
          <rPr>
            <b/>
            <sz val="8"/>
            <color indexed="81"/>
            <rFont val="Tahoma"/>
            <family val="2"/>
          </rPr>
          <t>lorrsilv:</t>
        </r>
        <r>
          <rPr>
            <sz val="8"/>
            <color indexed="81"/>
            <rFont val="Tahoma"/>
            <family val="2"/>
          </rPr>
          <t xml:space="preserve">
usage from monthly CLC bill for LP 159900000-160978</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D103" authorId="0">
      <text>
        <r>
          <rPr>
            <b/>
            <sz val="8"/>
            <color indexed="81"/>
            <rFont val="Tahoma"/>
            <family val="2"/>
          </rPr>
          <t>lorrsilv:</t>
        </r>
        <r>
          <rPr>
            <sz val="8"/>
            <color indexed="81"/>
            <rFont val="Tahoma"/>
            <family val="2"/>
          </rPr>
          <t xml:space="preserve">
usage from monthly CLC bill for LP 159900000-160978</t>
        </r>
      </text>
    </comment>
    <comment ref="C129" authorId="0">
      <text>
        <r>
          <rPr>
            <b/>
            <sz val="8"/>
            <color indexed="81"/>
            <rFont val="Tahoma"/>
            <family val="2"/>
          </rPr>
          <t>lorrsilv:</t>
        </r>
        <r>
          <rPr>
            <sz val="8"/>
            <color indexed="81"/>
            <rFont val="Tahoma"/>
            <family val="2"/>
          </rPr>
          <t xml:space="preserve">
usage from monthly CLC bill for LP 159900000-160978</t>
        </r>
      </text>
    </comment>
    <comment ref="C130" authorId="0">
      <text>
        <r>
          <rPr>
            <b/>
            <sz val="8"/>
            <color indexed="81"/>
            <rFont val="Tahoma"/>
            <family val="2"/>
          </rPr>
          <t>lorrsilv:</t>
        </r>
        <r>
          <rPr>
            <sz val="8"/>
            <color indexed="81"/>
            <rFont val="Tahoma"/>
            <family val="2"/>
          </rPr>
          <t xml:space="preserve">
usage from monthly CLC bill for LP 159900000-160978</t>
        </r>
      </text>
    </comment>
    <comment ref="C131" authorId="0">
      <text>
        <r>
          <rPr>
            <b/>
            <sz val="8"/>
            <color indexed="81"/>
            <rFont val="Tahoma"/>
            <family val="2"/>
          </rPr>
          <t>lorrsilv:</t>
        </r>
        <r>
          <rPr>
            <sz val="8"/>
            <color indexed="81"/>
            <rFont val="Tahoma"/>
            <family val="2"/>
          </rPr>
          <t xml:space="preserve">
usage from monthly CLC bill for LP 159900000-160978</t>
        </r>
      </text>
    </comment>
    <comment ref="C132" authorId="0">
      <text>
        <r>
          <rPr>
            <b/>
            <sz val="8"/>
            <color indexed="81"/>
            <rFont val="Tahoma"/>
            <family val="2"/>
          </rPr>
          <t>lorrsilv:</t>
        </r>
        <r>
          <rPr>
            <sz val="8"/>
            <color indexed="81"/>
            <rFont val="Tahoma"/>
            <family val="2"/>
          </rPr>
          <t xml:space="preserve">
usage from monthly CLC bill for LP 159900000-160978</t>
        </r>
      </text>
    </comment>
    <comment ref="B136" authorId="0">
      <text>
        <r>
          <rPr>
            <b/>
            <sz val="8"/>
            <color indexed="81"/>
            <rFont val="Tahoma"/>
            <family val="2"/>
          </rPr>
          <t>lorrsilv:</t>
        </r>
        <r>
          <rPr>
            <sz val="8"/>
            <color indexed="81"/>
            <rFont val="Tahoma"/>
            <family val="2"/>
          </rPr>
          <t xml:space="preserve">
usage from monthly CLC bill for LP 159900000-160978</t>
        </r>
      </text>
    </comment>
    <comment ref="B142" authorId="0">
      <text>
        <r>
          <rPr>
            <b/>
            <sz val="8"/>
            <color indexed="81"/>
            <rFont val="Tahoma"/>
            <family val="2"/>
          </rPr>
          <t>lorrsilv:</t>
        </r>
        <r>
          <rPr>
            <sz val="8"/>
            <color indexed="81"/>
            <rFont val="Tahoma"/>
            <family val="2"/>
          </rPr>
          <t xml:space="preserve">
usage from monthly CLC bill for LP 159900000-160978</t>
        </r>
      </text>
    </comment>
    <comment ref="B143" authorId="0">
      <text>
        <r>
          <rPr>
            <b/>
            <sz val="8"/>
            <color indexed="81"/>
            <rFont val="Tahoma"/>
            <family val="2"/>
          </rPr>
          <t>lorrsilv:</t>
        </r>
        <r>
          <rPr>
            <sz val="8"/>
            <color indexed="81"/>
            <rFont val="Tahoma"/>
            <family val="2"/>
          </rPr>
          <t xml:space="preserve">
usage from monthly CLC bill for LP 159900000-160978</t>
        </r>
      </text>
    </comment>
    <comment ref="B144" authorId="0">
      <text>
        <r>
          <rPr>
            <b/>
            <sz val="8"/>
            <color indexed="81"/>
            <rFont val="Tahoma"/>
            <family val="2"/>
          </rPr>
          <t>lorrsilv:</t>
        </r>
        <r>
          <rPr>
            <sz val="8"/>
            <color indexed="81"/>
            <rFont val="Tahoma"/>
            <family val="2"/>
          </rPr>
          <t xml:space="preserve">
usage from monthly CLC bill for LP 159900000-160978</t>
        </r>
      </text>
    </comment>
    <comment ref="B148" authorId="0">
      <text>
        <r>
          <rPr>
            <b/>
            <sz val="8"/>
            <color indexed="81"/>
            <rFont val="Tahoma"/>
            <family val="2"/>
          </rPr>
          <t>lorrsilv:</t>
        </r>
        <r>
          <rPr>
            <sz val="8"/>
            <color indexed="81"/>
            <rFont val="Tahoma"/>
            <family val="2"/>
          </rPr>
          <t xml:space="preserve">
usage from monthly CLC bill for LP 159900000-160978</t>
        </r>
      </text>
    </comment>
    <comment ref="B149" authorId="0">
      <text>
        <r>
          <rPr>
            <b/>
            <sz val="8"/>
            <color indexed="81"/>
            <rFont val="Tahoma"/>
            <family val="2"/>
          </rPr>
          <t>lorrsilv:</t>
        </r>
        <r>
          <rPr>
            <sz val="8"/>
            <color indexed="81"/>
            <rFont val="Tahoma"/>
            <family val="2"/>
          </rPr>
          <t xml:space="preserve">
usage from monthly CLC bill for LP 159900000-160978</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D154" authorId="0">
      <text>
        <r>
          <rPr>
            <b/>
            <sz val="8"/>
            <color indexed="81"/>
            <rFont val="Tahoma"/>
            <family val="2"/>
          </rPr>
          <t>lorrsilv:</t>
        </r>
        <r>
          <rPr>
            <sz val="8"/>
            <color indexed="81"/>
            <rFont val="Tahoma"/>
            <family val="2"/>
          </rPr>
          <t xml:space="preserve">
usage from monthly CLC bill for LP 159900000-160978</t>
        </r>
      </text>
    </comment>
    <comment ref="D157" authorId="0">
      <text>
        <r>
          <rPr>
            <b/>
            <sz val="8"/>
            <color indexed="81"/>
            <rFont val="Tahoma"/>
            <family val="2"/>
          </rPr>
          <t>lorrsilv:</t>
        </r>
        <r>
          <rPr>
            <sz val="8"/>
            <color indexed="81"/>
            <rFont val="Tahoma"/>
            <family val="2"/>
          </rPr>
          <t xml:space="preserve">
usage from monthly CLC bill for LP 159900000-160978</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10.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11.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12.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13.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14.xml><?xml version="1.0" encoding="utf-8"?>
<comments xmlns="http://schemas.openxmlformats.org/spreadsheetml/2006/main">
  <authors>
    <author>Steve Self</author>
    <author>Lorraine M. Silva</author>
  </authors>
  <commentList>
    <comment ref="B9" authorId="0">
      <text>
        <r>
          <rPr>
            <b/>
            <sz val="8"/>
            <color indexed="81"/>
            <rFont val="Tahoma"/>
            <family val="2"/>
          </rPr>
          <t xml:space="preserve">LORRSILV:
</t>
        </r>
        <r>
          <rPr>
            <sz val="8"/>
            <color indexed="81"/>
            <rFont val="Tahoma"/>
            <family val="2"/>
          </rPr>
          <t>From CLC Low Pressure Bill</t>
        </r>
        <r>
          <rPr>
            <b/>
            <sz val="8"/>
            <color indexed="81"/>
            <rFont val="Tahoma"/>
            <family val="2"/>
          </rPr>
          <t xml:space="preserve">
Steve Self:</t>
        </r>
        <r>
          <rPr>
            <sz val="8"/>
            <color indexed="81"/>
            <rFont val="Tahoma"/>
            <family val="2"/>
          </rPr>
          <t xml:space="preserve">
Campus use only!</t>
        </r>
      </text>
    </comment>
    <comment ref="G9" authorId="0">
      <text>
        <r>
          <rPr>
            <b/>
            <sz val="8"/>
            <color indexed="81"/>
            <rFont val="Tahoma"/>
            <family val="2"/>
          </rPr>
          <t xml:space="preserve">LORRSILV: 
</t>
        </r>
        <r>
          <rPr>
            <sz val="8"/>
            <color indexed="81"/>
            <rFont val="Tahoma"/>
            <family val="2"/>
          </rPr>
          <t>Total of Cogen1, Cogen2, and Boiler bills from CLC</t>
        </r>
        <r>
          <rPr>
            <b/>
            <sz val="8"/>
            <color indexed="81"/>
            <rFont val="Tahoma"/>
            <family val="2"/>
          </rPr>
          <t xml:space="preserve">
Steve Self:</t>
        </r>
        <r>
          <rPr>
            <sz val="8"/>
            <color indexed="81"/>
            <rFont val="Tahoma"/>
            <family val="2"/>
          </rPr>
          <t xml:space="preserve">
Plant Use Only!</t>
        </r>
      </text>
    </comment>
    <comment ref="L9" authorId="1">
      <text>
        <r>
          <rPr>
            <b/>
            <sz val="9"/>
            <color indexed="81"/>
            <rFont val="Tahoma"/>
            <family val="2"/>
          </rPr>
          <t>Lorraine M. Silva:</t>
        </r>
        <r>
          <rPr>
            <sz val="9"/>
            <color indexed="81"/>
            <rFont val="Tahoma"/>
            <family val="2"/>
          </rPr>
          <t xml:space="preserve">
From EPE bill</t>
        </r>
      </text>
    </comment>
    <comment ref="B30" authorId="0">
      <text>
        <r>
          <rPr>
            <b/>
            <sz val="8"/>
            <color indexed="81"/>
            <rFont val="Tahoma"/>
            <family val="2"/>
          </rPr>
          <t xml:space="preserve">LORRSILV:
</t>
        </r>
        <r>
          <rPr>
            <sz val="8"/>
            <color indexed="81"/>
            <rFont val="Tahoma"/>
            <family val="2"/>
          </rPr>
          <t>From CLC Low Pressure Bill</t>
        </r>
        <r>
          <rPr>
            <b/>
            <sz val="8"/>
            <color indexed="81"/>
            <rFont val="Tahoma"/>
            <family val="2"/>
          </rPr>
          <t xml:space="preserve">
Steve Self:</t>
        </r>
        <r>
          <rPr>
            <sz val="8"/>
            <color indexed="81"/>
            <rFont val="Tahoma"/>
            <family val="2"/>
          </rPr>
          <t xml:space="preserve">
Campus use only!</t>
        </r>
      </text>
    </comment>
    <comment ref="G30" authorId="0">
      <text>
        <r>
          <rPr>
            <b/>
            <sz val="8"/>
            <color indexed="81"/>
            <rFont val="Tahoma"/>
            <family val="2"/>
          </rPr>
          <t xml:space="preserve">LORRSILV: 
</t>
        </r>
        <r>
          <rPr>
            <sz val="8"/>
            <color indexed="81"/>
            <rFont val="Tahoma"/>
            <family val="2"/>
          </rPr>
          <t>Total of Cogen1, Cogen2, and Boiler bills from CLC</t>
        </r>
        <r>
          <rPr>
            <b/>
            <sz val="8"/>
            <color indexed="81"/>
            <rFont val="Tahoma"/>
            <family val="2"/>
          </rPr>
          <t xml:space="preserve">
Steve Self:</t>
        </r>
        <r>
          <rPr>
            <sz val="8"/>
            <color indexed="81"/>
            <rFont val="Tahoma"/>
            <family val="2"/>
          </rPr>
          <t xml:space="preserve">
Plant Use Only!</t>
        </r>
      </text>
    </comment>
    <comment ref="L30" authorId="1">
      <text>
        <r>
          <rPr>
            <b/>
            <sz val="9"/>
            <color indexed="81"/>
            <rFont val="Tahoma"/>
            <family val="2"/>
          </rPr>
          <t>Lorraine M. Silva:</t>
        </r>
        <r>
          <rPr>
            <sz val="9"/>
            <color indexed="81"/>
            <rFont val="Tahoma"/>
            <family val="2"/>
          </rPr>
          <t xml:space="preserve">
From EPE bill</t>
        </r>
      </text>
    </comment>
  </commentList>
</comments>
</file>

<file path=xl/comments15.xml><?xml version="1.0" encoding="utf-8"?>
<comments xmlns="http://schemas.openxmlformats.org/spreadsheetml/2006/main">
  <authors>
    <author>Lorraine M. Silva</author>
  </authors>
  <commentList>
    <comment ref="A8" authorId="0">
      <text>
        <r>
          <rPr>
            <b/>
            <sz val="9"/>
            <color indexed="81"/>
            <rFont val="Tahoma"/>
            <family val="2"/>
          </rPr>
          <t>Lorraine M. Silva:</t>
        </r>
        <r>
          <rPr>
            <sz val="9"/>
            <color indexed="81"/>
            <rFont val="Tahoma"/>
            <family val="2"/>
          </rPr>
          <t xml:space="preserve">
per Steve Self - information comes from rate generation screens in Aim
see Data Management\Sightlines\Run these for Sightlines Every Year\Utility_Data.sql</t>
        </r>
      </text>
    </comment>
  </commentList>
</comments>
</file>

<file path=xl/comments16.xml><?xml version="1.0" encoding="utf-8"?>
<comments xmlns="http://schemas.openxmlformats.org/spreadsheetml/2006/main">
  <authors>
    <author>lorrsilv</author>
  </authors>
  <commentList>
    <comment ref="F75" authorId="0">
      <text>
        <r>
          <rPr>
            <b/>
            <sz val="9"/>
            <color indexed="81"/>
            <rFont val="Tahoma"/>
            <family val="2"/>
          </rPr>
          <t>lorrsilv:</t>
        </r>
        <r>
          <rPr>
            <sz val="9"/>
            <color indexed="81"/>
            <rFont val="Tahoma"/>
            <family val="2"/>
          </rPr>
          <t xml:space="preserve">
Adjusted November rate is $.4823
The rate for October Domestic Water was incorrect.  During the billing process the DWTR_MASTER reading was changed and incorrectly entered as 417946.0000.  but the correct reading should’ve been 41794.6000.  This caused extra TUU in the amount of 376151.4000 to be used in the rate generation causing an incorrect rate of $.0568 rather than $.5677. Causing a difference of $.5109 that was not billed to the campus customers when the October billing was generated.  In November the TUU is being adjusted with a -376151.4000 being added to the November actual TUU of 41155.8 so that the TUU used on the rate generation is a -334995.6000 and rate adjustment of $.51 is being added so instead of a calculated rate of $.2329 the November rate will be $.4823.  this will get the TUU back on track and will adjust the customers rate billed back up to where it should’ve been.  Most directly impacted will be all properties that fall under the virtual meters which were billed for too much usage but at a low rate for October.  In November they will be billed for less usage but at a higher rate to level it off.  </t>
        </r>
      </text>
    </comment>
  </commentList>
</comments>
</file>

<file path=xl/comments2.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3.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May usage provided by Pat - email on 6/16/2014
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t>
        </r>
        <r>
          <rPr>
            <sz val="9"/>
            <color indexed="81"/>
            <rFont val="Tahoma"/>
            <family val="2"/>
          </rPr>
          <t>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1">
      <text>
        <r>
          <rPr>
            <b/>
            <sz val="9"/>
            <color indexed="81"/>
            <rFont val="Tahoma"/>
            <family val="2"/>
          </rPr>
          <t>Niagara/System Meters/Utility Meters/ Domestic Water/ Cogen Marley Makeup</t>
        </r>
        <r>
          <rPr>
            <sz val="9"/>
            <color indexed="81"/>
            <rFont val="Tahoma"/>
            <family val="2"/>
          </rPr>
          <t xml:space="preserve">
</t>
        </r>
      </text>
    </comment>
    <comment ref="C102" authorId="0">
      <text>
        <r>
          <rPr>
            <b/>
            <sz val="8"/>
            <color indexed="81"/>
            <rFont val="Tahoma"/>
            <family val="2"/>
          </rPr>
          <t>Ignacios:
Niagara/System Meters/Utility Meters/ Domestic Water/ CUP Cool Pool Makeup</t>
        </r>
      </text>
    </comment>
    <comment ref="B103" authorId="1">
      <text>
        <r>
          <rPr>
            <b/>
            <sz val="9"/>
            <color indexed="81"/>
            <rFont val="Tahoma"/>
            <family val="2"/>
          </rPr>
          <t>Niagara/System Meters/Utility Meters/ Domestic Water/ Cogen Marley Makeup</t>
        </r>
        <r>
          <rPr>
            <sz val="9"/>
            <color indexed="81"/>
            <rFont val="Tahoma"/>
            <family val="2"/>
          </rPr>
          <t xml:space="preserve">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4.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For March 2014 - production amt provided by Pat on 4/21/2014. Due to turbine control project the meter was taken offline on 3/24/2014.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Niagara/System Meters/Utility Meters/ Domestic Water/ Boiler Condensate Makeup </t>
        </r>
        <r>
          <rPr>
            <sz val="9"/>
            <color indexed="81"/>
            <rFont val="Tahoma"/>
            <family val="2"/>
          </rPr>
          <t xml:space="preserve">
</t>
        </r>
      </text>
    </comment>
    <comment ref="B96" authorId="0">
      <text>
        <r>
          <rPr>
            <b/>
            <sz val="8"/>
            <color indexed="81"/>
            <rFont val="Tahoma"/>
            <family val="2"/>
          </rPr>
          <t>Niagara/System Meters/Utility Meters/ Domestic Water/ CUP Tower-1 Makeup</t>
        </r>
      </text>
    </comment>
    <comment ref="C96" authorId="0">
      <text>
        <r>
          <rPr>
            <b/>
            <sz val="8"/>
            <color indexed="81"/>
            <rFont val="Tahoma"/>
            <family val="2"/>
          </rPr>
          <t>Niagara/System Meters/Utility Meters/ Domestic Water/ CUP Tower-1 Makeup</t>
        </r>
      </text>
    </comment>
    <comment ref="B97" authorId="0">
      <text>
        <r>
          <rPr>
            <b/>
            <sz val="8"/>
            <color indexed="81"/>
            <rFont val="Tahoma"/>
            <family val="2"/>
          </rPr>
          <t>Niagara/System Meters/Utility Meters/ Domestic Water/ CUP Tower-2 Makeup</t>
        </r>
      </text>
    </comment>
    <comment ref="C97" authorId="0">
      <text>
        <r>
          <rPr>
            <b/>
            <sz val="8"/>
            <color indexed="81"/>
            <rFont val="Tahoma"/>
            <family val="2"/>
          </rPr>
          <t>Niagara/System Meters/Utility Meters/ Domestic Water/ CUP Tower-2 Makeup</t>
        </r>
      </text>
    </comment>
    <comment ref="B98" authorId="0">
      <text>
        <r>
          <rPr>
            <b/>
            <sz val="8"/>
            <color indexed="81"/>
            <rFont val="Tahoma"/>
            <family val="2"/>
          </rPr>
          <t xml:space="preserve">Niagara/System Meters/Utility Meters/ Domestic Water/ CUP Tower-3 Makeup </t>
        </r>
      </text>
    </comment>
    <comment ref="C98" authorId="0">
      <text>
        <r>
          <rPr>
            <b/>
            <sz val="8"/>
            <color indexed="81"/>
            <rFont val="Tahoma"/>
            <family val="2"/>
          </rPr>
          <t xml:space="preserve">Niagara/System Meters/Utility Meters/ Domestic Water/ CUP Tower-3 Makeup </t>
        </r>
      </text>
    </comment>
    <comment ref="B99" authorId="1">
      <text>
        <r>
          <rPr>
            <b/>
            <sz val="9"/>
            <color indexed="81"/>
            <rFont val="Tahoma"/>
            <family val="2"/>
          </rPr>
          <t>Niagara/System Meters/Utility Meters/ Domestic Water/ Cogen Marley Makeup</t>
        </r>
        <r>
          <rPr>
            <sz val="9"/>
            <color indexed="81"/>
            <rFont val="Tahoma"/>
            <family val="2"/>
          </rPr>
          <t xml:space="preserve">
</t>
        </r>
      </text>
    </comment>
    <comment ref="C99" authorId="1">
      <text>
        <r>
          <rPr>
            <b/>
            <sz val="9"/>
            <color indexed="81"/>
            <rFont val="Tahoma"/>
            <family val="2"/>
          </rPr>
          <t>Niagara/System Meters/Utility Meters/ Domestic Water/ Cogen Marley Makeup</t>
        </r>
        <r>
          <rPr>
            <sz val="9"/>
            <color indexed="81"/>
            <rFont val="Tahoma"/>
            <family val="2"/>
          </rPr>
          <t xml:space="preserve">
</t>
        </r>
      </text>
    </comment>
    <comment ref="B102" authorId="0">
      <text>
        <r>
          <rPr>
            <b/>
            <sz val="8"/>
            <color indexed="81"/>
            <rFont val="Tahoma"/>
            <family val="2"/>
          </rPr>
          <t>Niagara/System Meters/Utility Meters/ Domestic Water/ CUP Cool Pool Makeup</t>
        </r>
      </text>
    </comment>
    <comment ref="C102" authorId="0">
      <text>
        <r>
          <rPr>
            <b/>
            <sz val="8"/>
            <color indexed="81"/>
            <rFont val="Tahoma"/>
            <family val="2"/>
          </rPr>
          <t>Niagara/System Meters/Utility Meters/ Domestic Water/ CUP Cool Pool Makeup</t>
        </r>
      </text>
    </comment>
    <comment ref="B103" authorId="0">
      <text>
        <r>
          <rPr>
            <b/>
            <sz val="8"/>
            <color indexed="81"/>
            <rFont val="Tahoma"/>
            <family val="2"/>
          </rPr>
          <t xml:space="preserve">Niagara/System Meters/Utility Meters/ Domestic Water/ CHW Closed Loop Makeup </t>
        </r>
      </text>
    </comment>
    <comment ref="C103" authorId="0">
      <text>
        <r>
          <rPr>
            <b/>
            <sz val="8"/>
            <color indexed="81"/>
            <rFont val="Tahoma"/>
            <family val="2"/>
          </rPr>
          <t xml:space="preserve">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5.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For March 2014 - production amt provided by Pat on 4/21/2014. Due to turbine control project the meter was taken offline on 3/24/2014.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6.xml><?xml version="1.0" encoding="utf-8"?>
<comments xmlns="http://schemas.openxmlformats.org/spreadsheetml/2006/main">
  <authors>
    <author>lorrsilv</author>
    <author>Lorraine M. Silva</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A84" authorId="1">
      <text>
        <r>
          <rPr>
            <b/>
            <sz val="9"/>
            <color indexed="81"/>
            <rFont val="Tahoma"/>
            <family val="2"/>
          </rPr>
          <t>Lorraine M. Silva:</t>
        </r>
        <r>
          <rPr>
            <sz val="9"/>
            <color indexed="81"/>
            <rFont val="Tahoma"/>
            <family val="2"/>
          </rPr>
          <t xml:space="preserve">
the City will be pumping water from this well at times</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2">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2">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2">
      <text>
        <r>
          <rPr>
            <b/>
            <sz val="9"/>
            <color indexed="81"/>
            <rFont val="Tahoma"/>
            <family val="2"/>
          </rPr>
          <t>Ignacios:
Niagara/System Meters/Utility Meters/ Domestic Water/ Cogen Marley Makeup</t>
        </r>
        <r>
          <rPr>
            <sz val="9"/>
            <color indexed="81"/>
            <rFont val="Tahoma"/>
            <family val="2"/>
          </rPr>
          <t xml:space="preserve">
</t>
        </r>
      </text>
    </comment>
    <comment ref="C99" authorId="2">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2">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7.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8.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Niagara/System Meters/Utility Meters/ Domestic Water/ Boiler Condensate Makeup </t>
        </r>
        <r>
          <rPr>
            <sz val="9"/>
            <color indexed="81"/>
            <rFont val="Tahoma"/>
            <family val="2"/>
          </rPr>
          <t xml:space="preserve">
</t>
        </r>
      </text>
    </comment>
    <comment ref="B96" authorId="0">
      <text>
        <r>
          <rPr>
            <b/>
            <sz val="8"/>
            <color indexed="81"/>
            <rFont val="Tahoma"/>
            <family val="2"/>
          </rPr>
          <t>Niagara/System Meters/Utility Meters/ Domestic Water/ CUP Tower-1 Makeup</t>
        </r>
      </text>
    </comment>
    <comment ref="C96" authorId="0">
      <text>
        <r>
          <rPr>
            <b/>
            <sz val="8"/>
            <color indexed="81"/>
            <rFont val="Tahoma"/>
            <family val="2"/>
          </rPr>
          <t>Niagara/System Meters/Utility Meters/ Domestic Water/ CUP Tower-1 Makeup</t>
        </r>
      </text>
    </comment>
    <comment ref="B97" authorId="0">
      <text>
        <r>
          <rPr>
            <b/>
            <sz val="8"/>
            <color indexed="81"/>
            <rFont val="Tahoma"/>
            <family val="2"/>
          </rPr>
          <t>Niagara/System Meters/Utility Meters/ Domestic Water/ CUP Tower-2 Makeup</t>
        </r>
      </text>
    </comment>
    <comment ref="C97" authorId="0">
      <text>
        <r>
          <rPr>
            <b/>
            <sz val="8"/>
            <color indexed="81"/>
            <rFont val="Tahoma"/>
            <family val="2"/>
          </rPr>
          <t>Niagara/System Meters/Utility Meters/ Domestic Water/ CUP Tower-2 Makeup</t>
        </r>
      </text>
    </comment>
    <comment ref="B98" authorId="0">
      <text>
        <r>
          <rPr>
            <b/>
            <sz val="8"/>
            <color indexed="81"/>
            <rFont val="Tahoma"/>
            <family val="2"/>
          </rPr>
          <t xml:space="preserve">Niagara/System Meters/Utility Meters/ Domestic Water/ CUP Tower-3 Makeup </t>
        </r>
      </text>
    </comment>
    <comment ref="C98" authorId="0">
      <text>
        <r>
          <rPr>
            <b/>
            <sz val="8"/>
            <color indexed="81"/>
            <rFont val="Tahoma"/>
            <family val="2"/>
          </rPr>
          <t xml:space="preserve">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Niagara/System Meters/Utility Meters/ Domestic Water/ Cogen Marley Makeup</t>
        </r>
        <r>
          <rPr>
            <sz val="9"/>
            <color indexed="81"/>
            <rFont val="Tahoma"/>
            <family val="2"/>
          </rPr>
          <t xml:space="preserve">
</t>
        </r>
      </text>
    </comment>
    <comment ref="B102" authorId="0">
      <text>
        <r>
          <rPr>
            <b/>
            <sz val="8"/>
            <color indexed="81"/>
            <rFont val="Tahoma"/>
            <family val="2"/>
          </rPr>
          <t>Niagara/System Meters/Utility Meters/ Domestic Water/ CUP Cool Pool Makeup</t>
        </r>
      </text>
    </comment>
    <comment ref="C102" authorId="0">
      <text>
        <r>
          <rPr>
            <b/>
            <sz val="8"/>
            <color indexed="81"/>
            <rFont val="Tahoma"/>
            <family val="2"/>
          </rPr>
          <t>Niagara/System Meters/Utility Meters/ Domestic Water/ CUP Cool Pool Makeup</t>
        </r>
      </text>
    </comment>
    <comment ref="B103" authorId="0">
      <text>
        <r>
          <rPr>
            <b/>
            <sz val="8"/>
            <color indexed="81"/>
            <rFont val="Tahoma"/>
            <family val="2"/>
          </rPr>
          <t xml:space="preserve">Niagara/System Meters/Utility Meters/ Domestic Water/ CHW Closed Loop Makeup </t>
        </r>
      </text>
    </comment>
    <comment ref="C103" authorId="0">
      <text>
        <r>
          <rPr>
            <b/>
            <sz val="8"/>
            <color indexed="81"/>
            <rFont val="Tahoma"/>
            <family val="2"/>
          </rPr>
          <t xml:space="preserve">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comments9.xml><?xml version="1.0" encoding="utf-8"?>
<comments xmlns="http://schemas.openxmlformats.org/spreadsheetml/2006/main">
  <authors>
    <author>lorrsilv</author>
    <author xml:space="preserve">BFBP </author>
  </authors>
  <commentList>
    <comment ref="E8" authorId="0">
      <text>
        <r>
          <rPr>
            <b/>
            <sz val="8"/>
            <color indexed="81"/>
            <rFont val="Tahoma"/>
            <family val="2"/>
          </rPr>
          <t>lorrsilv:</t>
        </r>
        <r>
          <rPr>
            <sz val="8"/>
            <color indexed="81"/>
            <rFont val="Tahoma"/>
            <family val="2"/>
          </rPr>
          <t xml:space="preserve">
Amt from CLC LP Gas bill - Gas section Total Dekatherms Used</t>
        </r>
      </text>
    </comment>
    <comment ref="E9" authorId="0">
      <text>
        <r>
          <rPr>
            <b/>
            <sz val="8"/>
            <color indexed="81"/>
            <rFont val="Tahoma"/>
            <family val="2"/>
          </rPr>
          <t>lorrsilv:</t>
        </r>
        <r>
          <rPr>
            <sz val="8"/>
            <color indexed="81"/>
            <rFont val="Tahoma"/>
            <family val="2"/>
          </rPr>
          <t xml:space="preserve">
from CLC bill for CoGen1</t>
        </r>
      </text>
    </comment>
    <comment ref="E10" authorId="0">
      <text>
        <r>
          <rPr>
            <b/>
            <sz val="8"/>
            <color indexed="81"/>
            <rFont val="Tahoma"/>
            <family val="2"/>
          </rPr>
          <t>lorrsilv:</t>
        </r>
        <r>
          <rPr>
            <sz val="8"/>
            <color indexed="81"/>
            <rFont val="Tahoma"/>
            <family val="2"/>
          </rPr>
          <t xml:space="preserve">
from CLC Cogen2 bill</t>
        </r>
      </text>
    </comment>
    <comment ref="E11" authorId="0">
      <text>
        <r>
          <rPr>
            <b/>
            <sz val="8"/>
            <color indexed="81"/>
            <rFont val="Tahoma"/>
            <family val="2"/>
          </rPr>
          <t>lorrsilv:</t>
        </r>
        <r>
          <rPr>
            <sz val="8"/>
            <color indexed="81"/>
            <rFont val="Tahoma"/>
            <family val="2"/>
          </rPr>
          <t xml:space="preserve">
from CLC Boilers bill</t>
        </r>
      </text>
    </comment>
    <comment ref="E18" authorId="0">
      <text>
        <r>
          <rPr>
            <b/>
            <sz val="8"/>
            <color indexed="81"/>
            <rFont val="Tahoma"/>
            <family val="2"/>
          </rPr>
          <t>lorrsilv:</t>
        </r>
        <r>
          <rPr>
            <sz val="8"/>
            <color indexed="81"/>
            <rFont val="Tahoma"/>
            <family val="2"/>
          </rPr>
          <t xml:space="preserve">
sum of wells plus the gallons purchased from CLC - see water tab</t>
        </r>
      </text>
    </comment>
    <comment ref="E25" authorId="0">
      <text>
        <r>
          <rPr>
            <b/>
            <sz val="8"/>
            <color indexed="81"/>
            <rFont val="Tahoma"/>
            <family val="2"/>
          </rPr>
          <t>lorrsilv:</t>
        </r>
        <r>
          <rPr>
            <sz val="8"/>
            <color indexed="81"/>
            <rFont val="Tahoma"/>
            <family val="2"/>
          </rPr>
          <t xml:space="preserve">
from CLC bill kgallons used divided by 1000</t>
        </r>
      </text>
    </comment>
    <comment ref="C47" authorId="0">
      <text>
        <r>
          <rPr>
            <b/>
            <sz val="8"/>
            <color indexed="81"/>
            <rFont val="Tahoma"/>
            <family val="2"/>
          </rPr>
          <t>lorrsilv:</t>
        </r>
        <r>
          <rPr>
            <sz val="8"/>
            <color indexed="81"/>
            <rFont val="Tahoma"/>
            <family val="2"/>
          </rPr>
          <t xml:space="preserve">
usage from monthly CLC bill for LP 159900000-160978</t>
        </r>
      </text>
    </comment>
    <comment ref="C50" authorId="0">
      <text>
        <r>
          <rPr>
            <b/>
            <sz val="8"/>
            <color indexed="81"/>
            <rFont val="Tahoma"/>
            <family val="2"/>
          </rPr>
          <t>lorrsilv:</t>
        </r>
        <r>
          <rPr>
            <sz val="8"/>
            <color indexed="81"/>
            <rFont val="Tahoma"/>
            <family val="2"/>
          </rPr>
          <t xml:space="preserve">
usage from monthly CLC bill for Cogen 1 - 150148950-160459</t>
        </r>
      </text>
    </comment>
    <comment ref="C51" authorId="0">
      <text>
        <r>
          <rPr>
            <b/>
            <sz val="8"/>
            <color indexed="81"/>
            <rFont val="Tahoma"/>
            <family val="2"/>
          </rPr>
          <t>lorrsilv:</t>
        </r>
        <r>
          <rPr>
            <sz val="8"/>
            <color indexed="81"/>
            <rFont val="Tahoma"/>
            <family val="2"/>
          </rPr>
          <t xml:space="preserve">
usage from monthly CLC bill for Cogen 2 - 150148952-160460</t>
        </r>
      </text>
    </comment>
    <comment ref="C52" authorId="0">
      <text>
        <r>
          <rPr>
            <b/>
            <sz val="8"/>
            <color indexed="81"/>
            <rFont val="Tahoma"/>
            <family val="2"/>
          </rPr>
          <t>lorrsilv:</t>
        </r>
        <r>
          <rPr>
            <sz val="8"/>
            <color indexed="81"/>
            <rFont val="Tahoma"/>
            <family val="2"/>
          </rPr>
          <t xml:space="preserve">
usage from monthly CLC bill for CP Boilers - 150148954-160461</t>
        </r>
      </text>
    </comment>
    <comment ref="B58"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AC or the Megawatt Hours (MWHS) under the Turbine Hours Summary that amount will be entered here</t>
        </r>
      </text>
    </comment>
    <comment ref="C59" authorId="0">
      <text>
        <r>
          <rPr>
            <b/>
            <sz val="8"/>
            <color indexed="81"/>
            <rFont val="Tahoma"/>
            <family val="2"/>
          </rPr>
          <t>lorrsilv:</t>
        </r>
        <r>
          <rPr>
            <sz val="8"/>
            <color indexed="81"/>
            <rFont val="Tahoma"/>
            <family val="2"/>
          </rPr>
          <t xml:space="preserve">
Total energy cost usage from the EPEC bill</t>
        </r>
      </text>
    </comment>
    <comment ref="B82" authorId="0">
      <text>
        <r>
          <rPr>
            <b/>
            <sz val="8"/>
            <color indexed="81"/>
            <rFont val="Tahoma"/>
            <family val="2"/>
          </rPr>
          <t>lorrsilv:</t>
        </r>
        <r>
          <rPr>
            <sz val="8"/>
            <color indexed="81"/>
            <rFont val="Tahoma"/>
            <family val="2"/>
          </rPr>
          <t xml:space="preserve">
Utility Meters --&gt;Under Domestic Water utility type --&gt; Monthly Well Totals --&gt;  Well-10 tab - enter gallons for month being billed</t>
        </r>
      </text>
    </comment>
    <comment ref="B83" authorId="0">
      <text>
        <r>
          <rPr>
            <b/>
            <sz val="8"/>
            <color indexed="81"/>
            <rFont val="Tahoma"/>
            <family val="2"/>
          </rPr>
          <t>lorrsilv:</t>
        </r>
        <r>
          <rPr>
            <sz val="8"/>
            <color indexed="81"/>
            <rFont val="Tahoma"/>
            <family val="2"/>
          </rPr>
          <t xml:space="preserve">
Utility Meters --&gt;Under Domestic Water utility type --&gt; Monthly Well Totals --&gt;  Well-14 tab - enter gallons for month being billed</t>
        </r>
      </text>
    </comment>
    <comment ref="B84" authorId="0">
      <text>
        <r>
          <rPr>
            <b/>
            <sz val="8"/>
            <color indexed="81"/>
            <rFont val="Tahoma"/>
            <family val="2"/>
          </rPr>
          <t>lorrsilv:</t>
        </r>
        <r>
          <rPr>
            <sz val="8"/>
            <color indexed="81"/>
            <rFont val="Tahoma"/>
            <family val="2"/>
          </rPr>
          <t xml:space="preserve">
Utility Meters --&gt;Under Domestic Water utility type --&gt; Monthly Well Totals --&gt;  Well-16 tab - enter gallons for month being billed</t>
        </r>
      </text>
    </comment>
    <comment ref="B85" authorId="0">
      <text>
        <r>
          <rPr>
            <b/>
            <sz val="8"/>
            <color indexed="81"/>
            <rFont val="Tahoma"/>
            <family val="2"/>
          </rPr>
          <t>lorrsilv:</t>
        </r>
        <r>
          <rPr>
            <sz val="8"/>
            <color indexed="81"/>
            <rFont val="Tahoma"/>
            <family val="2"/>
          </rPr>
          <t xml:space="preserve">
Utility Meters --&gt;Under Domestic Water utility type --&gt; Monthly Well Totals --&gt;  Well-17 tab - enter gallons for month being billed</t>
        </r>
      </text>
    </comment>
    <comment ref="B86" authorId="0">
      <text>
        <r>
          <rPr>
            <b/>
            <sz val="8"/>
            <color indexed="81"/>
            <rFont val="Tahoma"/>
            <family val="2"/>
          </rPr>
          <t>lorrsilv:</t>
        </r>
        <r>
          <rPr>
            <sz val="8"/>
            <color indexed="81"/>
            <rFont val="Tahoma"/>
            <family val="2"/>
          </rPr>
          <t xml:space="preserve">
usage from monthly CLC bill for LP 159900000-160978</t>
        </r>
      </text>
    </comment>
    <comment ref="B9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P or the Total Gals (CGAL) under the Cond. Make Up header, that amount will be entered here.
Number should match the Gallons CGAL column on the Condensate MU Report tab</t>
        </r>
      </text>
    </comment>
    <comment ref="B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C93" authorId="1">
      <text>
        <r>
          <rPr>
            <b/>
            <sz val="9"/>
            <color indexed="81"/>
            <rFont val="Tahoma"/>
            <family val="2"/>
          </rPr>
          <t xml:space="preserve">Ignacios:
Niagara/System Meters/Utility Meters/ Domestic Water/ Boiler Condensate Makeup </t>
        </r>
        <r>
          <rPr>
            <sz val="9"/>
            <color indexed="81"/>
            <rFont val="Tahoma"/>
            <family val="2"/>
          </rPr>
          <t xml:space="preserve">
</t>
        </r>
      </text>
    </comment>
    <comment ref="B96" authorId="0">
      <text>
        <r>
          <rPr>
            <b/>
            <sz val="8"/>
            <color indexed="81"/>
            <rFont val="Tahoma"/>
            <family val="2"/>
          </rPr>
          <t>Ignacios:
Niagara/System Meters/Utility Meters/ Domestic Water/ CUP Tower-1 Makeup</t>
        </r>
      </text>
    </comment>
    <comment ref="C96" authorId="0">
      <text>
        <r>
          <rPr>
            <b/>
            <sz val="8"/>
            <color indexed="81"/>
            <rFont val="Tahoma"/>
            <family val="2"/>
          </rPr>
          <t>Ignacios:
Niagara/System Meters/Utility Meters/ Domestic Water/ CUP Tower-1 Makeup</t>
        </r>
      </text>
    </comment>
    <comment ref="B97" authorId="0">
      <text>
        <r>
          <rPr>
            <b/>
            <sz val="8"/>
            <color indexed="81"/>
            <rFont val="Tahoma"/>
            <family val="2"/>
          </rPr>
          <t>Ignacios:
Niagara/System Meters/Utility Meters/ Domestic Water/ CUP Tower-2 Makeup</t>
        </r>
      </text>
    </comment>
    <comment ref="C97" authorId="0">
      <text>
        <r>
          <rPr>
            <b/>
            <sz val="8"/>
            <color indexed="81"/>
            <rFont val="Tahoma"/>
            <family val="2"/>
          </rPr>
          <t>Ignacios:
Niagara/System Meters/Utility Meters/ Domestic Water/ CUP Tower-2 Makeup</t>
        </r>
      </text>
    </comment>
    <comment ref="B98" authorId="0">
      <text>
        <r>
          <rPr>
            <b/>
            <sz val="8"/>
            <color indexed="81"/>
            <rFont val="Tahoma"/>
            <family val="2"/>
          </rPr>
          <t xml:space="preserve">Ignacios:
Niagara/System Meters/Utility Meters/ Domestic Water/ CUP Tower-3 Makeup </t>
        </r>
      </text>
    </comment>
    <comment ref="C98" authorId="0">
      <text>
        <r>
          <rPr>
            <b/>
            <sz val="8"/>
            <color indexed="81"/>
            <rFont val="Tahoma"/>
            <family val="2"/>
          </rPr>
          <t xml:space="preserve">Ignacios:
Niagara/System Meters/Utility Meters/ Domestic Water/ CUP Tower-3 Makeup </t>
        </r>
      </text>
    </comment>
    <comment ref="B99" authorId="1">
      <text>
        <r>
          <rPr>
            <b/>
            <sz val="9"/>
            <color indexed="81"/>
            <rFont val="Tahoma"/>
            <family val="2"/>
          </rPr>
          <t>Ignacios:
Niagara/System Meters/Utility Meters/ Domestic Water/ Cogen Marley Makeup</t>
        </r>
        <r>
          <rPr>
            <sz val="9"/>
            <color indexed="81"/>
            <rFont val="Tahoma"/>
            <family val="2"/>
          </rPr>
          <t xml:space="preserve">
</t>
        </r>
      </text>
    </comment>
    <comment ref="C99" authorId="1">
      <text>
        <r>
          <rPr>
            <b/>
            <sz val="9"/>
            <color indexed="81"/>
            <rFont val="Tahoma"/>
            <family val="2"/>
          </rPr>
          <t>Ignacios:
Niagara/System Meters/Utility Meters/ Domestic Water/ Cogen Marley Makeup</t>
        </r>
        <r>
          <rPr>
            <sz val="9"/>
            <color indexed="81"/>
            <rFont val="Tahoma"/>
            <family val="2"/>
          </rPr>
          <t xml:space="preserve">
</t>
        </r>
      </text>
    </comment>
    <comment ref="B102" authorId="0">
      <text>
        <r>
          <rPr>
            <b/>
            <sz val="8"/>
            <color indexed="81"/>
            <rFont val="Tahoma"/>
            <family val="2"/>
          </rPr>
          <t>Ignacios:
Niagara/System Meters/Utility Meters/ Domestic Water/ CUP Cool Pool Makeup</t>
        </r>
      </text>
    </comment>
    <comment ref="C102" authorId="0">
      <text>
        <r>
          <rPr>
            <b/>
            <sz val="8"/>
            <color indexed="81"/>
            <rFont val="Tahoma"/>
            <family val="2"/>
          </rPr>
          <t>Ignacios:
Niagara/System Meters/Utility Meters/ Domestic Water/ CUP Cool Pool Makeup</t>
        </r>
      </text>
    </comment>
    <comment ref="B103" authorId="0">
      <text>
        <r>
          <rPr>
            <b/>
            <sz val="8"/>
            <color indexed="81"/>
            <rFont val="Tahoma"/>
            <family val="2"/>
          </rPr>
          <t xml:space="preserve">Ignacios:
Niagara/System Meters/Utility Meters/ Domestic Water/ CHW Closed Loop Makeup </t>
        </r>
      </text>
    </comment>
    <comment ref="C103" authorId="0">
      <text>
        <r>
          <rPr>
            <b/>
            <sz val="8"/>
            <color indexed="81"/>
            <rFont val="Tahoma"/>
            <family val="2"/>
          </rPr>
          <t xml:space="preserve">Ignacios:
Niagara/System Meters/Utility Meters/ Domestic Water/ CHW Closed Loop Makeup </t>
        </r>
      </text>
    </comment>
    <comment ref="C129"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B or the Total Steam (TS1) under the Boiler 1 header, that amount will be entered here.
Also available from the Montly Totals tab under each Boiler and the Steam amt </t>
        </r>
      </text>
    </comment>
    <comment ref="C130"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D or the Total Steam (TS2) under the Boiler 2 header, that amount will be entered here</t>
        </r>
      </text>
    </comment>
    <comment ref="C131"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F or the Total Steam (TS3) under the Boiler 3 header, that amount will be entered here</t>
        </r>
      </text>
    </comment>
    <comment ref="C132" authorId="0">
      <text>
        <r>
          <rPr>
            <b/>
            <sz val="8"/>
            <color indexed="81"/>
            <rFont val="Tahoma"/>
            <family val="2"/>
          </rPr>
          <t>lorrsilv:</t>
        </r>
        <r>
          <rPr>
            <sz val="8"/>
            <color indexed="81"/>
            <rFont val="Tahoma"/>
            <family val="2"/>
          </rPr>
          <t xml:space="preserve">
Open the spreadsheet
Utilities\glenn\{year}\cup_reports_{year} --&gt; on MonthlyData tab change the date range at the top to the month billing for. Take the sum of column H or the Total Steam (TS4) under the WHRS 4 (Turbine) header, that amount will be entered here</t>
        </r>
      </text>
    </comment>
    <comment ref="B136" authorId="1">
      <text>
        <r>
          <rPr>
            <b/>
            <sz val="9"/>
            <color indexed="81"/>
            <rFont val="Tahoma"/>
            <family val="2"/>
          </rPr>
          <t xml:space="preserve">Ignacios:
Total Steam to Absorbers </t>
        </r>
        <r>
          <rPr>
            <sz val="9"/>
            <color indexed="81"/>
            <rFont val="Tahoma"/>
            <family val="2"/>
          </rPr>
          <t xml:space="preserve">
</t>
        </r>
      </text>
    </comment>
    <comment ref="B142" authorId="0">
      <text>
        <r>
          <rPr>
            <b/>
            <sz val="8"/>
            <color indexed="81"/>
            <rFont val="Tahoma"/>
            <family val="2"/>
          </rPr>
          <t>lorrsilv:</t>
        </r>
        <r>
          <rPr>
            <sz val="8"/>
            <color indexed="81"/>
            <rFont val="Tahoma"/>
            <family val="2"/>
          </rPr>
          <t xml:space="preserve">
Utility Meters --&gt;Under Chilled Water utility type --&gt;Chiller Production --&gt;Chiller-1 Ton Hours --&gt; Change to last month on data table then scroll down to last day of month</t>
        </r>
      </text>
    </comment>
    <comment ref="B143" authorId="0">
      <text>
        <r>
          <rPr>
            <b/>
            <sz val="8"/>
            <color indexed="81"/>
            <rFont val="Tahoma"/>
            <family val="2"/>
          </rPr>
          <t>lorrsilv:</t>
        </r>
        <r>
          <rPr>
            <sz val="8"/>
            <color indexed="81"/>
            <rFont val="Tahoma"/>
            <family val="2"/>
          </rPr>
          <t xml:space="preserve">
Utility Meters --&gt;Under Chilled Water utility type --&gt;Chiller Production --&gt;Chiller-2 Ton Hours --&gt; Change to last month on data table then scroll down to last day of month</t>
        </r>
      </text>
    </comment>
    <comment ref="B144" authorId="0">
      <text>
        <r>
          <rPr>
            <b/>
            <sz val="8"/>
            <color indexed="81"/>
            <rFont val="Tahoma"/>
            <family val="2"/>
          </rPr>
          <t>lorrsilv:</t>
        </r>
        <r>
          <rPr>
            <sz val="8"/>
            <color indexed="81"/>
            <rFont val="Tahoma"/>
            <family val="2"/>
          </rPr>
          <t xml:space="preserve">
Utility Meters --&gt;Under Chilled Water utility type --&gt;Chiller Production --&gt;Chiller-3 Ton Hours --&gt; Change to last month on data table then scroll down to last day of month</t>
        </r>
      </text>
    </comment>
    <comment ref="B148" authorId="0">
      <text>
        <r>
          <rPr>
            <b/>
            <sz val="8"/>
            <color indexed="81"/>
            <rFont val="Tahoma"/>
            <family val="2"/>
          </rPr>
          <t>lorrsilv:</t>
        </r>
        <r>
          <rPr>
            <sz val="8"/>
            <color indexed="81"/>
            <rFont val="Tahoma"/>
            <family val="2"/>
          </rPr>
          <t xml:space="preserve">
Utility Meters --&gt;Under Chilled Water utility type --&gt;Chiller Production --&gt;Chiller-4 Ton Hours --&gt; Change to last month on data table then scroll down to last day of month</t>
        </r>
      </text>
    </comment>
    <comment ref="B149" authorId="0">
      <text>
        <r>
          <rPr>
            <b/>
            <sz val="8"/>
            <color indexed="81"/>
            <rFont val="Tahoma"/>
            <family val="2"/>
          </rPr>
          <t>lorrsilv:</t>
        </r>
        <r>
          <rPr>
            <sz val="8"/>
            <color indexed="81"/>
            <rFont val="Tahoma"/>
            <family val="2"/>
          </rPr>
          <t xml:space="preserve">
Utility Meters --&gt;Under Chilled Water utility type --&gt;Chiller Production --&gt;Chiller-5 Ton Hours --&gt; Change to last month on data table then scroll down to last day of month</t>
        </r>
      </text>
    </comment>
    <comment ref="B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C153" authorId="0">
      <text>
        <r>
          <rPr>
            <b/>
            <sz val="8"/>
            <color indexed="81"/>
            <rFont val="Tahoma"/>
            <family val="2"/>
          </rPr>
          <t>lorrsilv:</t>
        </r>
        <r>
          <rPr>
            <sz val="8"/>
            <color indexed="81"/>
            <rFont val="Tahoma"/>
            <family val="2"/>
          </rPr>
          <t xml:space="preserve">
Utility Meters --&gt;Under Chilled Water utility type --&gt;Chiller Production --&gt;Chiller-6 Ton Hours --&gt; Ton Hours Table tab --&gt; Change to Last Month option--&gt;scroll down to last day of month and enter the reading</t>
        </r>
      </text>
    </comment>
    <comment ref="B170" authorId="0">
      <text>
        <r>
          <rPr>
            <b/>
            <sz val="8"/>
            <color indexed="81"/>
            <rFont val="Tahoma"/>
            <family val="2"/>
          </rPr>
          <t>lorrsilv:</t>
        </r>
        <r>
          <rPr>
            <sz val="8"/>
            <color indexed="81"/>
            <rFont val="Tahoma"/>
            <family val="2"/>
          </rPr>
          <t xml:space="preserve">
usage from monthly CLC bill for LP 159900000-160978</t>
        </r>
      </text>
    </comment>
  </commentList>
</comments>
</file>

<file path=xl/sharedStrings.xml><?xml version="1.0" encoding="utf-8"?>
<sst xmlns="http://schemas.openxmlformats.org/spreadsheetml/2006/main" count="4338" uniqueCount="331">
  <si>
    <t>NEW MEXICO STATE UNIVERSITY</t>
  </si>
  <si>
    <t>OFFICE OF FACILITIES AND SERVICES</t>
  </si>
  <si>
    <t>MONTHLY UTILITY BILLING DATA</t>
  </si>
  <si>
    <t>Billing Period:</t>
  </si>
  <si>
    <t>Meter</t>
  </si>
  <si>
    <t>Utility</t>
  </si>
  <si>
    <t>Units</t>
  </si>
  <si>
    <t>Reading</t>
  </si>
  <si>
    <t>Usage</t>
  </si>
  <si>
    <t>Bill Amt</t>
  </si>
  <si>
    <t>MCF</t>
  </si>
  <si>
    <t>LPNG_MASTER</t>
  </si>
  <si>
    <t>LP NATURAL GAS</t>
  </si>
  <si>
    <t>DTH</t>
  </si>
  <si>
    <r>
      <t>From CoLC bill -</t>
    </r>
    <r>
      <rPr>
        <b/>
        <sz val="12"/>
        <color rgb="FFFF0000"/>
        <rFont val="Calibri"/>
        <family val="2"/>
      </rPr>
      <t xml:space="preserve"> 
multiply by .9756</t>
    </r>
  </si>
  <si>
    <t xml:space="preserve">from CLC bill </t>
  </si>
  <si>
    <t>COGEN-1</t>
  </si>
  <si>
    <t>HP NATURAL GAS</t>
  </si>
  <si>
    <t>from CLC bill 150148950-160459</t>
  </si>
  <si>
    <t>COGEN-2</t>
  </si>
  <si>
    <t xml:space="preserve">from CLC bill 150148952-160460 </t>
  </si>
  <si>
    <t>COGEN-3</t>
  </si>
  <si>
    <t xml:space="preserve">Boilers from CLC bill 150148954-160461 </t>
  </si>
  <si>
    <t>HPNG_MASTER</t>
  </si>
  <si>
    <t>Sum of all HP Gas</t>
  </si>
  <si>
    <t>CIRCUIT_01</t>
  </si>
  <si>
    <t>ELECTRIC ENERGY</t>
  </si>
  <si>
    <t>KWH</t>
  </si>
  <si>
    <t>Power Rich Data</t>
  </si>
  <si>
    <t>ELEC-CHILLED-A</t>
  </si>
  <si>
    <t>KWH-PER-TONHR-A</t>
  </si>
  <si>
    <t>Niagara</t>
  </si>
  <si>
    <t>ELEC-CHILLED-E</t>
  </si>
  <si>
    <t>KWH-PER-TONHR-E</t>
  </si>
  <si>
    <t>ELEC-STEAM</t>
  </si>
  <si>
    <t>KWH-PER-KPPH</t>
  </si>
  <si>
    <t>CUP Report</t>
  </si>
  <si>
    <t>Total steam usage from Steam tab</t>
  </si>
  <si>
    <t>ELEC_MASTER</t>
  </si>
  <si>
    <t>From El Paso Electric bill</t>
  </si>
  <si>
    <t>DWTR_MASTER</t>
  </si>
  <si>
    <t>DOMESTIC WATER</t>
  </si>
  <si>
    <t>KGAL</t>
  </si>
  <si>
    <t xml:space="preserve">Sum of well meters </t>
  </si>
  <si>
    <t>from CLC bill 1599000000-160978</t>
  </si>
  <si>
    <t>WATER-STEAM</t>
  </si>
  <si>
    <t>WATER-CLTRW</t>
  </si>
  <si>
    <t>WATER-CHW</t>
  </si>
  <si>
    <t>STEAM-CHILLED</t>
  </si>
  <si>
    <t>STEAM</t>
  </si>
  <si>
    <t>KLB</t>
  </si>
  <si>
    <t>Steam usage for CHW production from Steam tab</t>
  </si>
  <si>
    <t>STEAM_MASTER</t>
  </si>
  <si>
    <t>CHW_MASTER</t>
  </si>
  <si>
    <t>CHILLED WATER</t>
  </si>
  <si>
    <t>TON-HR</t>
  </si>
  <si>
    <t>SEWER_MASTER</t>
  </si>
  <si>
    <t>SEWER</t>
  </si>
  <si>
    <t>From CoLC bill</t>
  </si>
  <si>
    <t>Natural Gas Maintenance Cost Calculation</t>
  </si>
  <si>
    <t xml:space="preserve"> </t>
  </si>
  <si>
    <t>HP</t>
  </si>
  <si>
    <r>
      <t xml:space="preserve">Cogen 1+Cogen2+Boilers = </t>
    </r>
    <r>
      <rPr>
        <b/>
        <sz val="12"/>
        <color rgb="FFFF0000"/>
        <rFont val="Calibri"/>
        <family val="2"/>
      </rPr>
      <t>HP Gas Purchased</t>
    </r>
  </si>
  <si>
    <t>LP</t>
  </si>
  <si>
    <t>Total Natural Gas Purchased</t>
  </si>
  <si>
    <t>Campus Gas</t>
  </si>
  <si>
    <t>Low pressure Natural Gas</t>
  </si>
  <si>
    <t>Desc.</t>
  </si>
  <si>
    <t>UOM</t>
  </si>
  <si>
    <t>Total</t>
  </si>
  <si>
    <t>CLC Purchase</t>
  </si>
  <si>
    <t>High Pressure Natural Gas</t>
  </si>
  <si>
    <t>CO-GEN 1</t>
  </si>
  <si>
    <t>CO-GEN 2</t>
  </si>
  <si>
    <t>CO-GEN 3</t>
  </si>
  <si>
    <t>Campus Electric</t>
  </si>
  <si>
    <t>MwHrs.</t>
  </si>
  <si>
    <t>KwHrs</t>
  </si>
  <si>
    <t>NMSU</t>
  </si>
  <si>
    <t>kWh</t>
  </si>
  <si>
    <t>Taken from Utilities\glenn\ {year}\cup_reports_{year}</t>
  </si>
  <si>
    <t>EPE</t>
  </si>
  <si>
    <t>Follow instructions on first tab.</t>
  </si>
  <si>
    <t>Master</t>
  </si>
  <si>
    <t>Reading 1st</t>
  </si>
  <si>
    <t>Reading EOM</t>
  </si>
  <si>
    <t xml:space="preserve">Taken from Niagara/Utility Meters/Electric Meters/Tortugas TF-1 </t>
  </si>
  <si>
    <t>Circuit_01</t>
  </si>
  <si>
    <t>Reading already picked up with Niagara Readings</t>
  </si>
  <si>
    <t>Electric Meter Calculations</t>
  </si>
  <si>
    <t>Gerald Thomas/Blakes</t>
  </si>
  <si>
    <t xml:space="preserve">KC Gerald Thomas usage - </t>
  </si>
  <si>
    <t>Adjusted KC Gerald Thomas reading-</t>
  </si>
  <si>
    <t>Campus Water</t>
  </si>
  <si>
    <t>Source</t>
  </si>
  <si>
    <t>GAL</t>
  </si>
  <si>
    <t>WATER USAGE</t>
  </si>
  <si>
    <t>From FS_Projects_Dev_&amp;_Engr\Engineering\Common\engr\Engineering Data\Wells Reports\F-waterconfee\{year}\month</t>
  </si>
  <si>
    <t>Well-10</t>
  </si>
  <si>
    <t>Well-14</t>
  </si>
  <si>
    <t>Well-16</t>
  </si>
  <si>
    <t>Well-17</t>
  </si>
  <si>
    <t>CLC</t>
  </si>
  <si>
    <t>Taken from the CLC LP Gas Bill</t>
  </si>
  <si>
    <t>Master Meter</t>
  </si>
  <si>
    <t>AiM METER</t>
  </si>
  <si>
    <t>Prev. Reading</t>
  </si>
  <si>
    <t>New reading</t>
  </si>
  <si>
    <t>Taken from CUP Reports: Utilities Common/Glenn/CUP_Reports_YYYY</t>
  </si>
  <si>
    <t>Boiler Condensate Makeup</t>
  </si>
  <si>
    <t xml:space="preserve">Previous Reading </t>
  </si>
  <si>
    <t xml:space="preserve">Current Reading </t>
  </si>
  <si>
    <t>Total Gal</t>
  </si>
  <si>
    <t>This reading is probably the most accurate</t>
  </si>
  <si>
    <t>Previous Reading</t>
  </si>
  <si>
    <t>Current Reading</t>
  </si>
  <si>
    <t>Tower # 1</t>
  </si>
  <si>
    <t>Tower # 2</t>
  </si>
  <si>
    <t>Tower # 3</t>
  </si>
  <si>
    <t>Co-Gen</t>
  </si>
  <si>
    <t>Cool Pool</t>
  </si>
  <si>
    <t>Chilled Water</t>
  </si>
  <si>
    <t>METER</t>
  </si>
  <si>
    <t>% OF TOTAL</t>
  </si>
  <si>
    <t>STIPULATED AMOUNTS</t>
  </si>
  <si>
    <t>VDOM_CAMPUS_IR</t>
  </si>
  <si>
    <r>
      <rPr>
        <sz val="12"/>
        <color rgb="FFFF0000"/>
        <rFont val="Calibri"/>
        <family val="2"/>
      </rPr>
      <t>AFTER THE CLC USAGE HAS BEEN ENTERED ONLY!!!</t>
    </r>
    <r>
      <rPr>
        <sz val="11"/>
        <color theme="1"/>
        <rFont val="Calibri"/>
        <family val="2"/>
        <scheme val="minor"/>
      </rPr>
      <t xml:space="preserve"> ENTER THESE AMOUNTS INTO THE (VIEW&gt;SELECT:) VIRTUAL METER INFORMATION SCREEN FOR THE APPROPRIATE BILLING PERIOD.</t>
    </r>
  </si>
  <si>
    <t>VDOM_AG_IRR</t>
  </si>
  <si>
    <t>VDOM_FIXED</t>
  </si>
  <si>
    <t>Campus Steam</t>
  </si>
  <si>
    <t>Boiler 1</t>
  </si>
  <si>
    <t>LBS</t>
  </si>
  <si>
    <t>Boiler 2</t>
  </si>
  <si>
    <t>Boiler 3</t>
  </si>
  <si>
    <t>Boiler 4</t>
  </si>
  <si>
    <t>Lbs.</t>
  </si>
  <si>
    <t>KLbs.</t>
  </si>
  <si>
    <t>Steam-Chilled</t>
  </si>
  <si>
    <t>Steam-Master</t>
  </si>
  <si>
    <t>Campus Chilled Water</t>
  </si>
  <si>
    <t>Electric Chillers</t>
  </si>
  <si>
    <t>Production</t>
  </si>
  <si>
    <t>Taken from Niagara: System Meters/Utility Meters/CUP Chilled Water</t>
  </si>
  <si>
    <t>CHR-01</t>
  </si>
  <si>
    <t>Ton-Hrs.</t>
  </si>
  <si>
    <t>CHR-02</t>
  </si>
  <si>
    <t>CHR-03</t>
  </si>
  <si>
    <t>Subtotal</t>
  </si>
  <si>
    <t>Absorbers</t>
  </si>
  <si>
    <t>CHR-04</t>
  </si>
  <si>
    <t>CHR-05</t>
  </si>
  <si>
    <t>SUP</t>
  </si>
  <si>
    <t>CHR-06</t>
  </si>
  <si>
    <t>Beg Reading</t>
  </si>
  <si>
    <t>Ending Reading</t>
  </si>
  <si>
    <t>Total Ton-Hrs.</t>
  </si>
  <si>
    <t>CHR-07</t>
  </si>
  <si>
    <t>Total SUP</t>
  </si>
  <si>
    <t>Total CHW</t>
  </si>
  <si>
    <t>Campus Sewer</t>
  </si>
  <si>
    <t>Gallons</t>
  </si>
  <si>
    <t>Kgals.</t>
  </si>
  <si>
    <t>Sewage</t>
  </si>
  <si>
    <t>From CLC LP Gas bill</t>
  </si>
  <si>
    <t>Stipulated Meters</t>
  </si>
  <si>
    <t>VSEWER</t>
  </si>
  <si>
    <t>ENTER THESE AMOUNTS INTO THE (VIEW&gt;SELECT:) VIRTUAL METER INFORMATION SCREEN FOR THE APPROPRIATE BILLING PERIOD.</t>
  </si>
  <si>
    <t xml:space="preserve">KC Gerald Thomas 5kv Reading for - </t>
  </si>
  <si>
    <t xml:space="preserve">KC Gerald Thomas  usage for - </t>
  </si>
  <si>
    <t xml:space="preserve">K-1 Blakes Reading for - </t>
  </si>
  <si>
    <t xml:space="preserve">K-1 Blakes Reading  for - </t>
  </si>
  <si>
    <t>November</t>
  </si>
  <si>
    <t>December</t>
  </si>
  <si>
    <t xml:space="preserve">K-1 Blakes Usage for - </t>
  </si>
  <si>
    <r>
      <t>From CoLC bill -</t>
    </r>
    <r>
      <rPr>
        <b/>
        <sz val="11"/>
        <color rgb="FFFF0000"/>
        <rFont val="Calibri"/>
        <family val="2"/>
        <scheme val="minor"/>
      </rPr>
      <t xml:space="preserve"> 
multiply by .9756</t>
    </r>
  </si>
  <si>
    <r>
      <t xml:space="preserve">Cogen 1+Cogen2+Boilers = </t>
    </r>
    <r>
      <rPr>
        <b/>
        <sz val="11"/>
        <color rgb="FFFF0000"/>
        <rFont val="Calibri"/>
        <family val="2"/>
        <scheme val="minor"/>
      </rPr>
      <t>HP Gas Purchased</t>
    </r>
  </si>
  <si>
    <r>
      <rPr>
        <sz val="11"/>
        <color rgb="FFFF0000"/>
        <rFont val="Calibri"/>
        <family val="2"/>
        <scheme val="minor"/>
      </rPr>
      <t>AFTER THE CLC USAGE HAS BEEN ENTERED ONLY!!!</t>
    </r>
    <r>
      <rPr>
        <sz val="11"/>
        <color theme="1"/>
        <rFont val="Calibri"/>
        <family val="2"/>
        <scheme val="minor"/>
      </rPr>
      <t xml:space="preserve"> ENTER THESE AMOUNTS INTO THE (VIEW&gt;SELECT:) VIRTUAL METER INFORMATION SCREEN FOR THE APPROPRIATE BILLING PERIOD.</t>
    </r>
  </si>
  <si>
    <t>*ton-hrs provided by Pat Chavez - email dated 11/25/2013</t>
  </si>
  <si>
    <t>Jan</t>
  </si>
  <si>
    <t>Feb</t>
  </si>
  <si>
    <t>For February - virtuals based on total less service and production totals</t>
  </si>
  <si>
    <t>Mar</t>
  </si>
  <si>
    <t>April</t>
  </si>
  <si>
    <t>Enter this amount under the Virtual Meter Information option of meter</t>
  </si>
  <si>
    <t>from niagara</t>
  </si>
  <si>
    <t>from data logger readings</t>
  </si>
  <si>
    <t>KC</t>
  </si>
  <si>
    <t>CHR-08</t>
  </si>
  <si>
    <t>May</t>
  </si>
  <si>
    <t>June</t>
  </si>
  <si>
    <t>Purchased</t>
  </si>
  <si>
    <t>Generated</t>
  </si>
  <si>
    <t>FY12</t>
  </si>
  <si>
    <t>FY13</t>
  </si>
  <si>
    <t>Low Press. Natural Gas</t>
  </si>
  <si>
    <t>High Press. Natural Gas</t>
  </si>
  <si>
    <t>Electric</t>
  </si>
  <si>
    <t>Turbine Electric</t>
  </si>
  <si>
    <t>Turbine Steam</t>
  </si>
  <si>
    <t>Boilers Steam</t>
  </si>
  <si>
    <t>KwHr</t>
  </si>
  <si>
    <t>KLb</t>
  </si>
  <si>
    <t>JULY</t>
  </si>
  <si>
    <t>AUGUST</t>
  </si>
  <si>
    <t>SEPTEMBER</t>
  </si>
  <si>
    <t>OCTOBER</t>
  </si>
  <si>
    <t>NOVEMBER</t>
  </si>
  <si>
    <t>DECEMBER</t>
  </si>
  <si>
    <t>JANUARY</t>
  </si>
  <si>
    <t>FEBRUARY</t>
  </si>
  <si>
    <t>MARCH</t>
  </si>
  <si>
    <t>APRIL</t>
  </si>
  <si>
    <t>MAY</t>
  </si>
  <si>
    <t>JUNE</t>
  </si>
  <si>
    <t>Subtotals</t>
  </si>
  <si>
    <t>Total Cost</t>
  </si>
  <si>
    <t>Domestic Water</t>
  </si>
  <si>
    <t>Purchase Cost</t>
  </si>
  <si>
    <t>Maintenance Cost</t>
  </si>
  <si>
    <t>Cost per unit</t>
  </si>
  <si>
    <t>Generation Cost</t>
  </si>
  <si>
    <t>Totals</t>
  </si>
  <si>
    <t>FY14</t>
  </si>
  <si>
    <t>Low Pressure</t>
  </si>
  <si>
    <t>High Pressure</t>
  </si>
  <si>
    <t>Billing Month</t>
  </si>
  <si>
    <t>Boilers</t>
  </si>
  <si>
    <t>Total HP DTH</t>
  </si>
  <si>
    <t>Total HP Costs</t>
  </si>
  <si>
    <t>Total DTH</t>
  </si>
  <si>
    <t>Cost</t>
  </si>
  <si>
    <t>July</t>
  </si>
  <si>
    <t>Aug</t>
  </si>
  <si>
    <t>Sept</t>
  </si>
  <si>
    <t>Oct</t>
  </si>
  <si>
    <t>Nov</t>
  </si>
  <si>
    <t>Dec</t>
  </si>
  <si>
    <t>Apr</t>
  </si>
  <si>
    <t>Cogen 1 - Turbine</t>
  </si>
  <si>
    <t>Cogen 2 - Turbine</t>
  </si>
  <si>
    <t>Cost per LP unit</t>
  </si>
  <si>
    <t>Cost per HP unit</t>
  </si>
  <si>
    <t>Average</t>
  </si>
  <si>
    <t>Cost of Gas Rate 
(from bill)</t>
  </si>
  <si>
    <t>Usage (Kgal)</t>
  </si>
  <si>
    <t>Total Costs</t>
  </si>
  <si>
    <t>Sewer</t>
  </si>
  <si>
    <t>FACILITIES &amp; SERVICES - UTILITIES</t>
  </si>
  <si>
    <t>FY14 SEWER AND WATER DATA - SIGHTLINES</t>
  </si>
  <si>
    <t>FY14 HIGH PRESSURE AND LOW PRESSURE GAS DATA - SIGHTLINES</t>
  </si>
  <si>
    <t>AS OF:</t>
  </si>
  <si>
    <t>BILLING MONTH</t>
  </si>
  <si>
    <t>HP NGAS</t>
  </si>
  <si>
    <r>
      <t xml:space="preserve">LP NGAS
</t>
    </r>
    <r>
      <rPr>
        <sz val="9"/>
        <color theme="1"/>
        <rFont val="Calibri"/>
        <family val="2"/>
        <scheme val="minor"/>
      </rPr>
      <t>(multiply LP Bill *.9756)</t>
    </r>
  </si>
  <si>
    <t>ELECTRICITY</t>
  </si>
  <si>
    <t>Year</t>
  </si>
  <si>
    <t>Current</t>
  </si>
  <si>
    <t>Jul</t>
  </si>
  <si>
    <t>2013</t>
  </si>
  <si>
    <t>2014</t>
  </si>
  <si>
    <t>Yearly Averages</t>
  </si>
  <si>
    <t>2012</t>
  </si>
  <si>
    <t>2011</t>
  </si>
  <si>
    <t xml:space="preserve">FY12 Utility Rates </t>
  </si>
  <si>
    <t xml:space="preserve">FY13 Utility Rates </t>
  </si>
  <si>
    <t xml:space="preserve">FY14 Utility Rates </t>
  </si>
  <si>
    <t>UTILITY RATES BY FISCAL YEAR - SIGHTLINES</t>
  </si>
  <si>
    <t>FY15 Summary</t>
  </si>
  <si>
    <t>Niagara -&gt; System Meters -&gt; Utility Meters -&gt; CUP Generator -&gt; On Total Energy graph choose last month then export data.  Calculate usage by taking last reading and subtract first reading, divide usage by 1000 for mwh;Taken from Utilities\glenn\ {year}\cup_reports_{year}</t>
  </si>
  <si>
    <t>disabled in niagara</t>
  </si>
  <si>
    <t>CHR-08-York Steam Chiller</t>
  </si>
  <si>
    <t>September</t>
  </si>
  <si>
    <t>October</t>
  </si>
  <si>
    <t>From Well reading sheets-Oct 2013</t>
  </si>
  <si>
    <t>From master spreadsheet</t>
  </si>
  <si>
    <t>From Well reading sheets-Oct 2014</t>
  </si>
  <si>
    <t>F00506</t>
  </si>
  <si>
    <t xml:space="preserve">KC Gerald Thomas 5kv Reading </t>
  </si>
  <si>
    <t>KC Gerald Thomas 5kv Reading</t>
  </si>
  <si>
    <t>KC Gerald Thomas usage</t>
  </si>
  <si>
    <t xml:space="preserve">K-1 Blakes Reading </t>
  </si>
  <si>
    <t>K-1 Blakes Usage</t>
  </si>
  <si>
    <t>508055gal per CUP report</t>
  </si>
  <si>
    <t>The usage from Feb bill was picked up as January amount; so this month will bill for the January 2015 CLC amount</t>
  </si>
  <si>
    <t>FY15</t>
  </si>
  <si>
    <t>Per Luis- his number is 3150.0</t>
  </si>
  <si>
    <t xml:space="preserve">Will use this adjusted usage for Febraury based on niagara readings.  Had to manually calculate </t>
  </si>
  <si>
    <t>Lost Niagara connection so -estimates are below</t>
  </si>
  <si>
    <t>FY15 TOTAL ENERGY DATA - SIGHTLINES</t>
  </si>
  <si>
    <t xml:space="preserve">AS OF </t>
  </si>
  <si>
    <t>NMSU Total Energy by FY</t>
  </si>
  <si>
    <t>FY Totals</t>
  </si>
  <si>
    <t>NMSU Total Energy Purchase Costs</t>
  </si>
  <si>
    <t>Spiritual Center-prior month reading</t>
  </si>
  <si>
    <t>Spiritual Center-current month reading</t>
  </si>
  <si>
    <t>Spiritual Center-current month usage</t>
  </si>
  <si>
    <t>Spiritual Center-prior month irrigation reading</t>
  </si>
  <si>
    <t>Spiritual Center-current month irrigation reading</t>
  </si>
  <si>
    <t>Spritual Center-current month usage</t>
  </si>
  <si>
    <t>Spiritual Center revised current month usage</t>
  </si>
  <si>
    <t>Spiritual Center revised current month reading</t>
  </si>
  <si>
    <t>gal</t>
  </si>
  <si>
    <t>DWT0652-01-00</t>
  </si>
  <si>
    <t>Gal</t>
  </si>
  <si>
    <t>AS OF</t>
  </si>
  <si>
    <t xml:space="preserve">FY15 Utility Rates </t>
  </si>
  <si>
    <t>2015</t>
  </si>
  <si>
    <t>FY16</t>
  </si>
  <si>
    <t>FY16 Steam</t>
  </si>
  <si>
    <t>Spritual Center-current month irrigation usage</t>
  </si>
  <si>
    <t>kgal</t>
  </si>
  <si>
    <t>Spritual Center- irrigationcurrent month usage</t>
  </si>
  <si>
    <t>from Utilities shop daily well readings</t>
  </si>
  <si>
    <t>Spritual Center-irrigationcurrent month usage</t>
  </si>
  <si>
    <t>7/2015</t>
  </si>
  <si>
    <t>9/2015</t>
  </si>
  <si>
    <t>10/2015</t>
  </si>
  <si>
    <t>11/2015</t>
  </si>
  <si>
    <t>12/2015</t>
  </si>
  <si>
    <t>01/2016</t>
  </si>
  <si>
    <t>02/2016</t>
  </si>
  <si>
    <t>03/2016</t>
  </si>
  <si>
    <t>04/2016</t>
  </si>
  <si>
    <t>05/2016</t>
  </si>
  <si>
    <t>06/2016</t>
  </si>
  <si>
    <t>Cogen 1</t>
  </si>
  <si>
    <t>Cogen 2</t>
  </si>
  <si>
    <t>Cost of Gas Rate</t>
  </si>
  <si>
    <t>Avg</t>
  </si>
  <si>
    <t>For April 2016-pulled from individual graphs in niagara</t>
  </si>
  <si>
    <t>used meter pictures not niagara reading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</si>
</sst>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4" formatCode="_(&quot;$&quot;* #,##0.00_);_(&quot;$&quot;* \(#,##0.00\);_(&quot;$&quot;* &quot;-&quot;??_);_(@_)"/>
    <numFmt numFmtId="43" formatCode="_(* #,##0.00_);_(* \(#,##0.00\);_(* &quot;-&quot;??_);_(@_)"/>
    <numFmt numFmtId="164" formatCode="0.0"/>
    <numFmt numFmtId="165" formatCode="0.0000"/>
    <numFmt numFmtId="166" formatCode="&quot;$&quot;#,##0.00"/>
    <numFmt numFmtId="167" formatCode="_(* #,##0_);_(* \(#,##0\);_(* &quot;-&quot;??_);_(@_)"/>
    <numFmt numFmtId="168" formatCode="[=0]0;0.0"/>
    <numFmt numFmtId="169" formatCode="0.0000%"/>
    <numFmt numFmtId="170" formatCode="_(* #,##0.000000_);_(* \(#,##0.000000\);_(* &quot;-&quot;??_);_(@_)"/>
    <numFmt numFmtId="171" formatCode="[$$-409]\ #,##0"/>
    <numFmt numFmtId="172" formatCode="_(* #,##0.0000_);_(* \(#,##0.0000\);_(* &quot;-&quot;??_);_(@_)"/>
    <numFmt numFmtId="173" formatCode="mmm\ yyyy"/>
    <numFmt numFmtId="174" formatCode="_(* #,##0.0000_);_(* \(#,##0.0000\);_(* &quot;-&quot;????_);_(@_)"/>
    <numFmt numFmtId="175" formatCode="#,##0.0"/>
    <numFmt numFmtId="176" formatCode="_(* #,##0.000_);_(* \(#,##0.000\);_(* &quot;-&quot;??_);_(@_)"/>
  </numFmts>
  <fonts count="7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Calibri"/>
      <family val="2"/>
    </font>
    <font>
      <sz val="12"/>
      <color theme="1"/>
      <name val="Calibri"/>
      <family val="2"/>
    </font>
    <font>
      <b/>
      <sz val="16"/>
      <color theme="1"/>
      <name val="Calibri"/>
      <family val="2"/>
    </font>
    <font>
      <b/>
      <sz val="14"/>
      <color theme="1"/>
      <name val="Calibri"/>
      <family val="2"/>
    </font>
    <font>
      <u/>
      <sz val="12"/>
      <color theme="10"/>
      <name val="Calibri"/>
      <family val="2"/>
    </font>
    <font>
      <sz val="12"/>
      <name val="Calibri"/>
      <family val="2"/>
    </font>
    <font>
      <b/>
      <sz val="12"/>
      <color rgb="FF0070C0"/>
      <name val="Calibri"/>
      <family val="2"/>
    </font>
    <font>
      <b/>
      <sz val="12"/>
      <color rgb="FFFF0000"/>
      <name val="Calibri"/>
      <family val="2"/>
    </font>
    <font>
      <sz val="12"/>
      <color rgb="FF0070C0"/>
      <name val="Calibri"/>
      <family val="2"/>
    </font>
    <font>
      <b/>
      <sz val="8"/>
      <color indexed="81"/>
      <name val="Tahoma"/>
      <family val="2"/>
    </font>
    <font>
      <sz val="8"/>
      <color indexed="81"/>
      <name val="Tahoma"/>
      <family val="2"/>
    </font>
    <font>
      <b/>
      <sz val="12"/>
      <name val="Calibri"/>
      <family val="2"/>
    </font>
    <font>
      <b/>
      <sz val="11"/>
      <color rgb="FFFF0000"/>
      <name val="Calibri"/>
      <family val="2"/>
    </font>
    <font>
      <sz val="12"/>
      <color rgb="FFFF0000"/>
      <name val="Calibri"/>
      <family val="2"/>
    </font>
    <font>
      <sz val="11"/>
      <name val="Calibri"/>
      <family val="2"/>
    </font>
    <font>
      <sz val="10"/>
      <name val="Arial"/>
      <family val="2"/>
    </font>
    <font>
      <sz val="10"/>
      <color theme="1"/>
      <name val="Calibri"/>
      <family val="2"/>
    </font>
    <font>
      <sz val="12"/>
      <color theme="1"/>
      <name val="Consolas"/>
      <family val="3"/>
    </font>
    <font>
      <b/>
      <sz val="9"/>
      <color indexed="81"/>
      <name val="Tahoma"/>
      <family val="2"/>
    </font>
    <font>
      <sz val="9"/>
      <color indexed="81"/>
      <name val="Tahoma"/>
      <family val="2"/>
    </font>
    <font>
      <sz val="12"/>
      <name val="Arial"/>
      <family val="2"/>
    </font>
    <font>
      <b/>
      <sz val="12"/>
      <color theme="0"/>
      <name val="Calibri"/>
      <family val="2"/>
    </font>
    <font>
      <b/>
      <sz val="14"/>
      <name val="Calibri"/>
      <family val="2"/>
    </font>
    <font>
      <sz val="11"/>
      <name val="Calibri"/>
      <family val="2"/>
      <scheme val="minor"/>
    </font>
    <font>
      <b/>
      <sz val="11"/>
      <color rgb="FFFF0000"/>
      <name val="Calibri"/>
      <family val="2"/>
      <scheme val="minor"/>
    </font>
    <font>
      <b/>
      <sz val="11"/>
      <name val="Calibri"/>
      <family val="2"/>
      <scheme val="minor"/>
    </font>
    <font>
      <b/>
      <sz val="18"/>
      <name val="Arial"/>
      <family val="2"/>
    </font>
    <font>
      <b/>
      <sz val="12"/>
      <name val="Arial"/>
      <family val="2"/>
    </font>
    <font>
      <u/>
      <sz val="10"/>
      <color theme="10"/>
      <name val="Arial"/>
      <family val="2"/>
    </font>
    <font>
      <u/>
      <sz val="11"/>
      <color theme="10"/>
      <name val="Calibri"/>
      <family val="2"/>
    </font>
    <font>
      <b/>
      <sz val="11"/>
      <color rgb="FF0070C0"/>
      <name val="Calibri"/>
      <family val="2"/>
      <scheme val="minor"/>
    </font>
    <font>
      <i/>
      <sz val="11"/>
      <color rgb="FFFF0000"/>
      <name val="Calibri"/>
      <family val="2"/>
      <scheme val="minor"/>
    </font>
    <font>
      <sz val="12"/>
      <color theme="0"/>
      <name val="Calibri"/>
      <family val="2"/>
    </font>
    <font>
      <b/>
      <sz val="11"/>
      <color rgb="FF00B050"/>
      <name val="Calibri"/>
      <family val="2"/>
      <scheme val="minor"/>
    </font>
    <font>
      <sz val="11"/>
      <color rgb="FF9966FF"/>
      <name val="Calibri"/>
      <family val="2"/>
      <scheme val="minor"/>
    </font>
    <font>
      <sz val="11"/>
      <color rgb="FF0070C0"/>
      <name val="Calibri"/>
      <family val="2"/>
      <scheme val="minor"/>
    </font>
    <font>
      <b/>
      <sz val="12"/>
      <color theme="1"/>
      <name val="Calibri"/>
      <family val="2"/>
      <scheme val="minor"/>
    </font>
    <font>
      <b/>
      <sz val="12"/>
      <color rgb="FFFF0000"/>
      <name val="Calibri"/>
      <family val="2"/>
      <scheme val="minor"/>
    </font>
    <font>
      <sz val="12"/>
      <color theme="1"/>
      <name val="Calibri"/>
      <family val="2"/>
      <scheme val="minor"/>
    </font>
    <font>
      <i/>
      <sz val="11"/>
      <color theme="1"/>
      <name val="Calibri"/>
      <family val="2"/>
      <scheme val="minor"/>
    </font>
    <font>
      <b/>
      <sz val="12"/>
      <color rgb="FF0070C0"/>
      <name val="Calibri"/>
      <family val="2"/>
      <scheme val="minor"/>
    </font>
    <font>
      <sz val="12"/>
      <color rgb="FF0070C0"/>
      <name val="Calibri"/>
      <family val="2"/>
      <scheme val="minor"/>
    </font>
    <font>
      <b/>
      <sz val="12"/>
      <color rgb="FF00B050"/>
      <name val="Calibri"/>
      <family val="2"/>
      <scheme val="minor"/>
    </font>
    <font>
      <sz val="12"/>
      <color rgb="FF00B050"/>
      <name val="Calibri"/>
      <family val="2"/>
      <scheme val="minor"/>
    </font>
    <font>
      <sz val="12"/>
      <color rgb="FFFF0000"/>
      <name val="Calibri"/>
      <family val="2"/>
      <scheme val="minor"/>
    </font>
    <font>
      <b/>
      <sz val="12"/>
      <name val="Calibri"/>
      <family val="2"/>
      <scheme val="minor"/>
    </font>
    <font>
      <sz val="9"/>
      <color theme="1"/>
      <name val="Calibri"/>
      <family val="2"/>
      <scheme val="minor"/>
    </font>
    <font>
      <sz val="11"/>
      <color indexed="8"/>
      <name val="Calibri"/>
      <family val="2"/>
    </font>
    <font>
      <i/>
      <sz val="11"/>
      <color rgb="FF0070C0"/>
      <name val="Calibri"/>
      <family val="2"/>
      <scheme val="minor"/>
    </font>
    <font>
      <b/>
      <sz val="11"/>
      <color rgb="FFC00000"/>
      <name val="Calibri"/>
      <family val="2"/>
      <scheme val="minor"/>
    </font>
    <font>
      <sz val="11"/>
      <color rgb="FFC00000"/>
      <name val="Calibri"/>
      <family val="2"/>
      <scheme val="minor"/>
    </font>
    <font>
      <b/>
      <sz val="12"/>
      <color rgb="FF0000FF"/>
      <name val="Calibri"/>
      <family val="2"/>
    </font>
    <font>
      <sz val="12"/>
      <color rgb="FF0000FF"/>
      <name val="Calibri"/>
      <family val="2"/>
    </font>
    <font>
      <sz val="11"/>
      <color rgb="FF0000FF"/>
      <name val="Calibri"/>
      <family val="2"/>
      <scheme val="minor"/>
    </font>
    <font>
      <b/>
      <sz val="11"/>
      <color rgb="FFFF3300"/>
      <name val="Calibri"/>
      <family val="2"/>
      <scheme val="minor"/>
    </font>
    <font>
      <b/>
      <sz val="11"/>
      <color rgb="FF0000FF"/>
      <name val="Calibri"/>
      <family val="2"/>
      <scheme val="minor"/>
    </font>
    <font>
      <sz val="11"/>
      <color theme="0" tint="-0.34998626667073579"/>
      <name val="Calibri"/>
      <family val="2"/>
      <scheme val="minor"/>
    </font>
  </fonts>
  <fills count="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499984740745262"/>
        <bgColor indexed="64"/>
      </patternFill>
    </fill>
    <fill>
      <patternFill patternType="solid">
        <fgColor theme="6" tint="0.59999389629810485"/>
        <bgColor indexed="64"/>
      </patternFill>
    </fill>
    <fill>
      <patternFill patternType="solid">
        <fgColor rgb="FF00FFFF"/>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theme="8" tint="0.39997558519241921"/>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rgb="FFFFFFCC"/>
        <bgColor indexed="64"/>
      </patternFill>
    </fill>
    <fill>
      <patternFill patternType="lightUp">
        <bgColor theme="0" tint="-0.249977111117893"/>
      </patternFill>
    </fill>
    <fill>
      <patternFill patternType="lightUp"/>
    </fill>
    <fill>
      <patternFill patternType="solid">
        <fgColor theme="5" tint="-0.249977111117893"/>
        <bgColor indexed="64"/>
      </patternFill>
    </fill>
    <fill>
      <patternFill patternType="solid">
        <fgColor rgb="FF66FF33"/>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double">
        <color indexed="9"/>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2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2" fillId="0" borderId="0" applyNumberFormat="0" applyFill="0" applyBorder="0" applyAlignment="0" applyProtection="0">
      <alignment vertical="top"/>
      <protection locked="0"/>
    </xf>
    <xf numFmtId="0" fontId="1" fillId="0" borderId="0"/>
    <xf numFmtId="0" fontId="33" fillId="0" borderId="0"/>
    <xf numFmtId="0" fontId="1" fillId="0" borderId="0"/>
    <xf numFmtId="43" fontId="1" fillId="0" borderId="0" applyFont="0" applyFill="0" applyBorder="0" applyAlignment="0" applyProtection="0"/>
    <xf numFmtId="0" fontId="19" fillId="0" borderId="0"/>
    <xf numFmtId="4" fontId="33" fillId="0" borderId="0"/>
    <xf numFmtId="3" fontId="33" fillId="0" borderId="0"/>
    <xf numFmtId="171" fontId="33" fillId="0" borderId="0"/>
    <xf numFmtId="14" fontId="33" fillId="0" borderId="0"/>
    <xf numFmtId="2" fontId="33" fillId="0" borderId="0"/>
    <xf numFmtId="0" fontId="44" fillId="0" borderId="0"/>
    <xf numFmtId="0" fontId="45" fillId="0" borderId="0"/>
    <xf numFmtId="9" fontId="33" fillId="0" borderId="0" applyFont="0" applyFill="0" applyBorder="0" applyAlignment="0" applyProtection="0"/>
    <xf numFmtId="0" fontId="33" fillId="0" borderId="25"/>
    <xf numFmtId="0" fontId="46" fillId="0" borderId="0" applyNumberFormat="0" applyFill="0" applyBorder="0" applyAlignment="0" applyProtection="0">
      <alignment vertical="top"/>
      <protection locked="0"/>
    </xf>
    <xf numFmtId="43" fontId="19" fillId="0" borderId="0" applyFont="0" applyFill="0" applyBorder="0" applyAlignment="0" applyProtection="0"/>
    <xf numFmtId="0" fontId="33" fillId="0" borderId="0"/>
    <xf numFmtId="0" fontId="46" fillId="0" borderId="0" applyNumberFormat="0" applyFill="0" applyBorder="0" applyAlignment="0" applyProtection="0">
      <alignment vertical="top"/>
      <protection locked="0"/>
    </xf>
    <xf numFmtId="0" fontId="1" fillId="0" borderId="0"/>
    <xf numFmtId="0" fontId="1" fillId="8" borderId="8" applyNumberFormat="0" applyFont="0" applyAlignment="0" applyProtection="0"/>
    <xf numFmtId="0" fontId="47" fillId="0" borderId="0" applyNumberFormat="0" applyFill="0" applyBorder="0" applyAlignment="0" applyProtection="0">
      <alignment vertical="top"/>
      <protection locked="0"/>
    </xf>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33" fillId="0" borderId="0"/>
    <xf numFmtId="0" fontId="46" fillId="0" borderId="0" applyNumberFormat="0" applyFill="0" applyBorder="0" applyAlignment="0" applyProtection="0">
      <alignment vertical="top"/>
      <protection locked="0"/>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0" fontId="33" fillId="0" borderId="0"/>
    <xf numFmtId="0" fontId="46" fillId="0" borderId="0" applyNumberFormat="0" applyFill="0" applyBorder="0" applyAlignment="0" applyProtection="0">
      <alignment vertical="top"/>
      <protection locked="0"/>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19"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33" fillId="0" borderId="0"/>
    <xf numFmtId="0" fontId="1" fillId="0" borderId="0"/>
    <xf numFmtId="0" fontId="1" fillId="0" borderId="0"/>
    <xf numFmtId="0" fontId="33" fillId="0" borderId="0"/>
    <xf numFmtId="0" fontId="46" fillId="0" borderId="0" applyNumberFormat="0" applyFill="0" applyBorder="0" applyAlignment="0" applyProtection="0">
      <alignment vertical="top"/>
      <protection locked="0"/>
    </xf>
    <xf numFmtId="0" fontId="33" fillId="0" borderId="0"/>
    <xf numFmtId="0" fontId="1" fillId="0" borderId="0"/>
    <xf numFmtId="44" fontId="1" fillId="0" borderId="0" applyFont="0" applyFill="0" applyBorder="0" applyAlignment="0" applyProtection="0"/>
    <xf numFmtId="44" fontId="19" fillId="0" borderId="0" applyFont="0" applyFill="0" applyBorder="0" applyAlignment="0" applyProtection="0"/>
    <xf numFmtId="0" fontId="1" fillId="0" borderId="0"/>
    <xf numFmtId="43" fontId="65" fillId="0" borderId="0" applyFont="0" applyFill="0" applyBorder="0" applyAlignment="0" applyProtection="0"/>
  </cellStyleXfs>
  <cellXfs count="520">
    <xf numFmtId="0" fontId="0" fillId="0" borderId="0" xfId="0"/>
    <xf numFmtId="0" fontId="18" fillId="0" borderId="0" xfId="0" applyFont="1"/>
    <xf numFmtId="43" fontId="0" fillId="0" borderId="0" xfId="1" applyFont="1"/>
    <xf numFmtId="0" fontId="20" fillId="0" borderId="0" xfId="0" applyFont="1" applyAlignment="1">
      <alignment horizontal="right"/>
    </xf>
    <xf numFmtId="0" fontId="20" fillId="0" borderId="0" xfId="0" applyFont="1"/>
    <xf numFmtId="43" fontId="20" fillId="0" borderId="0" xfId="1" applyFont="1"/>
    <xf numFmtId="0" fontId="21" fillId="0" borderId="0" xfId="0" applyFont="1" applyAlignment="1">
      <alignment horizontal="center"/>
    </xf>
    <xf numFmtId="17" fontId="21" fillId="0" borderId="0" xfId="0" applyNumberFormat="1" applyFont="1" applyAlignment="1">
      <alignment horizontal="center"/>
    </xf>
    <xf numFmtId="43" fontId="21" fillId="0" borderId="0" xfId="1" applyFont="1" applyAlignment="1">
      <alignment horizontal="center"/>
    </xf>
    <xf numFmtId="0" fontId="23" fillId="0" borderId="0" xfId="43" applyFont="1" applyAlignment="1" applyProtection="1">
      <alignment horizontal="left" vertical="top" wrapText="1"/>
    </xf>
    <xf numFmtId="0" fontId="0" fillId="0" borderId="0" xfId="0" applyAlignment="1">
      <alignment horizontal="left" vertical="top" wrapText="1"/>
    </xf>
    <xf numFmtId="0" fontId="0" fillId="33" borderId="0" xfId="0" applyFill="1" applyAlignment="1">
      <alignment horizontal="left" vertical="top"/>
    </xf>
    <xf numFmtId="164" fontId="24" fillId="34" borderId="10" xfId="0" applyNumberFormat="1" applyFont="1" applyFill="1" applyBorder="1" applyAlignment="1">
      <alignment horizontal="left" vertical="top"/>
    </xf>
    <xf numFmtId="0" fontId="0" fillId="0" borderId="0" xfId="0" applyAlignment="1">
      <alignment horizontal="left" vertical="top"/>
    </xf>
    <xf numFmtId="165" fontId="0" fillId="0" borderId="0" xfId="0" applyNumberFormat="1" applyAlignment="1">
      <alignment horizontal="left" vertical="top"/>
    </xf>
    <xf numFmtId="0" fontId="23" fillId="0" borderId="0" xfId="43" applyFont="1" applyAlignment="1" applyProtection="1">
      <alignment wrapText="1"/>
    </xf>
    <xf numFmtId="0" fontId="0" fillId="0" borderId="0" xfId="0" applyAlignment="1">
      <alignment wrapText="1"/>
    </xf>
    <xf numFmtId="164" fontId="26" fillId="34" borderId="10" xfId="0" applyNumberFormat="1" applyFont="1" applyFill="1" applyBorder="1" applyAlignment="1">
      <alignment horizontal="left" vertical="top"/>
    </xf>
    <xf numFmtId="43" fontId="25" fillId="0" borderId="0" xfId="1" applyFont="1" applyFill="1" applyAlignment="1">
      <alignment horizontal="left" vertical="top"/>
    </xf>
    <xf numFmtId="43" fontId="0" fillId="0" borderId="0" xfId="1" applyFont="1" applyFill="1" applyAlignment="1">
      <alignment horizontal="left" vertical="top" wrapText="1"/>
    </xf>
    <xf numFmtId="43" fontId="0" fillId="0" borderId="0" xfId="1" applyFont="1" applyFill="1" applyAlignment="1">
      <alignment horizontal="left" vertical="top"/>
    </xf>
    <xf numFmtId="43" fontId="0" fillId="0" borderId="0" xfId="1" applyFont="1" applyAlignment="1">
      <alignment horizontal="left" vertical="top"/>
    </xf>
    <xf numFmtId="0" fontId="0" fillId="0" borderId="0" xfId="0" applyFill="1" applyAlignment="1">
      <alignment horizontal="left" vertical="top"/>
    </xf>
    <xf numFmtId="43" fontId="0" fillId="35" borderId="0" xfId="1" applyFont="1" applyFill="1" applyAlignment="1">
      <alignment horizontal="left" vertical="top"/>
    </xf>
    <xf numFmtId="0" fontId="0" fillId="35" borderId="0" xfId="0" applyFill="1" applyAlignment="1">
      <alignment horizontal="left" vertical="top"/>
    </xf>
    <xf numFmtId="0" fontId="23" fillId="0" borderId="0" xfId="0" applyFont="1" applyAlignment="1">
      <alignment vertical="top" wrapText="1"/>
    </xf>
    <xf numFmtId="0" fontId="0" fillId="33" borderId="0" xfId="0" applyFont="1" applyFill="1" applyAlignment="1">
      <alignment horizontal="left" vertical="top"/>
    </xf>
    <xf numFmtId="164" fontId="0" fillId="0" borderId="0" xfId="0" applyNumberFormat="1"/>
    <xf numFmtId="0" fontId="0" fillId="36" borderId="0" xfId="0" applyFill="1"/>
    <xf numFmtId="43" fontId="0" fillId="36" borderId="0" xfId="1" applyFont="1" applyFill="1"/>
    <xf numFmtId="43" fontId="0" fillId="36" borderId="0" xfId="0" applyNumberFormat="1" applyFill="1"/>
    <xf numFmtId="43" fontId="0" fillId="36" borderId="0" xfId="0" applyNumberFormat="1" applyFill="1" applyAlignment="1">
      <alignment horizontal="left"/>
    </xf>
    <xf numFmtId="43" fontId="0" fillId="36" borderId="11" xfId="0" applyNumberFormat="1" applyFill="1" applyBorder="1"/>
    <xf numFmtId="43" fontId="0" fillId="37" borderId="0" xfId="1" applyFont="1" applyFill="1" applyAlignment="1">
      <alignment horizontal="left" vertical="top"/>
    </xf>
    <xf numFmtId="43" fontId="0" fillId="37" borderId="0" xfId="1" applyFont="1" applyFill="1"/>
    <xf numFmtId="0" fontId="18" fillId="0" borderId="0" xfId="0" applyFont="1" applyAlignment="1">
      <alignment horizontal="right"/>
    </xf>
    <xf numFmtId="166" fontId="18" fillId="0" borderId="0" xfId="0" applyNumberFormat="1" applyFont="1"/>
    <xf numFmtId="43" fontId="18" fillId="0" borderId="0" xfId="1" applyFont="1"/>
    <xf numFmtId="167" fontId="0" fillId="38" borderId="0" xfId="1" applyNumberFormat="1" applyFont="1" applyFill="1"/>
    <xf numFmtId="166" fontId="0" fillId="0" borderId="0" xfId="0" applyNumberFormat="1"/>
    <xf numFmtId="43" fontId="0" fillId="38" borderId="0" xfId="1" applyFont="1" applyFill="1"/>
    <xf numFmtId="9" fontId="0" fillId="0" borderId="0" xfId="2" applyFont="1"/>
    <xf numFmtId="0" fontId="0" fillId="0" borderId="0" xfId="0" applyFill="1"/>
    <xf numFmtId="168" fontId="1" fillId="37" borderId="0" xfId="44" applyNumberFormat="1" applyFill="1"/>
    <xf numFmtId="43" fontId="23" fillId="38" borderId="0" xfId="0" applyNumberFormat="1" applyFont="1" applyFill="1"/>
    <xf numFmtId="167" fontId="0" fillId="37" borderId="0" xfId="1" applyNumberFormat="1" applyFont="1" applyFill="1"/>
    <xf numFmtId="0" fontId="0" fillId="37" borderId="0" xfId="0" applyFill="1"/>
    <xf numFmtId="2" fontId="0" fillId="37" borderId="11" xfId="0" applyNumberFormat="1" applyFill="1" applyBorder="1"/>
    <xf numFmtId="2" fontId="18" fillId="37" borderId="10" xfId="0" applyNumberFormat="1" applyFont="1" applyFill="1" applyBorder="1"/>
    <xf numFmtId="2" fontId="29" fillId="37" borderId="10" xfId="0" applyNumberFormat="1" applyFont="1" applyFill="1" applyBorder="1"/>
    <xf numFmtId="0" fontId="21" fillId="0" borderId="0" xfId="0" applyFont="1" applyFill="1" applyAlignment="1">
      <alignment horizontal="left"/>
    </xf>
    <xf numFmtId="0" fontId="0" fillId="0" borderId="0" xfId="0" applyFill="1" applyAlignment="1">
      <alignment horizontal="left"/>
    </xf>
    <xf numFmtId="0" fontId="18" fillId="0" borderId="0" xfId="0" applyFont="1" applyAlignment="1">
      <alignment horizontal="center" vertical="center"/>
    </xf>
    <xf numFmtId="3" fontId="32" fillId="0" borderId="0" xfId="0" applyNumberFormat="1" applyFont="1" applyFill="1"/>
    <xf numFmtId="0" fontId="0" fillId="0" borderId="0" xfId="0" applyAlignment="1">
      <alignment horizontal="left" indent="2"/>
    </xf>
    <xf numFmtId="0" fontId="0" fillId="0" borderId="11" xfId="0" applyBorder="1"/>
    <xf numFmtId="0" fontId="0" fillId="0" borderId="12" xfId="0" applyBorder="1"/>
    <xf numFmtId="0" fontId="34" fillId="0" borderId="0" xfId="0" applyFont="1"/>
    <xf numFmtId="2" fontId="29" fillId="0" borderId="0" xfId="45" applyNumberFormat="1" applyFont="1" applyFill="1" applyBorder="1" applyAlignment="1" applyProtection="1">
      <alignment horizontal="center"/>
      <protection hidden="1"/>
    </xf>
    <xf numFmtId="2" fontId="18" fillId="0" borderId="0" xfId="0" applyNumberFormat="1" applyFont="1" applyFill="1" applyAlignment="1">
      <alignment horizontal="center"/>
    </xf>
    <xf numFmtId="0" fontId="18" fillId="0" borderId="0" xfId="0" applyFont="1" applyAlignment="1">
      <alignment horizontal="center"/>
    </xf>
    <xf numFmtId="0" fontId="35" fillId="0" borderId="0" xfId="0" applyFont="1"/>
    <xf numFmtId="3" fontId="0" fillId="0" borderId="0" xfId="0" applyNumberFormat="1"/>
    <xf numFmtId="169" fontId="0" fillId="0" borderId="0" xfId="2" applyNumberFormat="1" applyFont="1"/>
    <xf numFmtId="167" fontId="0" fillId="0" borderId="0" xfId="1" applyNumberFormat="1" applyFont="1" applyAlignment="1">
      <alignment horizontal="left" vertical="top"/>
    </xf>
    <xf numFmtId="3" fontId="18" fillId="0" borderId="0" xfId="0" applyNumberFormat="1" applyFont="1"/>
    <xf numFmtId="169" fontId="18" fillId="0" borderId="0" xfId="0" applyNumberFormat="1" applyFont="1"/>
    <xf numFmtId="3" fontId="1" fillId="0" borderId="0" xfId="46" applyNumberFormat="1"/>
    <xf numFmtId="0" fontId="1" fillId="0" borderId="0" xfId="46"/>
    <xf numFmtId="43" fontId="0" fillId="0" borderId="0" xfId="1" applyFont="1" applyFill="1"/>
    <xf numFmtId="0" fontId="0" fillId="0" borderId="0" xfId="0" applyFill="1" applyAlignment="1">
      <alignment wrapText="1"/>
    </xf>
    <xf numFmtId="0" fontId="0" fillId="38" borderId="17" xfId="0" applyFill="1" applyBorder="1"/>
    <xf numFmtId="0" fontId="0" fillId="38" borderId="18" xfId="0" applyFill="1" applyBorder="1"/>
    <xf numFmtId="0" fontId="0" fillId="38" borderId="19" xfId="0" applyFill="1" applyBorder="1"/>
    <xf numFmtId="3" fontId="32" fillId="37" borderId="0" xfId="0" applyNumberFormat="1" applyFont="1" applyFill="1"/>
    <xf numFmtId="167" fontId="0" fillId="37" borderId="11" xfId="1" applyNumberFormat="1" applyFont="1" applyFill="1" applyBorder="1"/>
    <xf numFmtId="2" fontId="23" fillId="37" borderId="13" xfId="45" applyNumberFormat="1" applyFont="1" applyFill="1" applyBorder="1" applyAlignment="1" applyProtection="1">
      <alignment horizontal="right"/>
      <protection hidden="1"/>
    </xf>
    <xf numFmtId="167" fontId="0" fillId="37" borderId="14" xfId="1" applyNumberFormat="1" applyFont="1" applyFill="1" applyBorder="1" applyAlignment="1">
      <alignment horizontal="left" vertical="top"/>
    </xf>
    <xf numFmtId="167" fontId="0" fillId="37" borderId="15" xfId="1" applyNumberFormat="1" applyFont="1" applyFill="1" applyBorder="1" applyAlignment="1">
      <alignment horizontal="left" vertical="top"/>
    </xf>
    <xf numFmtId="167" fontId="0" fillId="37" borderId="16" xfId="1" applyNumberFormat="1" applyFont="1" applyFill="1" applyBorder="1"/>
    <xf numFmtId="167" fontId="0" fillId="37" borderId="14" xfId="1" applyNumberFormat="1" applyFont="1" applyFill="1" applyBorder="1" applyAlignment="1">
      <alignment horizontal="left" vertical="top" wrapText="1"/>
    </xf>
    <xf numFmtId="167" fontId="0" fillId="37" borderId="16" xfId="1" applyNumberFormat="1" applyFont="1" applyFill="1" applyBorder="1" applyAlignment="1">
      <alignment horizontal="left" vertical="top"/>
    </xf>
    <xf numFmtId="43" fontId="1" fillId="37" borderId="0" xfId="47" applyFont="1" applyFill="1" applyBorder="1"/>
    <xf numFmtId="43" fontId="31" fillId="37" borderId="0" xfId="1" applyFont="1" applyFill="1"/>
    <xf numFmtId="0" fontId="0" fillId="0" borderId="0" xfId="0" applyFont="1"/>
    <xf numFmtId="167" fontId="18" fillId="0" borderId="0" xfId="1" applyNumberFormat="1" applyFont="1"/>
    <xf numFmtId="166" fontId="0" fillId="0" borderId="0" xfId="0" applyNumberFormat="1" applyFont="1"/>
    <xf numFmtId="3" fontId="38" fillId="38" borderId="0" xfId="45" applyNumberFormat="1" applyFont="1" applyFill="1" applyProtection="1">
      <protection hidden="1"/>
    </xf>
    <xf numFmtId="0" fontId="0" fillId="38" borderId="0" xfId="0" applyFont="1" applyFill="1"/>
    <xf numFmtId="0" fontId="18" fillId="0" borderId="0" xfId="0" applyFont="1" applyFill="1" applyAlignment="1">
      <alignment horizontal="center" vertical="center"/>
    </xf>
    <xf numFmtId="0" fontId="0" fillId="0" borderId="0" xfId="0" applyFont="1" applyAlignment="1">
      <alignment horizontal="left" vertical="center"/>
    </xf>
    <xf numFmtId="0" fontId="0" fillId="0" borderId="0" xfId="0" applyAlignment="1">
      <alignment horizontal="right"/>
    </xf>
    <xf numFmtId="0" fontId="0" fillId="0" borderId="0" xfId="0" applyFill="1" applyBorder="1"/>
    <xf numFmtId="0" fontId="31" fillId="0" borderId="0" xfId="0" applyFont="1" applyAlignment="1">
      <alignment horizontal="right"/>
    </xf>
    <xf numFmtId="2" fontId="31" fillId="0" borderId="0" xfId="0" applyNumberFormat="1" applyFont="1" applyFill="1"/>
    <xf numFmtId="0" fontId="18" fillId="0" borderId="0" xfId="0" applyFont="1" applyFill="1"/>
    <xf numFmtId="0" fontId="31" fillId="38" borderId="0" xfId="0" applyFont="1" applyFill="1"/>
    <xf numFmtId="0" fontId="39" fillId="39" borderId="0" xfId="0" applyFont="1" applyFill="1" applyBorder="1"/>
    <xf numFmtId="0" fontId="39" fillId="39" borderId="0" xfId="0" applyFont="1" applyFill="1" applyBorder="1" applyAlignment="1">
      <alignment horizontal="left"/>
    </xf>
    <xf numFmtId="0" fontId="0" fillId="0" borderId="0" xfId="0" applyFill="1" applyAlignment="1">
      <alignment horizontal="right"/>
    </xf>
    <xf numFmtId="2" fontId="0" fillId="38" borderId="0" xfId="0" applyNumberFormat="1" applyFont="1" applyFill="1"/>
    <xf numFmtId="2" fontId="0" fillId="0" borderId="0" xfId="0" applyNumberFormat="1" applyFont="1" applyFill="1"/>
    <xf numFmtId="164" fontId="31" fillId="38" borderId="0" xfId="0" applyNumberFormat="1" applyFont="1" applyFill="1"/>
    <xf numFmtId="0" fontId="25" fillId="0" borderId="0" xfId="0" applyFont="1" applyAlignment="1">
      <alignment horizontal="right"/>
    </xf>
    <xf numFmtId="0" fontId="25" fillId="0" borderId="0" xfId="0" applyFont="1"/>
    <xf numFmtId="2" fontId="0" fillId="37" borderId="0" xfId="0" applyNumberFormat="1" applyFill="1"/>
    <xf numFmtId="0" fontId="0" fillId="38" borderId="0" xfId="0" applyFill="1"/>
    <xf numFmtId="0" fontId="40" fillId="40" borderId="0" xfId="0" applyFont="1" applyFill="1"/>
    <xf numFmtId="0" fontId="41" fillId="40" borderId="0" xfId="0" applyFont="1" applyFill="1"/>
    <xf numFmtId="0" fontId="21" fillId="40" borderId="0" xfId="0" applyFont="1" applyFill="1"/>
    <xf numFmtId="0" fontId="0" fillId="40" borderId="0" xfId="0" applyFill="1"/>
    <xf numFmtId="170" fontId="31" fillId="37" borderId="0" xfId="1" applyNumberFormat="1" applyFont="1" applyFill="1"/>
    <xf numFmtId="0" fontId="0" fillId="0" borderId="0" xfId="0" applyFont="1" applyAlignment="1">
      <alignment horizontal="left" vertical="top" wrapText="1"/>
    </xf>
    <xf numFmtId="0" fontId="0" fillId="0" borderId="0" xfId="0" applyFont="1" applyAlignment="1">
      <alignment horizontal="left" vertical="top"/>
    </xf>
    <xf numFmtId="165" fontId="0" fillId="0" borderId="0" xfId="0" applyNumberFormat="1" applyFont="1" applyAlignment="1">
      <alignment horizontal="left" vertical="top"/>
    </xf>
    <xf numFmtId="0" fontId="0" fillId="0" borderId="0" xfId="0" applyFont="1" applyAlignment="1">
      <alignment wrapText="1"/>
    </xf>
    <xf numFmtId="0" fontId="0" fillId="0" borderId="0" xfId="0" applyFont="1" applyFill="1" applyAlignment="1">
      <alignment horizontal="left" vertical="top"/>
    </xf>
    <xf numFmtId="0" fontId="0" fillId="35" borderId="0" xfId="0" applyFont="1" applyFill="1" applyAlignment="1">
      <alignment horizontal="left" vertical="top"/>
    </xf>
    <xf numFmtId="164" fontId="0" fillId="0" borderId="0" xfId="0" applyNumberFormat="1" applyFont="1"/>
    <xf numFmtId="0" fontId="0" fillId="36" borderId="0" xfId="0" applyFont="1" applyFill="1"/>
    <xf numFmtId="43" fontId="0" fillId="36" borderId="0" xfId="0" applyNumberFormat="1" applyFont="1" applyFill="1"/>
    <xf numFmtId="43" fontId="0" fillId="36" borderId="0" xfId="0" applyNumberFormat="1" applyFont="1" applyFill="1" applyAlignment="1">
      <alignment horizontal="left"/>
    </xf>
    <xf numFmtId="43" fontId="0" fillId="36" borderId="11" xfId="0" applyNumberFormat="1" applyFont="1" applyFill="1" applyBorder="1"/>
    <xf numFmtId="0" fontId="0" fillId="40" borderId="0" xfId="0" applyFont="1" applyFill="1"/>
    <xf numFmtId="0" fontId="0" fillId="37" borderId="0" xfId="0" applyFont="1" applyFill="1"/>
    <xf numFmtId="0" fontId="0" fillId="0" borderId="0" xfId="0" applyFont="1" applyFill="1"/>
    <xf numFmtId="168" fontId="0" fillId="37" borderId="0" xfId="44" applyNumberFormat="1" applyFont="1" applyFill="1"/>
    <xf numFmtId="0" fontId="0" fillId="0" borderId="0" xfId="0" applyFont="1" applyFill="1" applyAlignment="1">
      <alignment horizontal="left"/>
    </xf>
    <xf numFmtId="2" fontId="0" fillId="37" borderId="11" xfId="0" applyNumberFormat="1" applyFont="1" applyFill="1" applyBorder="1"/>
    <xf numFmtId="3" fontId="41" fillId="0" borderId="0" xfId="0" applyNumberFormat="1" applyFont="1" applyFill="1"/>
    <xf numFmtId="0" fontId="0" fillId="0" borderId="0" xfId="0" applyFont="1" applyAlignment="1">
      <alignment horizontal="left" indent="2"/>
    </xf>
    <xf numFmtId="3" fontId="41" fillId="37" borderId="0" xfId="0" applyNumberFormat="1" applyFont="1" applyFill="1"/>
    <xf numFmtId="0" fontId="0" fillId="0" borderId="11" xfId="0" applyFont="1" applyBorder="1"/>
    <xf numFmtId="0" fontId="0" fillId="0" borderId="12" xfId="0" applyFont="1" applyBorder="1"/>
    <xf numFmtId="3" fontId="0" fillId="0" borderId="0" xfId="0" applyNumberFormat="1" applyFont="1"/>
    <xf numFmtId="3" fontId="0" fillId="0" borderId="0" xfId="46" applyNumberFormat="1" applyFont="1"/>
    <xf numFmtId="0" fontId="0" fillId="0" borderId="0" xfId="46" applyFont="1"/>
    <xf numFmtId="0" fontId="0" fillId="0" borderId="0" xfId="0" applyFont="1" applyFill="1" applyAlignment="1">
      <alignment wrapText="1"/>
    </xf>
    <xf numFmtId="0" fontId="0" fillId="38" borderId="17" xfId="0" applyFont="1" applyFill="1" applyBorder="1"/>
    <xf numFmtId="0" fontId="0" fillId="38" borderId="18" xfId="0" applyFont="1" applyFill="1" applyBorder="1"/>
    <xf numFmtId="0" fontId="0" fillId="38" borderId="19" xfId="0" applyFont="1" applyFill="1" applyBorder="1"/>
    <xf numFmtId="43" fontId="0" fillId="37" borderId="0" xfId="47" applyFont="1" applyFill="1" applyBorder="1"/>
    <xf numFmtId="0" fontId="0" fillId="0" borderId="0" xfId="0" applyFont="1" applyAlignment="1">
      <alignment horizontal="right"/>
    </xf>
    <xf numFmtId="2" fontId="0" fillId="37" borderId="0" xfId="0" applyNumberFormat="1" applyFont="1" applyFill="1"/>
    <xf numFmtId="0" fontId="0" fillId="0" borderId="0" xfId="0" applyFont="1" applyFill="1" applyBorder="1"/>
    <xf numFmtId="0" fontId="0" fillId="0" borderId="0" xfId="0" applyFont="1" applyFill="1" applyAlignment="1">
      <alignment horizontal="right"/>
    </xf>
    <xf numFmtId="0" fontId="16" fillId="0" borderId="0" xfId="0" applyFont="1"/>
    <xf numFmtId="0" fontId="16" fillId="0" borderId="0" xfId="0" applyFont="1" applyAlignment="1">
      <alignment horizontal="right"/>
    </xf>
    <xf numFmtId="43" fontId="16" fillId="0" borderId="0" xfId="1" applyFont="1"/>
    <xf numFmtId="0" fontId="16" fillId="0" borderId="0" xfId="0" applyFont="1" applyAlignment="1">
      <alignment horizontal="center"/>
    </xf>
    <xf numFmtId="17" fontId="16" fillId="0" borderId="0" xfId="0" applyNumberFormat="1" applyFont="1" applyAlignment="1">
      <alignment horizontal="center"/>
    </xf>
    <xf numFmtId="43" fontId="16" fillId="0" borderId="0" xfId="1" applyFont="1" applyAlignment="1">
      <alignment horizontal="center"/>
    </xf>
    <xf numFmtId="0" fontId="41" fillId="0" borderId="0" xfId="43" applyFont="1" applyAlignment="1" applyProtection="1">
      <alignment horizontal="left" vertical="top" wrapText="1"/>
    </xf>
    <xf numFmtId="0" fontId="41" fillId="0" borderId="0" xfId="43" applyFont="1" applyAlignment="1" applyProtection="1">
      <alignment wrapText="1"/>
    </xf>
    <xf numFmtId="43" fontId="42" fillId="0" borderId="0" xfId="1" applyFont="1" applyFill="1" applyAlignment="1">
      <alignment horizontal="left" vertical="top"/>
    </xf>
    <xf numFmtId="43" fontId="41" fillId="37" borderId="0" xfId="1" applyFont="1" applyFill="1" applyAlignment="1">
      <alignment horizontal="left" vertical="top"/>
    </xf>
    <xf numFmtId="0" fontId="41" fillId="0" borderId="0" xfId="0" applyFont="1" applyAlignment="1">
      <alignment vertical="top" wrapText="1"/>
    </xf>
    <xf numFmtId="0" fontId="43" fillId="40" borderId="0" xfId="0" applyFont="1" applyFill="1"/>
    <xf numFmtId="166" fontId="16" fillId="0" borderId="0" xfId="0" applyNumberFormat="1" applyFont="1"/>
    <xf numFmtId="0" fontId="16" fillId="40" borderId="0" xfId="0" applyFont="1" applyFill="1"/>
    <xf numFmtId="43" fontId="41" fillId="38" borderId="0" xfId="0" applyNumberFormat="1" applyFont="1" applyFill="1"/>
    <xf numFmtId="0" fontId="16" fillId="0" borderId="0" xfId="0" applyFont="1" applyFill="1" applyAlignment="1">
      <alignment horizontal="left"/>
    </xf>
    <xf numFmtId="2" fontId="16" fillId="0" borderId="10" xfId="0" applyNumberFormat="1" applyFont="1" applyFill="1" applyBorder="1"/>
    <xf numFmtId="0" fontId="16" fillId="0" borderId="0" xfId="0" applyFont="1" applyFill="1" applyAlignment="1">
      <alignment horizontal="left"/>
    </xf>
    <xf numFmtId="49" fontId="16" fillId="0" borderId="0" xfId="0" quotePrefix="1" applyNumberFormat="1" applyFont="1" applyFill="1" applyAlignment="1">
      <alignment horizontal="left"/>
    </xf>
    <xf numFmtId="2" fontId="43" fillId="0" borderId="10" xfId="0" applyNumberFormat="1" applyFont="1" applyFill="1" applyBorder="1"/>
    <xf numFmtId="49" fontId="42" fillId="0" borderId="0" xfId="0" applyNumberFormat="1" applyFont="1" applyFill="1" applyAlignment="1"/>
    <xf numFmtId="0" fontId="14" fillId="0" borderId="0" xfId="0" applyFont="1" applyFill="1"/>
    <xf numFmtId="2" fontId="42" fillId="0" borderId="0" xfId="0" applyNumberFormat="1" applyFont="1" applyFill="1"/>
    <xf numFmtId="0" fontId="16" fillId="0" borderId="0" xfId="0" applyFont="1" applyAlignment="1">
      <alignment horizontal="center" vertical="center"/>
    </xf>
    <xf numFmtId="3" fontId="16" fillId="0" borderId="12" xfId="0" applyNumberFormat="1" applyFont="1" applyBorder="1" applyAlignment="1">
      <alignment horizontal="right"/>
    </xf>
    <xf numFmtId="2" fontId="41" fillId="37" borderId="13" xfId="45" applyNumberFormat="1" applyFont="1" applyFill="1" applyBorder="1" applyAlignment="1" applyProtection="1">
      <alignment horizontal="right"/>
      <protection hidden="1"/>
    </xf>
    <xf numFmtId="2" fontId="43" fillId="0" borderId="0" xfId="45" applyNumberFormat="1" applyFont="1" applyFill="1" applyBorder="1" applyAlignment="1" applyProtection="1">
      <alignment horizontal="center"/>
      <protection hidden="1"/>
    </xf>
    <xf numFmtId="2" fontId="16" fillId="0" borderId="0" xfId="0" applyNumberFormat="1" applyFont="1" applyFill="1" applyAlignment="1">
      <alignment horizontal="center"/>
    </xf>
    <xf numFmtId="3" fontId="16" fillId="0" borderId="0" xfId="0" applyNumberFormat="1" applyFont="1"/>
    <xf numFmtId="169" fontId="16" fillId="0" borderId="0" xfId="0" applyNumberFormat="1" applyFont="1"/>
    <xf numFmtId="43" fontId="14" fillId="37" borderId="0" xfId="1" applyFont="1" applyFill="1"/>
    <xf numFmtId="170" fontId="14" fillId="37" borderId="0" xfId="1" applyNumberFormat="1" applyFont="1" applyFill="1"/>
    <xf numFmtId="167" fontId="16" fillId="0" borderId="0" xfId="1" applyNumberFormat="1" applyFont="1"/>
    <xf numFmtId="3" fontId="41" fillId="38" borderId="0" xfId="45" applyNumberFormat="1" applyFont="1" applyFill="1" applyProtection="1">
      <protection hidden="1"/>
    </xf>
    <xf numFmtId="0" fontId="16" fillId="0" borderId="0" xfId="0" applyFont="1" applyFill="1" applyAlignment="1">
      <alignment horizontal="center" vertical="center"/>
    </xf>
    <xf numFmtId="0" fontId="14" fillId="0" borderId="0" xfId="0" applyFont="1" applyAlignment="1">
      <alignment horizontal="right"/>
    </xf>
    <xf numFmtId="2" fontId="14" fillId="0" borderId="0" xfId="0" applyNumberFormat="1" applyFont="1" applyFill="1"/>
    <xf numFmtId="0" fontId="16" fillId="0" borderId="0" xfId="0" applyFont="1" applyFill="1"/>
    <xf numFmtId="0" fontId="14" fillId="38" borderId="0" xfId="0" applyFont="1" applyFill="1"/>
    <xf numFmtId="0" fontId="13" fillId="39" borderId="0" xfId="0" applyFont="1" applyFill="1" applyBorder="1"/>
    <xf numFmtId="0" fontId="13" fillId="39" borderId="0" xfId="0" applyFont="1" applyFill="1" applyBorder="1" applyAlignment="1">
      <alignment horizontal="left"/>
    </xf>
    <xf numFmtId="164" fontId="14" fillId="38" borderId="0" xfId="0" applyNumberFormat="1" applyFont="1" applyFill="1"/>
    <xf numFmtId="0" fontId="42" fillId="0" borderId="0" xfId="0" applyFont="1" applyAlignment="1">
      <alignment horizontal="right"/>
    </xf>
    <xf numFmtId="0" fontId="42" fillId="0" borderId="0" xfId="0" applyFont="1"/>
    <xf numFmtId="2" fontId="43" fillId="0" borderId="0" xfId="0" applyNumberFormat="1" applyFont="1" applyFill="1"/>
    <xf numFmtId="2" fontId="0" fillId="37" borderId="0" xfId="0" applyNumberFormat="1" applyFont="1" applyFill="1" applyBorder="1"/>
    <xf numFmtId="2" fontId="0" fillId="37" borderId="12" xfId="0" applyNumberFormat="1" applyFont="1" applyFill="1" applyBorder="1"/>
    <xf numFmtId="0" fontId="19" fillId="0" borderId="0" xfId="48" applyFill="1" applyBorder="1"/>
    <xf numFmtId="0" fontId="19" fillId="0" borderId="0" xfId="48" applyFill="1" applyBorder="1"/>
    <xf numFmtId="0" fontId="19" fillId="0" borderId="0" xfId="48" applyFill="1" applyAlignment="1">
      <alignment vertical="top" wrapText="1"/>
    </xf>
    <xf numFmtId="49" fontId="42" fillId="37" borderId="0" xfId="0" applyNumberFormat="1" applyFont="1" applyFill="1" applyAlignment="1">
      <alignment horizontal="center"/>
    </xf>
    <xf numFmtId="167" fontId="0" fillId="0" borderId="0" xfId="1" applyNumberFormat="1" applyFont="1" applyFill="1"/>
    <xf numFmtId="3" fontId="16" fillId="38" borderId="0" xfId="0" applyNumberFormat="1" applyFont="1" applyFill="1"/>
    <xf numFmtId="43" fontId="14" fillId="0" borderId="0" xfId="1" applyFont="1" applyFill="1"/>
    <xf numFmtId="43" fontId="42" fillId="0" borderId="0" xfId="1" applyFont="1"/>
    <xf numFmtId="43" fontId="0" fillId="0" borderId="0" xfId="0" applyNumberFormat="1" applyFont="1"/>
    <xf numFmtId="167" fontId="0" fillId="0" borderId="0" xfId="1" applyNumberFormat="1" applyFont="1"/>
    <xf numFmtId="43" fontId="25" fillId="0" borderId="0" xfId="1" applyFont="1"/>
    <xf numFmtId="2" fontId="0" fillId="0" borderId="0" xfId="0" applyNumberFormat="1" applyFont="1"/>
    <xf numFmtId="43" fontId="14" fillId="38" borderId="0" xfId="1" applyFont="1" applyFill="1"/>
    <xf numFmtId="0" fontId="49" fillId="0" borderId="0" xfId="0" applyFont="1"/>
    <xf numFmtId="172" fontId="42" fillId="0" borderId="0" xfId="1" applyNumberFormat="1" applyFont="1"/>
    <xf numFmtId="164" fontId="50" fillId="41" borderId="10" xfId="0" applyNumberFormat="1" applyFont="1" applyFill="1" applyBorder="1" applyAlignment="1">
      <alignment horizontal="left" vertical="top"/>
    </xf>
    <xf numFmtId="0" fontId="0" fillId="41" borderId="0" xfId="0" applyFont="1" applyFill="1"/>
    <xf numFmtId="2" fontId="24" fillId="34" borderId="0" xfId="0" applyNumberFormat="1" applyFont="1" applyFill="1" applyBorder="1" applyAlignment="1">
      <alignment horizontal="left" vertical="top"/>
    </xf>
    <xf numFmtId="49" fontId="0" fillId="0" borderId="0" xfId="0" applyNumberFormat="1" applyFont="1" applyFill="1" applyAlignment="1">
      <alignment horizontal="left"/>
    </xf>
    <xf numFmtId="167" fontId="0" fillId="37" borderId="19" xfId="1" applyNumberFormat="1" applyFont="1" applyFill="1" applyBorder="1" applyAlignment="1">
      <alignment horizontal="left" vertical="top"/>
    </xf>
    <xf numFmtId="167" fontId="0" fillId="37" borderId="21" xfId="1" applyNumberFormat="1" applyFont="1" applyFill="1" applyBorder="1" applyAlignment="1">
      <alignment horizontal="left" vertical="top"/>
    </xf>
    <xf numFmtId="167" fontId="0" fillId="37" borderId="24" xfId="1" applyNumberFormat="1" applyFont="1" applyFill="1" applyBorder="1"/>
    <xf numFmtId="0" fontId="52" fillId="33" borderId="0" xfId="0" applyFont="1" applyFill="1" applyAlignment="1">
      <alignment horizontal="left" vertical="top"/>
    </xf>
    <xf numFmtId="43" fontId="16" fillId="0" borderId="10" xfId="1" applyFont="1" applyFill="1" applyBorder="1"/>
    <xf numFmtId="43" fontId="43" fillId="0" borderId="10" xfId="1" applyFont="1" applyFill="1" applyBorder="1"/>
    <xf numFmtId="172" fontId="42" fillId="0" borderId="0" xfId="1" applyNumberFormat="1" applyFont="1" applyFill="1"/>
    <xf numFmtId="172" fontId="51" fillId="0" borderId="0" xfId="1" applyNumberFormat="1" applyFont="1" applyFill="1"/>
    <xf numFmtId="0" fontId="53" fillId="33" borderId="0" xfId="0" applyFont="1" applyFill="1" applyAlignment="1">
      <alignment horizontal="left" vertical="top"/>
    </xf>
    <xf numFmtId="164" fontId="26" fillId="41" borderId="10" xfId="0" applyNumberFormat="1" applyFont="1" applyFill="1" applyBorder="1" applyAlignment="1">
      <alignment horizontal="left" vertical="top"/>
    </xf>
    <xf numFmtId="0" fontId="53" fillId="41" borderId="0" xfId="0" applyFont="1" applyFill="1"/>
    <xf numFmtId="43" fontId="53" fillId="37" borderId="0" xfId="1" applyFont="1" applyFill="1"/>
    <xf numFmtId="170" fontId="53" fillId="37" borderId="0" xfId="1" applyNumberFormat="1" applyFont="1" applyFill="1"/>
    <xf numFmtId="0" fontId="52" fillId="41" borderId="0" xfId="0" applyFont="1" applyFill="1"/>
    <xf numFmtId="0" fontId="54" fillId="0" borderId="0" xfId="0" applyFont="1" applyBorder="1" applyAlignment="1">
      <alignment vertical="center"/>
    </xf>
    <xf numFmtId="0" fontId="55" fillId="0" borderId="0" xfId="0" applyFont="1" applyBorder="1" applyAlignment="1">
      <alignment vertical="center"/>
    </xf>
    <xf numFmtId="0" fontId="54" fillId="0" borderId="0" xfId="0" applyFont="1" applyAlignment="1">
      <alignment vertical="center"/>
    </xf>
    <xf numFmtId="0" fontId="56" fillId="0" borderId="0" xfId="0" applyFont="1" applyBorder="1"/>
    <xf numFmtId="0" fontId="56" fillId="0" borderId="0" xfId="0" applyFont="1"/>
    <xf numFmtId="0" fontId="56" fillId="0" borderId="0" xfId="0" applyFont="1" applyBorder="1" applyAlignment="1">
      <alignment horizontal="left" wrapText="1"/>
    </xf>
    <xf numFmtId="0" fontId="56" fillId="0" borderId="0" xfId="0" applyFont="1" applyAlignment="1">
      <alignment horizontal="left" wrapText="1"/>
    </xf>
    <xf numFmtId="167" fontId="56" fillId="0" borderId="0" xfId="0" applyNumberFormat="1" applyFont="1" applyBorder="1"/>
    <xf numFmtId="0" fontId="54" fillId="0" borderId="0" xfId="0" applyFont="1"/>
    <xf numFmtId="0" fontId="16" fillId="0" borderId="0" xfId="0" applyFont="1" applyAlignment="1">
      <alignment wrapText="1"/>
    </xf>
    <xf numFmtId="0" fontId="56" fillId="0" borderId="0" xfId="0" applyFont="1" applyBorder="1" applyAlignment="1">
      <alignment horizontal="left"/>
    </xf>
    <xf numFmtId="0" fontId="54" fillId="0" borderId="0" xfId="0" applyFont="1" applyBorder="1" applyAlignment="1">
      <alignment horizontal="left" vertical="top"/>
    </xf>
    <xf numFmtId="17" fontId="56" fillId="0" borderId="0" xfId="0" applyNumberFormat="1" applyFont="1" applyBorder="1" applyAlignment="1">
      <alignment horizontal="left" vertical="top"/>
    </xf>
    <xf numFmtId="0" fontId="54" fillId="0" borderId="10" xfId="0" applyFont="1" applyFill="1" applyBorder="1" applyAlignment="1">
      <alignment wrapText="1"/>
    </xf>
    <xf numFmtId="0" fontId="54" fillId="0" borderId="10" xfId="0" applyFont="1" applyFill="1" applyBorder="1" applyAlignment="1">
      <alignment horizontal="center" wrapText="1"/>
    </xf>
    <xf numFmtId="0" fontId="56" fillId="46" borderId="0" xfId="0" applyFont="1" applyFill="1" applyBorder="1" applyAlignment="1">
      <alignment horizontal="left" vertical="top"/>
    </xf>
    <xf numFmtId="167" fontId="56" fillId="46" borderId="10" xfId="1" applyNumberFormat="1" applyFont="1" applyFill="1" applyBorder="1" applyAlignment="1">
      <alignment horizontal="right" vertical="top"/>
    </xf>
    <xf numFmtId="167" fontId="54" fillId="0" borderId="26" xfId="1" applyNumberFormat="1" applyFont="1" applyFill="1" applyBorder="1" applyAlignment="1">
      <alignment vertical="top"/>
    </xf>
    <xf numFmtId="167" fontId="54" fillId="0" borderId="28" xfId="1" applyNumberFormat="1" applyFont="1" applyFill="1" applyBorder="1" applyAlignment="1">
      <alignment vertical="top"/>
    </xf>
    <xf numFmtId="167" fontId="54" fillId="0" borderId="10" xfId="1" applyNumberFormat="1" applyFont="1" applyFill="1" applyBorder="1" applyAlignment="1">
      <alignment horizontal="center" vertical="top"/>
    </xf>
    <xf numFmtId="0" fontId="54" fillId="0" borderId="10" xfId="0" applyFont="1" applyFill="1" applyBorder="1" applyAlignment="1">
      <alignment horizontal="left" wrapText="1"/>
    </xf>
    <xf numFmtId="167" fontId="58" fillId="0" borderId="27" xfId="1" applyNumberFormat="1" applyFont="1" applyFill="1" applyBorder="1" applyAlignment="1">
      <alignment vertical="top"/>
    </xf>
    <xf numFmtId="167" fontId="59" fillId="46" borderId="10" xfId="1" applyNumberFormat="1" applyFont="1" applyFill="1" applyBorder="1" applyAlignment="1">
      <alignment horizontal="right" vertical="top"/>
    </xf>
    <xf numFmtId="167" fontId="60" fillId="0" borderId="27" xfId="1" applyNumberFormat="1" applyFont="1" applyFill="1" applyBorder="1" applyAlignment="1">
      <alignment vertical="top"/>
    </xf>
    <xf numFmtId="167" fontId="61" fillId="46" borderId="10" xfId="1" applyNumberFormat="1" applyFont="1" applyFill="1" applyBorder="1" applyAlignment="1">
      <alignment horizontal="right" vertical="top"/>
    </xf>
    <xf numFmtId="0" fontId="56" fillId="0" borderId="0" xfId="0" applyFont="1" applyFill="1"/>
    <xf numFmtId="167" fontId="54" fillId="0" borderId="27" xfId="0" applyNumberFormat="1" applyFont="1" applyFill="1" applyBorder="1" applyAlignment="1">
      <alignment horizontal="center" vertical="top"/>
    </xf>
    <xf numFmtId="167" fontId="54" fillId="0" borderId="26" xfId="0" applyNumberFormat="1" applyFont="1" applyFill="1" applyBorder="1" applyAlignment="1">
      <alignment horizontal="center" vertical="top"/>
    </xf>
    <xf numFmtId="0" fontId="54" fillId="42" borderId="27" xfId="0" applyFont="1" applyFill="1" applyBorder="1" applyAlignment="1">
      <alignment wrapText="1"/>
    </xf>
    <xf numFmtId="167" fontId="62" fillId="46" borderId="10" xfId="0" applyNumberFormat="1" applyFont="1" applyFill="1" applyBorder="1" applyAlignment="1">
      <alignment horizontal="right" vertical="top"/>
    </xf>
    <xf numFmtId="167" fontId="55" fillId="0" borderId="28" xfId="0" applyNumberFormat="1" applyFont="1" applyFill="1" applyBorder="1" applyAlignment="1">
      <alignment horizontal="center" vertical="top"/>
    </xf>
    <xf numFmtId="167" fontId="60" fillId="0" borderId="0" xfId="1" applyNumberFormat="1" applyFont="1" applyFill="1" applyBorder="1" applyAlignment="1">
      <alignment vertical="top"/>
    </xf>
    <xf numFmtId="167" fontId="54" fillId="0" borderId="0" xfId="1" applyNumberFormat="1" applyFont="1" applyFill="1" applyBorder="1" applyAlignment="1">
      <alignment vertical="top"/>
    </xf>
    <xf numFmtId="167" fontId="58" fillId="0" borderId="0" xfId="1" applyNumberFormat="1" applyFont="1" applyFill="1" applyBorder="1" applyAlignment="1">
      <alignment vertical="top"/>
    </xf>
    <xf numFmtId="167" fontId="54" fillId="0" borderId="0" xfId="1" applyNumberFormat="1" applyFont="1" applyFill="1" applyBorder="1" applyAlignment="1">
      <alignment horizontal="center" vertical="top"/>
    </xf>
    <xf numFmtId="167" fontId="54" fillId="0" borderId="0" xfId="0" applyNumberFormat="1" applyFont="1" applyFill="1" applyBorder="1" applyAlignment="1">
      <alignment horizontal="center" vertical="top"/>
    </xf>
    <xf numFmtId="167" fontId="55" fillId="0" borderId="0" xfId="0" applyNumberFormat="1" applyFont="1" applyFill="1" applyBorder="1" applyAlignment="1">
      <alignment horizontal="center" vertical="top"/>
    </xf>
    <xf numFmtId="43" fontId="56" fillId="46" borderId="10" xfId="1" applyFont="1" applyFill="1" applyBorder="1" applyAlignment="1">
      <alignment horizontal="right" vertical="top"/>
    </xf>
    <xf numFmtId="43" fontId="56" fillId="0" borderId="0" xfId="1" applyFont="1"/>
    <xf numFmtId="43" fontId="62" fillId="0" borderId="10" xfId="1" applyFont="1" applyFill="1" applyBorder="1" applyAlignment="1">
      <alignment horizontal="right" vertical="top"/>
    </xf>
    <xf numFmtId="43" fontId="63" fillId="46" borderId="10" xfId="1" applyFont="1" applyFill="1" applyBorder="1" applyAlignment="1">
      <alignment horizontal="right" vertical="top"/>
    </xf>
    <xf numFmtId="0" fontId="0" fillId="0" borderId="10" xfId="0" applyBorder="1"/>
    <xf numFmtId="43" fontId="0" fillId="0" borderId="10" xfId="0" applyNumberFormat="1" applyBorder="1"/>
    <xf numFmtId="43" fontId="0" fillId="0" borderId="10" xfId="1" applyFont="1" applyBorder="1"/>
    <xf numFmtId="0" fontId="42" fillId="0" borderId="0" xfId="0" applyFont="1" applyAlignment="1">
      <alignment wrapText="1"/>
    </xf>
    <xf numFmtId="0" fontId="16" fillId="0" borderId="27" xfId="0" applyFont="1" applyBorder="1" applyAlignment="1">
      <alignment wrapText="1"/>
    </xf>
    <xf numFmtId="0" fontId="0" fillId="0" borderId="27" xfId="0" applyBorder="1"/>
    <xf numFmtId="0" fontId="57" fillId="0" borderId="27" xfId="0" applyFont="1" applyBorder="1"/>
    <xf numFmtId="0" fontId="42" fillId="0" borderId="27" xfId="0" applyFont="1" applyFill="1" applyBorder="1"/>
    <xf numFmtId="0" fontId="16" fillId="0" borderId="10" xfId="0" applyFont="1" applyBorder="1"/>
    <xf numFmtId="43" fontId="0" fillId="43" borderId="10" xfId="0" applyNumberFormat="1" applyFill="1" applyBorder="1"/>
    <xf numFmtId="44" fontId="0" fillId="0" borderId="10" xfId="218" applyFont="1" applyBorder="1"/>
    <xf numFmtId="44" fontId="0" fillId="43" borderId="10" xfId="218" applyFont="1" applyFill="1" applyBorder="1"/>
    <xf numFmtId="0" fontId="0" fillId="37" borderId="10" xfId="0" applyFill="1" applyBorder="1"/>
    <xf numFmtId="44" fontId="0" fillId="37" borderId="10" xfId="218" applyFont="1" applyFill="1" applyBorder="1"/>
    <xf numFmtId="0" fontId="14" fillId="43" borderId="10" xfId="0" applyFont="1" applyFill="1" applyBorder="1"/>
    <xf numFmtId="44" fontId="14" fillId="43" borderId="10" xfId="218" applyFont="1" applyFill="1" applyBorder="1"/>
    <xf numFmtId="0" fontId="14" fillId="37" borderId="10" xfId="0" applyFont="1" applyFill="1" applyBorder="1"/>
    <xf numFmtId="44" fontId="14" fillId="37" borderId="10" xfId="218" applyFont="1" applyFill="1" applyBorder="1"/>
    <xf numFmtId="0" fontId="14" fillId="0" borderId="10" xfId="0" applyFont="1" applyFill="1" applyBorder="1"/>
    <xf numFmtId="44" fontId="14" fillId="0" borderId="10" xfId="218" applyFont="1" applyFill="1" applyBorder="1"/>
    <xf numFmtId="0" fontId="0" fillId="0" borderId="10" xfId="0" applyFill="1" applyBorder="1"/>
    <xf numFmtId="0" fontId="14" fillId="0" borderId="27" xfId="0" applyFont="1" applyFill="1" applyBorder="1"/>
    <xf numFmtId="0" fontId="14" fillId="0" borderId="0" xfId="0" applyFont="1" applyFill="1" applyBorder="1"/>
    <xf numFmtId="44" fontId="14" fillId="0" borderId="0" xfId="218" applyFont="1" applyFill="1" applyBorder="1"/>
    <xf numFmtId="0" fontId="66" fillId="0" borderId="0" xfId="0" applyFont="1"/>
    <xf numFmtId="0" fontId="66" fillId="0" borderId="0" xfId="0" applyFont="1" applyAlignment="1">
      <alignment horizontal="right"/>
    </xf>
    <xf numFmtId="10" fontId="66" fillId="0" borderId="0" xfId="2" applyNumberFormat="1" applyFont="1"/>
    <xf numFmtId="44" fontId="66" fillId="0" borderId="0" xfId="0" applyNumberFormat="1" applyFont="1"/>
    <xf numFmtId="172" fontId="14" fillId="0" borderId="10" xfId="1" applyNumberFormat="1" applyFont="1" applyFill="1" applyBorder="1"/>
    <xf numFmtId="172" fontId="57" fillId="0" borderId="27" xfId="1" applyNumberFormat="1" applyFont="1" applyBorder="1"/>
    <xf numFmtId="172" fontId="0" fillId="0" borderId="27" xfId="1" applyNumberFormat="1" applyFont="1" applyBorder="1"/>
    <xf numFmtId="172" fontId="14" fillId="0" borderId="27" xfId="1" applyNumberFormat="1" applyFont="1" applyFill="1" applyBorder="1"/>
    <xf numFmtId="43" fontId="14" fillId="43" borderId="10" xfId="1" applyFont="1" applyFill="1" applyBorder="1"/>
    <xf numFmtId="10" fontId="66" fillId="0" borderId="0" xfId="2" applyNumberFormat="1" applyFont="1" applyFill="1"/>
    <xf numFmtId="44" fontId="66" fillId="0" borderId="0" xfId="0" applyNumberFormat="1" applyFont="1" applyFill="1"/>
    <xf numFmtId="44" fontId="14" fillId="0" borderId="10" xfId="218" applyFont="1" applyFill="1" applyBorder="1" applyAlignment="1">
      <alignment horizontal="right"/>
    </xf>
    <xf numFmtId="172" fontId="0" fillId="0" borderId="10" xfId="1" applyNumberFormat="1" applyFont="1" applyBorder="1"/>
    <xf numFmtId="43" fontId="0" fillId="0" borderId="10" xfId="1" applyFont="1" applyFill="1" applyBorder="1"/>
    <xf numFmtId="172" fontId="0" fillId="0" borderId="0" xfId="1" applyNumberFormat="1" applyFont="1"/>
    <xf numFmtId="0" fontId="16" fillId="49" borderId="10" xfId="0" applyFont="1" applyFill="1" applyBorder="1" applyAlignment="1">
      <alignment horizontal="center" wrapText="1"/>
    </xf>
    <xf numFmtId="172" fontId="16" fillId="49" borderId="10" xfId="1" applyNumberFormat="1" applyFont="1" applyFill="1" applyBorder="1" applyAlignment="1">
      <alignment horizontal="center" wrapText="1"/>
    </xf>
    <xf numFmtId="0" fontId="16" fillId="47" borderId="10" xfId="0" applyFont="1" applyFill="1" applyBorder="1" applyAlignment="1">
      <alignment horizontal="center" wrapText="1"/>
    </xf>
    <xf numFmtId="172" fontId="41" fillId="0" borderId="10" xfId="1" applyNumberFormat="1" applyFont="1" applyBorder="1"/>
    <xf numFmtId="172" fontId="14" fillId="0" borderId="10" xfId="1" applyNumberFormat="1" applyFont="1" applyBorder="1"/>
    <xf numFmtId="43" fontId="41" fillId="0" borderId="10" xfId="1" applyFont="1" applyFill="1" applyBorder="1"/>
    <xf numFmtId="44" fontId="41" fillId="0" borderId="10" xfId="218" applyFont="1" applyFill="1" applyBorder="1"/>
    <xf numFmtId="172" fontId="41" fillId="0" borderId="28" xfId="1" applyNumberFormat="1" applyFont="1" applyFill="1" applyBorder="1" applyAlignment="1">
      <alignment horizontal="center" wrapText="1"/>
    </xf>
    <xf numFmtId="0" fontId="16" fillId="46" borderId="0" xfId="0" applyFont="1" applyFill="1"/>
    <xf numFmtId="172" fontId="16" fillId="46" borderId="10" xfId="0" applyNumberFormat="1" applyFont="1" applyFill="1" applyBorder="1"/>
    <xf numFmtId="172" fontId="16" fillId="46" borderId="28" xfId="0" applyNumberFormat="1" applyFont="1" applyFill="1" applyBorder="1"/>
    <xf numFmtId="172" fontId="16" fillId="47" borderId="10" xfId="1" applyNumberFormat="1" applyFont="1" applyFill="1" applyBorder="1" applyAlignment="1">
      <alignment horizontal="center" wrapText="1"/>
    </xf>
    <xf numFmtId="0" fontId="16" fillId="48" borderId="10" xfId="0" applyFont="1" applyFill="1" applyBorder="1" applyAlignment="1">
      <alignment horizontal="center" wrapText="1"/>
    </xf>
    <xf numFmtId="172" fontId="16" fillId="48" borderId="10" xfId="1" applyNumberFormat="1" applyFont="1" applyFill="1" applyBorder="1" applyAlignment="1">
      <alignment horizontal="center" wrapText="1"/>
    </xf>
    <xf numFmtId="0" fontId="14" fillId="0" borderId="0" xfId="0" applyFont="1" applyBorder="1"/>
    <xf numFmtId="172" fontId="14" fillId="0" borderId="0" xfId="1" applyNumberFormat="1" applyFont="1" applyBorder="1"/>
    <xf numFmtId="172" fontId="16" fillId="39" borderId="10" xfId="1" applyNumberFormat="1" applyFont="1" applyFill="1" applyBorder="1"/>
    <xf numFmtId="0" fontId="16" fillId="49" borderId="30" xfId="0" applyFont="1" applyFill="1" applyBorder="1" applyAlignment="1">
      <alignment horizontal="center" wrapText="1"/>
    </xf>
    <xf numFmtId="172" fontId="16" fillId="49" borderId="30" xfId="1" applyNumberFormat="1" applyFont="1" applyFill="1" applyBorder="1" applyAlignment="1">
      <alignment horizontal="center" wrapText="1"/>
    </xf>
    <xf numFmtId="0" fontId="16" fillId="47" borderId="30" xfId="0" applyFont="1" applyFill="1" applyBorder="1" applyAlignment="1">
      <alignment horizontal="center" wrapText="1"/>
    </xf>
    <xf numFmtId="172" fontId="16" fillId="47" borderId="30" xfId="1" applyNumberFormat="1" applyFont="1" applyFill="1" applyBorder="1" applyAlignment="1">
      <alignment horizontal="center" wrapText="1"/>
    </xf>
    <xf numFmtId="0" fontId="16" fillId="48" borderId="30" xfId="0" applyFont="1" applyFill="1" applyBorder="1" applyAlignment="1">
      <alignment horizontal="center" wrapText="1"/>
    </xf>
    <xf numFmtId="172" fontId="16" fillId="48" borderId="30" xfId="1" applyNumberFormat="1" applyFont="1" applyFill="1" applyBorder="1" applyAlignment="1">
      <alignment horizontal="center" wrapText="1"/>
    </xf>
    <xf numFmtId="172" fontId="16" fillId="46" borderId="29" xfId="0" applyNumberFormat="1" applyFont="1" applyFill="1" applyBorder="1"/>
    <xf numFmtId="172" fontId="16" fillId="39" borderId="29" xfId="1" applyNumberFormat="1" applyFont="1" applyFill="1" applyBorder="1"/>
    <xf numFmtId="172" fontId="16" fillId="46" borderId="31" xfId="0" applyNumberFormat="1" applyFont="1" applyFill="1" applyBorder="1"/>
    <xf numFmtId="0" fontId="14" fillId="0" borderId="0" xfId="0" applyFont="1" applyAlignment="1">
      <alignment wrapText="1"/>
    </xf>
    <xf numFmtId="0" fontId="0" fillId="0" borderId="0" xfId="0"/>
    <xf numFmtId="0" fontId="16" fillId="0" borderId="0" xfId="0" applyFont="1"/>
    <xf numFmtId="43" fontId="41" fillId="0" borderId="29" xfId="0" applyNumberFormat="1" applyFont="1" applyBorder="1"/>
    <xf numFmtId="14" fontId="16" fillId="0" borderId="0" xfId="0" applyNumberFormat="1" applyFont="1"/>
    <xf numFmtId="43" fontId="41" fillId="0" borderId="10" xfId="0" applyNumberFormat="1" applyFont="1" applyFill="1" applyBorder="1"/>
    <xf numFmtId="43" fontId="0" fillId="0" borderId="29" xfId="0" applyNumberFormat="1" applyFont="1" applyBorder="1"/>
    <xf numFmtId="0" fontId="0" fillId="0" borderId="10" xfId="0" applyFont="1" applyBorder="1"/>
    <xf numFmtId="44" fontId="0" fillId="0" borderId="10" xfId="218" applyFont="1" applyFill="1" applyBorder="1"/>
    <xf numFmtId="0" fontId="14" fillId="0" borderId="10" xfId="0" applyFont="1" applyBorder="1"/>
    <xf numFmtId="0" fontId="0" fillId="0" borderId="0" xfId="0" applyAlignment="1">
      <alignment horizontal="center" wrapText="1"/>
    </xf>
    <xf numFmtId="0" fontId="0" fillId="36" borderId="10" xfId="0" applyFill="1" applyBorder="1" applyAlignment="1">
      <alignment horizontal="center" wrapText="1"/>
    </xf>
    <xf numFmtId="0" fontId="0" fillId="0" borderId="10" xfId="0" applyBorder="1" applyAlignment="1">
      <alignment horizontal="center" wrapText="1"/>
    </xf>
    <xf numFmtId="173" fontId="0" fillId="0" borderId="10" xfId="0" applyNumberFormat="1" applyBorder="1" applyAlignment="1">
      <alignment horizontal="left"/>
    </xf>
    <xf numFmtId="174" fontId="41" fillId="36" borderId="10" xfId="0" applyNumberFormat="1" applyFont="1" applyFill="1" applyBorder="1"/>
    <xf numFmtId="174" fontId="41" fillId="0" borderId="10" xfId="0" applyNumberFormat="1" applyFont="1" applyFill="1" applyBorder="1"/>
    <xf numFmtId="174" fontId="41" fillId="0" borderId="10" xfId="0" applyNumberFormat="1" applyFont="1" applyBorder="1"/>
    <xf numFmtId="172" fontId="41" fillId="0" borderId="10" xfId="1" applyNumberFormat="1" applyFont="1" applyFill="1" applyBorder="1" applyAlignment="1">
      <alignment horizontal="center" wrapText="1"/>
    </xf>
    <xf numFmtId="172" fontId="0" fillId="0" borderId="10" xfId="1" applyNumberFormat="1" applyFont="1" applyFill="1" applyBorder="1"/>
    <xf numFmtId="172" fontId="41" fillId="0" borderId="10" xfId="1" applyNumberFormat="1" applyFont="1" applyFill="1" applyBorder="1"/>
    <xf numFmtId="173" fontId="41" fillId="0" borderId="10" xfId="0" applyNumberFormat="1" applyFont="1" applyBorder="1" applyAlignment="1">
      <alignment horizontal="left"/>
    </xf>
    <xf numFmtId="172" fontId="41" fillId="36" borderId="10" xfId="0" applyNumberFormat="1" applyFont="1" applyFill="1" applyBorder="1"/>
    <xf numFmtId="172" fontId="0" fillId="50" borderId="10" xfId="0" applyNumberFormat="1" applyFill="1" applyBorder="1"/>
    <xf numFmtId="174" fontId="0" fillId="51" borderId="10" xfId="0" applyNumberFormat="1" applyFill="1" applyBorder="1"/>
    <xf numFmtId="174" fontId="0" fillId="50" borderId="10" xfId="0" applyNumberFormat="1" applyFill="1" applyBorder="1"/>
    <xf numFmtId="174" fontId="14" fillId="50" borderId="10" xfId="0" applyNumberFormat="1" applyFont="1" applyFill="1" applyBorder="1"/>
    <xf numFmtId="17" fontId="0" fillId="0" borderId="30" xfId="0" applyNumberFormat="1" applyBorder="1" applyAlignment="1">
      <alignment horizontal="center" wrapText="1"/>
    </xf>
    <xf numFmtId="17" fontId="0" fillId="0" borderId="29" xfId="0" applyNumberFormat="1" applyBorder="1" applyAlignment="1">
      <alignment horizontal="center" wrapText="1"/>
    </xf>
    <xf numFmtId="49" fontId="0" fillId="0" borderId="10" xfId="0" applyNumberFormat="1" applyBorder="1" applyAlignment="1">
      <alignment horizontal="left"/>
    </xf>
    <xf numFmtId="49" fontId="41" fillId="0" borderId="10" xfId="0" applyNumberFormat="1" applyFont="1" applyBorder="1" applyAlignment="1">
      <alignment horizontal="left"/>
    </xf>
    <xf numFmtId="172" fontId="13" fillId="52" borderId="10" xfId="1" applyNumberFormat="1" applyFont="1" applyFill="1" applyBorder="1" applyAlignment="1">
      <alignment horizontal="left"/>
    </xf>
    <xf numFmtId="173" fontId="67" fillId="0" borderId="10" xfId="0" applyNumberFormat="1" applyFont="1" applyBorder="1" applyAlignment="1">
      <alignment horizontal="left"/>
    </xf>
    <xf numFmtId="49" fontId="68" fillId="0" borderId="10" xfId="0" applyNumberFormat="1" applyFont="1" applyBorder="1" applyAlignment="1">
      <alignment horizontal="left"/>
    </xf>
    <xf numFmtId="172" fontId="67" fillId="36" borderId="10" xfId="0" applyNumberFormat="1" applyFont="1" applyFill="1" applyBorder="1"/>
    <xf numFmtId="174" fontId="67" fillId="0" borderId="10" xfId="0" applyNumberFormat="1" applyFont="1" applyBorder="1"/>
    <xf numFmtId="174" fontId="67" fillId="36" borderId="10" xfId="0" applyNumberFormat="1" applyFont="1" applyFill="1" applyBorder="1"/>
    <xf numFmtId="43" fontId="0" fillId="0" borderId="10" xfId="0" applyNumberFormat="1" applyFont="1" applyFill="1" applyBorder="1"/>
    <xf numFmtId="0" fontId="0" fillId="0" borderId="28" xfId="0" applyFont="1" applyBorder="1"/>
    <xf numFmtId="0" fontId="0" fillId="0" borderId="0" xfId="0" applyFont="1" applyBorder="1"/>
    <xf numFmtId="0" fontId="0" fillId="0" borderId="10" xfId="0" applyFont="1" applyFill="1" applyBorder="1"/>
    <xf numFmtId="165" fontId="0" fillId="0" borderId="10" xfId="0" applyNumberFormat="1" applyFont="1" applyFill="1" applyBorder="1"/>
    <xf numFmtId="0" fontId="0" fillId="36" borderId="27" xfId="0" applyFill="1" applyBorder="1" applyAlignment="1">
      <alignment wrapText="1"/>
    </xf>
    <xf numFmtId="0" fontId="0" fillId="0" borderId="27" xfId="0" applyBorder="1" applyAlignment="1">
      <alignment wrapText="1"/>
    </xf>
    <xf numFmtId="0" fontId="0" fillId="36" borderId="27" xfId="0" applyFill="1" applyBorder="1" applyAlignment="1"/>
    <xf numFmtId="0" fontId="0" fillId="0" borderId="27" xfId="0" applyBorder="1" applyAlignment="1"/>
    <xf numFmtId="0" fontId="41" fillId="0" borderId="0" xfId="0" applyFont="1" applyAlignment="1">
      <alignment wrapText="1"/>
    </xf>
    <xf numFmtId="2" fontId="48" fillId="0" borderId="0" xfId="0" applyNumberFormat="1" applyFont="1" applyFill="1"/>
    <xf numFmtId="0" fontId="53" fillId="37" borderId="0" xfId="0" applyFont="1" applyFill="1"/>
    <xf numFmtId="172" fontId="14" fillId="38" borderId="0" xfId="1" applyNumberFormat="1" applyFont="1" applyFill="1"/>
    <xf numFmtId="164" fontId="69" fillId="34" borderId="10" xfId="0" applyNumberFormat="1" applyFont="1" applyFill="1" applyBorder="1" applyAlignment="1">
      <alignment horizontal="left" vertical="top"/>
    </xf>
    <xf numFmtId="164" fontId="70" fillId="34" borderId="10" xfId="0" applyNumberFormat="1" applyFont="1" applyFill="1" applyBorder="1" applyAlignment="1">
      <alignment horizontal="left" vertical="top"/>
    </xf>
    <xf numFmtId="2" fontId="69" fillId="34" borderId="0" xfId="0" applyNumberFormat="1" applyFont="1" applyFill="1" applyBorder="1" applyAlignment="1">
      <alignment horizontal="left" vertical="top"/>
    </xf>
    <xf numFmtId="2" fontId="71" fillId="37" borderId="11" xfId="0" applyNumberFormat="1" applyFont="1" applyFill="1" applyBorder="1"/>
    <xf numFmtId="43" fontId="71" fillId="37" borderId="0" xfId="1" applyFont="1" applyFill="1"/>
    <xf numFmtId="170" fontId="71" fillId="37" borderId="0" xfId="1" applyNumberFormat="1" applyFont="1" applyFill="1"/>
    <xf numFmtId="43" fontId="0" fillId="0" borderId="12" xfId="1" applyFont="1" applyBorder="1"/>
    <xf numFmtId="0" fontId="71" fillId="33" borderId="0" xfId="0" applyFont="1" applyFill="1" applyAlignment="1">
      <alignment horizontal="left" vertical="top"/>
    </xf>
    <xf numFmtId="17" fontId="0" fillId="0" borderId="0" xfId="0" applyNumberFormat="1" applyFont="1" applyAlignment="1">
      <alignment wrapText="1"/>
    </xf>
    <xf numFmtId="0" fontId="72" fillId="0" borderId="0" xfId="0" applyFont="1"/>
    <xf numFmtId="43" fontId="43" fillId="0" borderId="0" xfId="1" applyFont="1" applyFill="1"/>
    <xf numFmtId="43" fontId="42" fillId="0" borderId="0" xfId="1" applyFont="1" applyFill="1"/>
    <xf numFmtId="0" fontId="18" fillId="0" borderId="0" xfId="0" applyFont="1" applyFill="1" applyAlignment="1">
      <alignment horizontal="left"/>
    </xf>
    <xf numFmtId="0" fontId="31" fillId="0" borderId="0" xfId="0" applyFont="1" applyFill="1"/>
    <xf numFmtId="17" fontId="0" fillId="0" borderId="0" xfId="0" applyNumberFormat="1" applyFont="1" applyFill="1" applyAlignment="1">
      <alignment horizontal="left"/>
    </xf>
    <xf numFmtId="17" fontId="42" fillId="0" borderId="0" xfId="0" applyNumberFormat="1" applyFont="1" applyFill="1" applyAlignment="1">
      <alignment horizontal="left"/>
    </xf>
    <xf numFmtId="2" fontId="0" fillId="37" borderId="0" xfId="0" applyNumberFormat="1" applyFill="1" applyBorder="1"/>
    <xf numFmtId="43" fontId="25" fillId="37" borderId="0" xfId="1" applyFont="1" applyFill="1"/>
    <xf numFmtId="167" fontId="73" fillId="37" borderId="0" xfId="1" applyNumberFormat="1" applyFont="1" applyFill="1"/>
    <xf numFmtId="43" fontId="73" fillId="0" borderId="0" xfId="1" applyFont="1"/>
    <xf numFmtId="43" fontId="73" fillId="37" borderId="0" xfId="1" applyFont="1" applyFill="1"/>
    <xf numFmtId="43" fontId="73" fillId="37" borderId="0" xfId="1" applyFont="1" applyFill="1" applyAlignment="1">
      <alignment horizontal="left" vertical="top"/>
    </xf>
    <xf numFmtId="0" fontId="41" fillId="33" borderId="0" xfId="0" applyFont="1" applyFill="1" applyAlignment="1">
      <alignment horizontal="left" vertical="top"/>
    </xf>
    <xf numFmtId="3" fontId="69" fillId="0" borderId="12" xfId="0" applyNumberFormat="1" applyFont="1" applyBorder="1" applyAlignment="1">
      <alignment horizontal="right"/>
    </xf>
    <xf numFmtId="2" fontId="73" fillId="38" borderId="0" xfId="0" applyNumberFormat="1" applyFont="1" applyFill="1"/>
    <xf numFmtId="167" fontId="71" fillId="37" borderId="14" xfId="1" applyNumberFormat="1" applyFont="1" applyFill="1" applyBorder="1" applyAlignment="1">
      <alignment horizontal="left" vertical="top"/>
    </xf>
    <xf numFmtId="167" fontId="71" fillId="37" borderId="15" xfId="1" applyNumberFormat="1" applyFont="1" applyFill="1" applyBorder="1" applyAlignment="1">
      <alignment horizontal="left" vertical="top"/>
    </xf>
    <xf numFmtId="167" fontId="71" fillId="37" borderId="16" xfId="1" applyNumberFormat="1" applyFont="1" applyFill="1" applyBorder="1"/>
    <xf numFmtId="167" fontId="71" fillId="37" borderId="14" xfId="1" applyNumberFormat="1" applyFont="1" applyFill="1" applyBorder="1" applyAlignment="1">
      <alignment horizontal="left" vertical="top" wrapText="1"/>
    </xf>
    <xf numFmtId="167" fontId="71" fillId="37" borderId="16" xfId="1" applyNumberFormat="1" applyFont="1" applyFill="1" applyBorder="1" applyAlignment="1">
      <alignment horizontal="left" vertical="top"/>
    </xf>
    <xf numFmtId="167" fontId="0" fillId="53" borderId="14" xfId="1" applyNumberFormat="1" applyFont="1" applyFill="1" applyBorder="1" applyAlignment="1">
      <alignment horizontal="left" vertical="top"/>
    </xf>
    <xf numFmtId="167" fontId="0" fillId="53" borderId="15" xfId="1" applyNumberFormat="1" applyFont="1" applyFill="1" applyBorder="1" applyAlignment="1">
      <alignment horizontal="left" vertical="top"/>
    </xf>
    <xf numFmtId="0" fontId="14" fillId="0" borderId="0" xfId="0" applyFont="1"/>
    <xf numFmtId="43" fontId="70" fillId="37" borderId="0" xfId="1" applyFont="1" applyFill="1"/>
    <xf numFmtId="170" fontId="70" fillId="37" borderId="0" xfId="1" applyNumberFormat="1" applyFont="1" applyFill="1"/>
    <xf numFmtId="175" fontId="0" fillId="0" borderId="0" xfId="46" applyNumberFormat="1" applyFont="1"/>
    <xf numFmtId="0" fontId="0" fillId="0" borderId="0" xfId="0" applyBorder="1"/>
    <xf numFmtId="0" fontId="0" fillId="0" borderId="32" xfId="0" applyFont="1" applyBorder="1"/>
    <xf numFmtId="0" fontId="0" fillId="0" borderId="32" xfId="0" applyBorder="1"/>
    <xf numFmtId="0" fontId="73" fillId="0" borderId="32" xfId="0" applyFont="1" applyBorder="1"/>
    <xf numFmtId="0" fontId="71" fillId="43" borderId="32" xfId="0" applyFont="1" applyFill="1" applyBorder="1"/>
    <xf numFmtId="43" fontId="41" fillId="37" borderId="13" xfId="1" applyFont="1" applyFill="1" applyBorder="1" applyAlignment="1" applyProtection="1">
      <alignment horizontal="right"/>
      <protection hidden="1"/>
    </xf>
    <xf numFmtId="0" fontId="16" fillId="0" borderId="10" xfId="0" applyFont="1" applyBorder="1" applyAlignment="1">
      <alignment horizontal="center"/>
    </xf>
    <xf numFmtId="167" fontId="56" fillId="0" borderId="10" xfId="1" applyNumberFormat="1" applyFont="1" applyFill="1" applyBorder="1" applyAlignment="1">
      <alignment horizontal="right" vertical="top"/>
    </xf>
    <xf numFmtId="43" fontId="56" fillId="0" borderId="10" xfId="1" applyFont="1" applyFill="1" applyBorder="1" applyAlignment="1">
      <alignment horizontal="right" vertical="top"/>
    </xf>
    <xf numFmtId="0" fontId="16" fillId="34" borderId="10" xfId="0" applyFont="1" applyFill="1" applyBorder="1" applyAlignment="1">
      <alignment horizontal="center" wrapText="1"/>
    </xf>
    <xf numFmtId="172" fontId="16" fillId="34" borderId="10" xfId="1" applyNumberFormat="1" applyFont="1" applyFill="1" applyBorder="1" applyAlignment="1">
      <alignment horizontal="center" wrapText="1"/>
    </xf>
    <xf numFmtId="0" fontId="16" fillId="34" borderId="30" xfId="0" applyFont="1" applyFill="1" applyBorder="1" applyAlignment="1">
      <alignment horizontal="center" wrapText="1"/>
    </xf>
    <xf numFmtId="172" fontId="16" fillId="34" borderId="30" xfId="1" applyNumberFormat="1" applyFont="1" applyFill="1" applyBorder="1" applyAlignment="1">
      <alignment horizontal="center" wrapText="1"/>
    </xf>
    <xf numFmtId="14" fontId="54" fillId="0" borderId="0" xfId="0" applyNumberFormat="1" applyFont="1"/>
    <xf numFmtId="43" fontId="0" fillId="0" borderId="0" xfId="46" applyNumberFormat="1" applyFont="1"/>
    <xf numFmtId="3" fontId="41" fillId="53" borderId="0" xfId="0" applyNumberFormat="1" applyFont="1" applyFill="1"/>
    <xf numFmtId="176" fontId="0" fillId="0" borderId="32" xfId="1" applyNumberFormat="1" applyFont="1" applyBorder="1"/>
    <xf numFmtId="164" fontId="24" fillId="41" borderId="10" xfId="0" applyNumberFormat="1" applyFont="1" applyFill="1" applyBorder="1" applyAlignment="1">
      <alignment horizontal="left" vertical="top"/>
    </xf>
    <xf numFmtId="170" fontId="14" fillId="37" borderId="0" xfId="1" applyNumberFormat="1" applyFont="1" applyFill="1" applyAlignment="1">
      <alignment horizontal="left" indent="2"/>
    </xf>
    <xf numFmtId="167" fontId="43" fillId="37" borderId="11" xfId="1" applyNumberFormat="1" applyFont="1" applyFill="1" applyBorder="1"/>
    <xf numFmtId="167" fontId="74" fillId="0" borderId="0" xfId="1" applyNumberFormat="1" applyFont="1"/>
    <xf numFmtId="167" fontId="74" fillId="0" borderId="0" xfId="0" applyNumberFormat="1" applyFont="1"/>
    <xf numFmtId="43" fontId="41" fillId="53" borderId="13" xfId="1" applyFont="1" applyFill="1" applyBorder="1" applyAlignment="1" applyProtection="1">
      <alignment horizontal="right"/>
      <protection hidden="1"/>
    </xf>
    <xf numFmtId="43" fontId="23" fillId="37" borderId="13" xfId="1" applyFont="1" applyFill="1" applyBorder="1" applyAlignment="1" applyProtection="1">
      <alignment horizontal="right"/>
      <protection hidden="1"/>
    </xf>
    <xf numFmtId="0" fontId="16" fillId="0" borderId="10" xfId="0" applyFont="1" applyBorder="1" applyAlignment="1">
      <alignment horizontal="center"/>
    </xf>
    <xf numFmtId="43" fontId="54" fillId="46" borderId="10" xfId="1" applyFont="1" applyFill="1" applyBorder="1" applyAlignment="1">
      <alignment horizontal="right" vertical="top"/>
    </xf>
    <xf numFmtId="172" fontId="16" fillId="0" borderId="10" xfId="1" applyNumberFormat="1" applyFont="1" applyBorder="1"/>
    <xf numFmtId="172" fontId="16" fillId="0" borderId="10" xfId="1" applyNumberFormat="1" applyFont="1" applyBorder="1" applyAlignment="1">
      <alignment horizontal="center" wrapText="1"/>
    </xf>
    <xf numFmtId="43" fontId="41" fillId="37" borderId="13" xfId="1" applyNumberFormat="1" applyFont="1" applyFill="1" applyBorder="1" applyAlignment="1" applyProtection="1">
      <alignment horizontal="right"/>
      <protection hidden="1"/>
    </xf>
    <xf numFmtId="0" fontId="74" fillId="0" borderId="0" xfId="0" applyFont="1"/>
    <xf numFmtId="0" fontId="41" fillId="37" borderId="0" xfId="0" applyFont="1" applyFill="1"/>
    <xf numFmtId="0" fontId="16" fillId="0" borderId="0" xfId="0" applyFont="1" applyFill="1" applyAlignment="1">
      <alignment horizontal="left"/>
    </xf>
    <xf numFmtId="0" fontId="42" fillId="0" borderId="0" xfId="0" applyFont="1" applyFill="1" applyAlignment="1">
      <alignment horizontal="left"/>
    </xf>
    <xf numFmtId="0" fontId="0" fillId="38" borderId="20" xfId="0" applyFont="1" applyFill="1" applyBorder="1" applyAlignment="1">
      <alignment horizontal="left" vertical="top" wrapText="1"/>
    </xf>
    <xf numFmtId="0" fontId="0" fillId="38" borderId="0" xfId="0" applyFont="1" applyFill="1" applyBorder="1" applyAlignment="1">
      <alignment horizontal="left" vertical="top" wrapText="1"/>
    </xf>
    <xf numFmtId="0" fontId="0" fillId="38" borderId="21" xfId="0" applyFont="1" applyFill="1" applyBorder="1" applyAlignment="1">
      <alignment horizontal="left" vertical="top" wrapText="1"/>
    </xf>
    <xf numFmtId="0" fontId="0" fillId="38" borderId="22" xfId="0" applyFont="1" applyFill="1" applyBorder="1" applyAlignment="1">
      <alignment horizontal="left" vertical="top" wrapText="1"/>
    </xf>
    <xf numFmtId="0" fontId="0" fillId="38" borderId="23" xfId="0" applyFont="1" applyFill="1" applyBorder="1" applyAlignment="1">
      <alignment horizontal="left" vertical="top" wrapText="1"/>
    </xf>
    <xf numFmtId="0" fontId="0" fillId="38" borderId="24"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0" xfId="0" applyFont="1" applyFill="1" applyAlignment="1">
      <alignment horizontal="left" indent="2"/>
    </xf>
    <xf numFmtId="0" fontId="0" fillId="0" borderId="0" xfId="0" applyFont="1" applyAlignment="1">
      <alignment horizontal="left" wrapText="1"/>
    </xf>
    <xf numFmtId="0" fontId="14" fillId="0" borderId="0" xfId="0" applyFont="1" applyFill="1" applyBorder="1" applyAlignment="1">
      <alignment horizontal="left" vertical="top" wrapText="1"/>
    </xf>
    <xf numFmtId="0" fontId="66" fillId="0" borderId="0" xfId="0" applyFont="1" applyAlignment="1">
      <alignment horizontal="left" wrapText="1"/>
    </xf>
    <xf numFmtId="0" fontId="0" fillId="0" borderId="0" xfId="0" applyAlignment="1">
      <alignment horizontal="left"/>
    </xf>
    <xf numFmtId="0" fontId="18" fillId="0" borderId="0" xfId="0" applyFont="1" applyFill="1" applyAlignment="1">
      <alignment horizontal="left"/>
    </xf>
    <xf numFmtId="0" fontId="30" fillId="0" borderId="0" xfId="0" applyFont="1" applyFill="1" applyAlignment="1">
      <alignment horizontal="left"/>
    </xf>
    <xf numFmtId="0" fontId="0" fillId="38" borderId="20" xfId="0" applyFill="1" applyBorder="1" applyAlignment="1">
      <alignment horizontal="left" vertical="top" wrapText="1"/>
    </xf>
    <xf numFmtId="0" fontId="0" fillId="38" borderId="0" xfId="0" applyFill="1" applyBorder="1" applyAlignment="1">
      <alignment horizontal="left" vertical="top" wrapText="1"/>
    </xf>
    <xf numFmtId="0" fontId="0" fillId="38" borderId="21" xfId="0" applyFill="1" applyBorder="1" applyAlignment="1">
      <alignment horizontal="left" vertical="top" wrapText="1"/>
    </xf>
    <xf numFmtId="0" fontId="0" fillId="38" borderId="22" xfId="0" applyFill="1" applyBorder="1" applyAlignment="1">
      <alignment horizontal="left" vertical="top" wrapText="1"/>
    </xf>
    <xf numFmtId="0" fontId="0" fillId="38" borderId="23" xfId="0" applyFill="1" applyBorder="1" applyAlignment="1">
      <alignment horizontal="left" vertical="top" wrapText="1"/>
    </xf>
    <xf numFmtId="0" fontId="0" fillId="38" borderId="24" xfId="0" applyFill="1" applyBorder="1" applyAlignment="1">
      <alignment horizontal="left" vertical="top" wrapText="1"/>
    </xf>
    <xf numFmtId="0" fontId="0" fillId="0" borderId="0" xfId="0" applyFill="1" applyBorder="1" applyAlignment="1">
      <alignment horizontal="left" vertical="top" wrapText="1"/>
    </xf>
    <xf numFmtId="0" fontId="0" fillId="0" borderId="0" xfId="0" applyFill="1" applyAlignment="1">
      <alignment horizontal="left" indent="2"/>
    </xf>
    <xf numFmtId="0" fontId="0" fillId="0" borderId="0" xfId="0" applyAlignment="1">
      <alignment horizontal="left" wrapText="1"/>
    </xf>
    <xf numFmtId="0" fontId="54" fillId="0" borderId="27" xfId="0" applyFont="1" applyFill="1" applyBorder="1" applyAlignment="1">
      <alignment horizontal="center" wrapText="1"/>
    </xf>
    <xf numFmtId="0" fontId="54" fillId="0" borderId="26" xfId="0" applyFont="1" applyFill="1" applyBorder="1" applyAlignment="1">
      <alignment horizontal="center" wrapText="1"/>
    </xf>
    <xf numFmtId="0" fontId="54" fillId="0" borderId="28" xfId="0" applyFont="1" applyFill="1" applyBorder="1" applyAlignment="1">
      <alignment horizontal="center" wrapText="1"/>
    </xf>
    <xf numFmtId="0" fontId="56" fillId="36" borderId="27" xfId="0" applyFont="1" applyFill="1" applyBorder="1" applyAlignment="1">
      <alignment horizontal="center"/>
    </xf>
    <xf numFmtId="0" fontId="56" fillId="36" borderId="26" xfId="0" applyFont="1" applyFill="1" applyBorder="1" applyAlignment="1">
      <alignment horizontal="center"/>
    </xf>
    <xf numFmtId="0" fontId="56" fillId="36" borderId="28" xfId="0" applyFont="1" applyFill="1" applyBorder="1" applyAlignment="1">
      <alignment horizontal="center"/>
    </xf>
    <xf numFmtId="0" fontId="56" fillId="37" borderId="27" xfId="0" applyFont="1" applyFill="1" applyBorder="1" applyAlignment="1">
      <alignment horizontal="center"/>
    </xf>
    <xf numFmtId="0" fontId="56" fillId="37" borderId="26" xfId="0" applyFont="1" applyFill="1" applyBorder="1" applyAlignment="1">
      <alignment horizontal="center"/>
    </xf>
    <xf numFmtId="0" fontId="56" fillId="37" borderId="28" xfId="0" applyFont="1" applyFill="1" applyBorder="1" applyAlignment="1">
      <alignment horizontal="center"/>
    </xf>
    <xf numFmtId="0" fontId="54" fillId="44" borderId="27" xfId="0" applyFont="1" applyFill="1" applyBorder="1" applyAlignment="1">
      <alignment horizontal="center" wrapText="1"/>
    </xf>
    <xf numFmtId="0" fontId="54" fillId="44" borderId="26" xfId="0" applyFont="1" applyFill="1" applyBorder="1" applyAlignment="1">
      <alignment horizontal="center" wrapText="1"/>
    </xf>
    <xf numFmtId="0" fontId="54" fillId="44" borderId="28" xfId="0" applyFont="1" applyFill="1" applyBorder="1" applyAlignment="1">
      <alignment horizontal="center" wrapText="1"/>
    </xf>
    <xf numFmtId="0" fontId="54" fillId="45" borderId="27" xfId="0" applyFont="1" applyFill="1" applyBorder="1" applyAlignment="1">
      <alignment horizontal="center" wrapText="1"/>
    </xf>
    <xf numFmtId="0" fontId="54" fillId="45" borderId="26" xfId="0" applyFont="1" applyFill="1" applyBorder="1" applyAlignment="1">
      <alignment horizontal="center" wrapText="1"/>
    </xf>
    <xf numFmtId="0" fontId="54" fillId="45" borderId="28" xfId="0" applyFont="1" applyFill="1" applyBorder="1" applyAlignment="1">
      <alignment horizontal="center" wrapText="1"/>
    </xf>
    <xf numFmtId="0" fontId="54" fillId="47" borderId="27" xfId="0" applyFont="1" applyFill="1" applyBorder="1" applyAlignment="1">
      <alignment horizontal="center" wrapText="1"/>
    </xf>
    <xf numFmtId="0" fontId="54" fillId="47" borderId="26" xfId="0" applyFont="1" applyFill="1" applyBorder="1" applyAlignment="1">
      <alignment horizontal="center" wrapText="1"/>
    </xf>
    <xf numFmtId="0" fontId="54" fillId="47" borderId="28" xfId="0" applyFont="1" applyFill="1" applyBorder="1" applyAlignment="1">
      <alignment horizontal="center" wrapText="1"/>
    </xf>
    <xf numFmtId="0" fontId="54" fillId="48" borderId="27" xfId="0" applyFont="1" applyFill="1" applyBorder="1" applyAlignment="1">
      <alignment horizontal="center" wrapText="1"/>
    </xf>
    <xf numFmtId="0" fontId="54" fillId="48" borderId="26" xfId="0" applyFont="1" applyFill="1" applyBorder="1" applyAlignment="1">
      <alignment horizontal="center" wrapText="1"/>
    </xf>
    <xf numFmtId="0" fontId="54" fillId="48" borderId="28" xfId="0" applyFont="1" applyFill="1" applyBorder="1" applyAlignment="1">
      <alignment horizontal="center" wrapText="1"/>
    </xf>
    <xf numFmtId="0" fontId="16" fillId="37" borderId="30" xfId="0" applyFont="1" applyFill="1" applyBorder="1" applyAlignment="1">
      <alignment horizontal="center"/>
    </xf>
    <xf numFmtId="0" fontId="16" fillId="37" borderId="29" xfId="0" applyFont="1" applyFill="1" applyBorder="1" applyAlignment="1">
      <alignment horizontal="center"/>
    </xf>
    <xf numFmtId="0" fontId="16" fillId="0" borderId="30" xfId="0" applyFont="1" applyBorder="1" applyAlignment="1">
      <alignment horizontal="center" wrapText="1"/>
    </xf>
    <xf numFmtId="0" fontId="16" fillId="0" borderId="29" xfId="0" applyFont="1" applyBorder="1" applyAlignment="1">
      <alignment horizontal="center" wrapText="1"/>
    </xf>
    <xf numFmtId="0" fontId="16" fillId="46" borderId="10" xfId="0" applyFont="1" applyFill="1" applyBorder="1" applyAlignment="1">
      <alignment horizontal="center"/>
    </xf>
    <xf numFmtId="0" fontId="16" fillId="34" borderId="10" xfId="0" applyFont="1" applyFill="1" applyBorder="1" applyAlignment="1">
      <alignment horizontal="center"/>
    </xf>
    <xf numFmtId="0" fontId="16" fillId="0" borderId="10" xfId="0" applyFont="1" applyBorder="1" applyAlignment="1">
      <alignment horizontal="center"/>
    </xf>
    <xf numFmtId="0" fontId="16" fillId="43" borderId="10" xfId="0" applyFont="1" applyFill="1" applyBorder="1" applyAlignment="1">
      <alignment horizontal="center" wrapText="1"/>
    </xf>
    <xf numFmtId="0" fontId="0" fillId="37" borderId="27" xfId="0" applyFill="1" applyBorder="1" applyAlignment="1">
      <alignment horizontal="center"/>
    </xf>
    <xf numFmtId="0" fontId="0" fillId="37" borderId="28" xfId="0" applyFill="1" applyBorder="1" applyAlignment="1">
      <alignment horizontal="center"/>
    </xf>
    <xf numFmtId="172" fontId="16" fillId="0" borderId="30" xfId="1" applyNumberFormat="1" applyFont="1" applyBorder="1" applyAlignment="1">
      <alignment horizontal="center" wrapText="1"/>
    </xf>
    <xf numFmtId="172" fontId="16" fillId="0" borderId="29" xfId="1" applyNumberFormat="1" applyFont="1" applyBorder="1" applyAlignment="1">
      <alignment horizontal="center" wrapText="1"/>
    </xf>
    <xf numFmtId="0" fontId="16" fillId="49" borderId="27" xfId="0" applyFont="1" applyFill="1" applyBorder="1" applyAlignment="1">
      <alignment horizontal="center" wrapText="1"/>
    </xf>
    <xf numFmtId="0" fontId="16" fillId="49" borderId="26" xfId="0" applyFont="1" applyFill="1" applyBorder="1" applyAlignment="1">
      <alignment horizontal="center" wrapText="1"/>
    </xf>
    <xf numFmtId="0" fontId="16" fillId="49" borderId="28" xfId="0" applyFont="1" applyFill="1" applyBorder="1" applyAlignment="1">
      <alignment horizontal="center" wrapText="1"/>
    </xf>
    <xf numFmtId="0" fontId="16" fillId="47" borderId="27" xfId="0" applyFont="1" applyFill="1" applyBorder="1" applyAlignment="1">
      <alignment horizontal="center" wrapText="1"/>
    </xf>
    <xf numFmtId="0" fontId="16" fillId="47" borderId="26" xfId="0" applyFont="1" applyFill="1" applyBorder="1" applyAlignment="1">
      <alignment horizontal="center" wrapText="1"/>
    </xf>
    <xf numFmtId="0" fontId="16" fillId="47" borderId="28" xfId="0" applyFont="1" applyFill="1" applyBorder="1" applyAlignment="1">
      <alignment horizontal="center" wrapText="1"/>
    </xf>
    <xf numFmtId="0" fontId="16" fillId="48" borderId="27" xfId="0" applyFont="1" applyFill="1" applyBorder="1" applyAlignment="1">
      <alignment horizontal="center" wrapText="1"/>
    </xf>
    <xf numFmtId="0" fontId="16" fillId="48" borderId="26" xfId="0" applyFont="1" applyFill="1" applyBorder="1" applyAlignment="1">
      <alignment horizontal="center" wrapText="1"/>
    </xf>
    <xf numFmtId="0" fontId="16" fillId="48" borderId="28" xfId="0" applyFont="1" applyFill="1" applyBorder="1" applyAlignment="1">
      <alignment horizontal="center" wrapText="1"/>
    </xf>
    <xf numFmtId="0" fontId="16" fillId="34" borderId="27" xfId="0" applyFont="1" applyFill="1" applyBorder="1" applyAlignment="1">
      <alignment horizontal="center" wrapText="1"/>
    </xf>
    <xf numFmtId="0" fontId="16" fillId="34" borderId="26" xfId="0" applyFont="1" applyFill="1" applyBorder="1" applyAlignment="1">
      <alignment horizontal="center" wrapText="1"/>
    </xf>
    <xf numFmtId="0" fontId="16" fillId="34" borderId="28" xfId="0" applyFont="1" applyFill="1" applyBorder="1" applyAlignment="1">
      <alignment horizontal="center" wrapText="1"/>
    </xf>
    <xf numFmtId="17" fontId="0" fillId="0" borderId="10" xfId="0" applyNumberFormat="1" applyBorder="1" applyAlignment="1">
      <alignment horizontal="center" wrapText="1"/>
    </xf>
    <xf numFmtId="173" fontId="13" fillId="52" borderId="10" xfId="0" applyNumberFormat="1" applyFont="1" applyFill="1" applyBorder="1" applyAlignment="1">
      <alignment horizontal="center"/>
    </xf>
  </cellXfs>
  <cellStyles count="222">
    <cellStyle name="20% - Accent1" xfId="20" builtinId="30" customBuiltin="1"/>
    <cellStyle name="20% - Accent1 2" xfId="66"/>
    <cellStyle name="20% - Accent1 2 2" xfId="117"/>
    <cellStyle name="20% - Accent1 2 2 2" xfId="196"/>
    <cellStyle name="20% - Accent1 2 3" xfId="148"/>
    <cellStyle name="20% - Accent1 3" xfId="101"/>
    <cellStyle name="20% - Accent1 3 2" xfId="180"/>
    <cellStyle name="20% - Accent1 4" xfId="82"/>
    <cellStyle name="20% - Accent1 4 2" xfId="162"/>
    <cellStyle name="20% - Accent1 5" xfId="132"/>
    <cellStyle name="20% - Accent2" xfId="24" builtinId="34" customBuiltin="1"/>
    <cellStyle name="20% - Accent2 2" xfId="68"/>
    <cellStyle name="20% - Accent2 2 2" xfId="119"/>
    <cellStyle name="20% - Accent2 2 2 2" xfId="198"/>
    <cellStyle name="20% - Accent2 2 3" xfId="150"/>
    <cellStyle name="20% - Accent2 3" xfId="103"/>
    <cellStyle name="20% - Accent2 3 2" xfId="182"/>
    <cellStyle name="20% - Accent2 4" xfId="84"/>
    <cellStyle name="20% - Accent2 4 2" xfId="164"/>
    <cellStyle name="20% - Accent2 5" xfId="134"/>
    <cellStyle name="20% - Accent3" xfId="28" builtinId="38" customBuiltin="1"/>
    <cellStyle name="20% - Accent3 2" xfId="70"/>
    <cellStyle name="20% - Accent3 2 2" xfId="121"/>
    <cellStyle name="20% - Accent3 2 2 2" xfId="200"/>
    <cellStyle name="20% - Accent3 2 3" xfId="152"/>
    <cellStyle name="20% - Accent3 3" xfId="105"/>
    <cellStyle name="20% - Accent3 3 2" xfId="184"/>
    <cellStyle name="20% - Accent3 4" xfId="86"/>
    <cellStyle name="20% - Accent3 4 2" xfId="166"/>
    <cellStyle name="20% - Accent3 5" xfId="136"/>
    <cellStyle name="20% - Accent4" xfId="32" builtinId="42" customBuiltin="1"/>
    <cellStyle name="20% - Accent4 2" xfId="72"/>
    <cellStyle name="20% - Accent4 2 2" xfId="123"/>
    <cellStyle name="20% - Accent4 2 2 2" xfId="202"/>
    <cellStyle name="20% - Accent4 2 3" xfId="154"/>
    <cellStyle name="20% - Accent4 3" xfId="107"/>
    <cellStyle name="20% - Accent4 3 2" xfId="186"/>
    <cellStyle name="20% - Accent4 4" xfId="88"/>
    <cellStyle name="20% - Accent4 4 2" xfId="168"/>
    <cellStyle name="20% - Accent4 5" xfId="138"/>
    <cellStyle name="20% - Accent5" xfId="36" builtinId="46" customBuiltin="1"/>
    <cellStyle name="20% - Accent5 2" xfId="74"/>
    <cellStyle name="20% - Accent5 2 2" xfId="125"/>
    <cellStyle name="20% - Accent5 2 2 2" xfId="204"/>
    <cellStyle name="20% - Accent5 2 3" xfId="156"/>
    <cellStyle name="20% - Accent5 3" xfId="109"/>
    <cellStyle name="20% - Accent5 3 2" xfId="188"/>
    <cellStyle name="20% - Accent5 4" xfId="90"/>
    <cellStyle name="20% - Accent5 4 2" xfId="170"/>
    <cellStyle name="20% - Accent5 5" xfId="140"/>
    <cellStyle name="20% - Accent6" xfId="40" builtinId="50" customBuiltin="1"/>
    <cellStyle name="20% - Accent6 2" xfId="76"/>
    <cellStyle name="20% - Accent6 2 2" xfId="127"/>
    <cellStyle name="20% - Accent6 2 2 2" xfId="206"/>
    <cellStyle name="20% - Accent6 2 3" xfId="158"/>
    <cellStyle name="20% - Accent6 3" xfId="111"/>
    <cellStyle name="20% - Accent6 3 2" xfId="190"/>
    <cellStyle name="20% - Accent6 4" xfId="92"/>
    <cellStyle name="20% - Accent6 4 2" xfId="172"/>
    <cellStyle name="20% - Accent6 5" xfId="142"/>
    <cellStyle name="40% - Accent1" xfId="21" builtinId="31" customBuiltin="1"/>
    <cellStyle name="40% - Accent1 2" xfId="67"/>
    <cellStyle name="40% - Accent1 2 2" xfId="118"/>
    <cellStyle name="40% - Accent1 2 2 2" xfId="197"/>
    <cellStyle name="40% - Accent1 2 3" xfId="149"/>
    <cellStyle name="40% - Accent1 3" xfId="102"/>
    <cellStyle name="40% - Accent1 3 2" xfId="181"/>
    <cellStyle name="40% - Accent1 4" xfId="83"/>
    <cellStyle name="40% - Accent1 4 2" xfId="163"/>
    <cellStyle name="40% - Accent1 5" xfId="133"/>
    <cellStyle name="40% - Accent2" xfId="25" builtinId="35" customBuiltin="1"/>
    <cellStyle name="40% - Accent2 2" xfId="69"/>
    <cellStyle name="40% - Accent2 2 2" xfId="120"/>
    <cellStyle name="40% - Accent2 2 2 2" xfId="199"/>
    <cellStyle name="40% - Accent2 2 3" xfId="151"/>
    <cellStyle name="40% - Accent2 3" xfId="104"/>
    <cellStyle name="40% - Accent2 3 2" xfId="183"/>
    <cellStyle name="40% - Accent2 4" xfId="85"/>
    <cellStyle name="40% - Accent2 4 2" xfId="165"/>
    <cellStyle name="40% - Accent2 5" xfId="135"/>
    <cellStyle name="40% - Accent3" xfId="29" builtinId="39" customBuiltin="1"/>
    <cellStyle name="40% - Accent3 2" xfId="71"/>
    <cellStyle name="40% - Accent3 2 2" xfId="122"/>
    <cellStyle name="40% - Accent3 2 2 2" xfId="201"/>
    <cellStyle name="40% - Accent3 2 3" xfId="153"/>
    <cellStyle name="40% - Accent3 3" xfId="106"/>
    <cellStyle name="40% - Accent3 3 2" xfId="185"/>
    <cellStyle name="40% - Accent3 4" xfId="87"/>
    <cellStyle name="40% - Accent3 4 2" xfId="167"/>
    <cellStyle name="40% - Accent3 5" xfId="137"/>
    <cellStyle name="40% - Accent4" xfId="33" builtinId="43" customBuiltin="1"/>
    <cellStyle name="40% - Accent4 2" xfId="73"/>
    <cellStyle name="40% - Accent4 2 2" xfId="124"/>
    <cellStyle name="40% - Accent4 2 2 2" xfId="203"/>
    <cellStyle name="40% - Accent4 2 3" xfId="155"/>
    <cellStyle name="40% - Accent4 3" xfId="108"/>
    <cellStyle name="40% - Accent4 3 2" xfId="187"/>
    <cellStyle name="40% - Accent4 4" xfId="89"/>
    <cellStyle name="40% - Accent4 4 2" xfId="169"/>
    <cellStyle name="40% - Accent4 5" xfId="139"/>
    <cellStyle name="40% - Accent5" xfId="37" builtinId="47" customBuiltin="1"/>
    <cellStyle name="40% - Accent5 2" xfId="75"/>
    <cellStyle name="40% - Accent5 2 2" xfId="126"/>
    <cellStyle name="40% - Accent5 2 2 2" xfId="205"/>
    <cellStyle name="40% - Accent5 2 3" xfId="157"/>
    <cellStyle name="40% - Accent5 3" xfId="110"/>
    <cellStyle name="40% - Accent5 3 2" xfId="189"/>
    <cellStyle name="40% - Accent5 4" xfId="91"/>
    <cellStyle name="40% - Accent5 4 2" xfId="171"/>
    <cellStyle name="40% - Accent5 5" xfId="141"/>
    <cellStyle name="40% - Accent6" xfId="41" builtinId="51" customBuiltin="1"/>
    <cellStyle name="40% - Accent6 2" xfId="77"/>
    <cellStyle name="40% - Accent6 2 2" xfId="128"/>
    <cellStyle name="40% - Accent6 2 2 2" xfId="207"/>
    <cellStyle name="40% - Accent6 2 3" xfId="159"/>
    <cellStyle name="40% - Accent6 3" xfId="112"/>
    <cellStyle name="40% - Accent6 3 2" xfId="191"/>
    <cellStyle name="40% - Accent6 4" xfId="93"/>
    <cellStyle name="40% - Accent6 4 2" xfId="173"/>
    <cellStyle name="40% - Accent6 5" xfId="143"/>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9" builtinId="27" customBuiltin="1"/>
    <cellStyle name="Calculation" xfId="13" builtinId="22" customBuiltin="1"/>
    <cellStyle name="Check Cell" xfId="15" builtinId="23" customBuiltin="1"/>
    <cellStyle name="Comma" xfId="1" builtinId="3"/>
    <cellStyle name="Comma 2" xfId="49"/>
    <cellStyle name="Comma 2 2" xfId="221"/>
    <cellStyle name="Comma 3" xfId="47"/>
    <cellStyle name="Comma 3 2" xfId="179"/>
    <cellStyle name="Comma 4" xfId="59"/>
    <cellStyle name="Comma0" xfId="50"/>
    <cellStyle name="Currency" xfId="218" builtinId="4"/>
    <cellStyle name="Currency 2" xfId="219"/>
    <cellStyle name="Currency0" xfId="51"/>
    <cellStyle name="Date" xfId="52"/>
    <cellStyle name="Explanatory Text" xfId="17" builtinId="53" customBuiltin="1"/>
    <cellStyle name="Fixed" xfId="53"/>
    <cellStyle name="Good" xfId="8" builtinId="26" customBuiltin="1"/>
    <cellStyle name="Heading 1" xfId="4" builtinId="16" customBuiltin="1"/>
    <cellStyle name="Heading 1 2" xfId="54"/>
    <cellStyle name="Heading 2" xfId="5" builtinId="17" customBuiltin="1"/>
    <cellStyle name="Heading 2 2" xfId="55"/>
    <cellStyle name="Heading 3" xfId="6" builtinId="18" customBuiltin="1"/>
    <cellStyle name="Heading 4" xfId="7" builtinId="19" customBuiltin="1"/>
    <cellStyle name="Hyperlink" xfId="43" builtinId="8"/>
    <cellStyle name="Hyperlink 2" xfId="58"/>
    <cellStyle name="Hyperlink 3" xfId="61"/>
    <cellStyle name="Hyperlink 3 2" xfId="100"/>
    <cellStyle name="Hyperlink 3 3" xfId="81"/>
    <cellStyle name="Hyperlink 4" xfId="64"/>
    <cellStyle name="Hyperlink 5" xfId="215"/>
    <cellStyle name="Input" xfId="11" builtinId="20" customBuiltin="1"/>
    <cellStyle name="Linked Cell" xfId="14" builtinId="24" customBuiltin="1"/>
    <cellStyle name="Neutral" xfId="10" builtinId="28" customBuiltin="1"/>
    <cellStyle name="Normal" xfId="0" builtinId="0"/>
    <cellStyle name="Normal 10" xfId="213"/>
    <cellStyle name="Normal 11" xfId="214"/>
    <cellStyle name="Normal 12" xfId="216"/>
    <cellStyle name="Normal 13" xfId="217"/>
    <cellStyle name="Normal 13 2" xfId="44"/>
    <cellStyle name="Normal 14" xfId="48"/>
    <cellStyle name="Normal 2" xfId="45"/>
    <cellStyle name="Normal 2 2" xfId="78"/>
    <cellStyle name="Normal 2 2 2" xfId="129"/>
    <cellStyle name="Normal 2 2 2 2" xfId="208"/>
    <cellStyle name="Normal 2 2 3" xfId="160"/>
    <cellStyle name="Normal 3" xfId="60"/>
    <cellStyle name="Normal 3 2" xfId="99"/>
    <cellStyle name="Normal 3 3" xfId="80"/>
    <cellStyle name="Normal 4" xfId="62"/>
    <cellStyle name="Normal 4 2" xfId="113"/>
    <cellStyle name="Normal 4 2 2" xfId="192"/>
    <cellStyle name="Normal 4 3" xfId="94"/>
    <cellStyle name="Normal 4 3 2" xfId="174"/>
    <cellStyle name="Normal 4 4" xfId="144"/>
    <cellStyle name="Normal 5" xfId="46"/>
    <cellStyle name="Normal 5 2" xfId="116"/>
    <cellStyle name="Normal 5 2 2" xfId="195"/>
    <cellStyle name="Normal 5 3" xfId="97"/>
    <cellStyle name="Normal 5 3 2" xfId="177"/>
    <cellStyle name="Normal 5 4" xfId="147"/>
    <cellStyle name="Normal 6" xfId="98"/>
    <cellStyle name="Normal 6 2" xfId="178"/>
    <cellStyle name="Normal 7" xfId="210"/>
    <cellStyle name="Normal 7 2" xfId="220"/>
    <cellStyle name="Normal 8" xfId="211"/>
    <cellStyle name="Normal 9" xfId="212"/>
    <cellStyle name="Note 2" xfId="63"/>
    <cellStyle name="Note 2 2" xfId="79"/>
    <cellStyle name="Note 2 2 2" xfId="130"/>
    <cellStyle name="Note 2 2 2 2" xfId="209"/>
    <cellStyle name="Note 2 2 3" xfId="161"/>
    <cellStyle name="Note 2 3" xfId="114"/>
    <cellStyle name="Note 2 3 2" xfId="193"/>
    <cellStyle name="Note 2 4" xfId="95"/>
    <cellStyle name="Note 2 4 2" xfId="175"/>
    <cellStyle name="Note 2 5" xfId="145"/>
    <cellStyle name="Output" xfId="12" builtinId="21" customBuiltin="1"/>
    <cellStyle name="Percent" xfId="2" builtinId="5"/>
    <cellStyle name="Percent 2" xfId="56"/>
    <cellStyle name="Percent 3" xfId="65"/>
    <cellStyle name="Percent 3 2" xfId="115"/>
    <cellStyle name="Percent 3 2 2" xfId="194"/>
    <cellStyle name="Percent 3 3" xfId="96"/>
    <cellStyle name="Percent 3 3 2" xfId="176"/>
    <cellStyle name="Percent 3 4" xfId="146"/>
    <cellStyle name="Percent 4" xfId="131"/>
    <cellStyle name="Title" xfId="3" builtinId="15" customBuiltin="1"/>
    <cellStyle name="Total" xfId="18" builtinId="25" customBuiltin="1"/>
    <cellStyle name="Total 2" xfId="57"/>
    <cellStyle name="Warning Text" xfId="16" builtinId="11" customBuiltin="1"/>
  </cellStyles>
  <dxfs count="0"/>
  <tableStyles count="0" defaultTableStyle="TableStyleMedium2" defaultPivotStyle="PivotStyleLight16"/>
  <colors>
    <mruColors>
      <color rgb="FF0000FF"/>
      <color rgb="FF66FF33"/>
      <color rgb="FF0066FF"/>
      <color rgb="FFFF33CC"/>
      <color rgb="FFFF3300"/>
      <color rgb="FFFFFFCC"/>
      <color rgb="FF9966FF"/>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tilities%20Billing/Monthly%20billing%20work%20in%20progress/2015/FY15%20Master%20Meter%20workshee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June 2015"/>
      <sheetName val="May 2015"/>
      <sheetName val="Apr 2015"/>
      <sheetName val="Mar 2015"/>
      <sheetName val="Feb 2015"/>
      <sheetName val="Jan 2015"/>
      <sheetName val="Dec 2014"/>
      <sheetName val="Nov 2014"/>
      <sheetName val="Oct 2014"/>
      <sheetName val="Sept 2014"/>
      <sheetName val="Aug 2014"/>
      <sheetName val="July 2014"/>
      <sheetName val="Template"/>
      <sheetName val="Sheet3"/>
      <sheetName val="NMSU Energy Use Data"/>
      <sheetName val="HPG-LPG ELEC Breakout"/>
      <sheetName val="NMSU Sewer-Water Breakout"/>
      <sheetName val="NMSU Utlity Rates"/>
      <sheetName val="July 2015"/>
    </sheetNames>
    <sheetDataSet>
      <sheetData sheetId="0" refreshError="1"/>
      <sheetData sheetId="1" refreshError="1">
        <row r="8">
          <cell r="G8">
            <v>5399.68</v>
          </cell>
        </row>
        <row r="54">
          <cell r="C54">
            <v>3067232</v>
          </cell>
        </row>
      </sheetData>
      <sheetData sheetId="2" refreshError="1">
        <row r="8">
          <cell r="G8">
            <v>7791.71</v>
          </cell>
        </row>
        <row r="54">
          <cell r="C54">
            <v>3212188</v>
          </cell>
        </row>
      </sheetData>
      <sheetData sheetId="3" refreshError="1">
        <row r="8">
          <cell r="G8">
            <v>12923.65</v>
          </cell>
        </row>
        <row r="54">
          <cell r="C54">
            <v>2980820</v>
          </cell>
        </row>
      </sheetData>
      <sheetData sheetId="4" refreshError="1">
        <row r="8">
          <cell r="G8">
            <v>26252.6</v>
          </cell>
        </row>
        <row r="54">
          <cell r="C54">
            <v>3062870</v>
          </cell>
        </row>
      </sheetData>
      <sheetData sheetId="5" refreshError="1">
        <row r="8">
          <cell r="G8">
            <v>34735.589999999997</v>
          </cell>
        </row>
        <row r="54">
          <cell r="C54">
            <v>2894926</v>
          </cell>
        </row>
      </sheetData>
      <sheetData sheetId="6" refreshError="1">
        <row r="8">
          <cell r="G8">
            <v>58516.85</v>
          </cell>
        </row>
        <row r="54">
          <cell r="C54">
            <v>3158410</v>
          </cell>
        </row>
      </sheetData>
      <sheetData sheetId="7" refreshError="1">
        <row r="8">
          <cell r="G8">
            <v>47024.87</v>
          </cell>
        </row>
        <row r="54">
          <cell r="C54">
            <v>3252814</v>
          </cell>
        </row>
      </sheetData>
      <sheetData sheetId="8" refreshError="1">
        <row r="8">
          <cell r="G8">
            <v>23462.46</v>
          </cell>
        </row>
        <row r="54">
          <cell r="C54">
            <v>3102096</v>
          </cell>
        </row>
      </sheetData>
      <sheetData sheetId="9" refreshError="1">
        <row r="8">
          <cell r="G8">
            <v>9912.6200000000008</v>
          </cell>
        </row>
        <row r="54">
          <cell r="C54">
            <v>3171498</v>
          </cell>
        </row>
      </sheetData>
      <sheetData sheetId="10" refreshError="1">
        <row r="8">
          <cell r="G8">
            <v>7097.96</v>
          </cell>
        </row>
        <row r="54">
          <cell r="C54">
            <v>3006321</v>
          </cell>
        </row>
      </sheetData>
      <sheetData sheetId="11" refreshError="1">
        <row r="8">
          <cell r="G8">
            <v>6361.56</v>
          </cell>
        </row>
        <row r="54">
          <cell r="C54">
            <v>3132435</v>
          </cell>
        </row>
      </sheetData>
      <sheetData sheetId="12" refreshError="1">
        <row r="8">
          <cell r="G8">
            <v>5340.32</v>
          </cell>
        </row>
        <row r="54">
          <cell r="C54">
            <v>3090752.5</v>
          </cell>
        </row>
      </sheetData>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00"/>
    <pageSetUpPr fitToPage="1"/>
  </sheetPr>
  <dimension ref="A1:L176"/>
  <sheetViews>
    <sheetView zoomScale="80" zoomScaleNormal="80" workbookViewId="0">
      <selection activeCell="H31" sqref="H31"/>
    </sheetView>
  </sheetViews>
  <sheetFormatPr defaultColWidth="8.88671875" defaultRowHeight="14.4" x14ac:dyDescent="0.3"/>
  <cols>
    <col min="1" max="1" width="23.33203125" style="84" customWidth="1"/>
    <col min="2" max="2" width="17.5546875" style="84" customWidth="1"/>
    <col min="3" max="3" width="17.6640625" style="84" customWidth="1"/>
    <col min="4" max="4" width="12.6640625" style="84" customWidth="1"/>
    <col min="5" max="5" width="13.5546875" style="84" customWidth="1"/>
    <col min="6" max="6" width="26" style="84" customWidth="1"/>
    <col min="7" max="7" width="13.88671875" style="84" customWidth="1"/>
    <col min="8" max="8" width="20.44140625" style="84" customWidth="1"/>
    <col min="9" max="9" width="8.88671875" style="84"/>
    <col min="10" max="10" width="11.554687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267</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6"/>
      <c r="E8" s="12">
        <f>+C47</f>
        <v>43873</v>
      </c>
      <c r="F8" s="112" t="s">
        <v>174</v>
      </c>
      <c r="G8" s="33">
        <f>SUM('June 2016:July 2015'!G8)</f>
        <v>178542.22000000003</v>
      </c>
      <c r="H8" s="113" t="s">
        <v>15</v>
      </c>
      <c r="I8" s="113"/>
      <c r="J8" s="114">
        <f>E8*0.9756</f>
        <v>42802.498800000001</v>
      </c>
    </row>
    <row r="9" spans="1:11" ht="15.6" x14ac:dyDescent="0.3">
      <c r="A9" s="153" t="s">
        <v>16</v>
      </c>
      <c r="B9" s="115" t="s">
        <v>17</v>
      </c>
      <c r="C9" s="115" t="s">
        <v>13</v>
      </c>
      <c r="D9" s="26"/>
      <c r="E9" s="17">
        <f>+C50</f>
        <v>0</v>
      </c>
      <c r="F9" s="113"/>
      <c r="G9" s="33">
        <f>SUM('June 2016:July 2015'!G9)</f>
        <v>11707.080000000002</v>
      </c>
      <c r="H9" s="84" t="s">
        <v>18</v>
      </c>
    </row>
    <row r="10" spans="1:11" ht="15.6" x14ac:dyDescent="0.3">
      <c r="A10" s="153" t="s">
        <v>19</v>
      </c>
      <c r="B10" s="115" t="s">
        <v>17</v>
      </c>
      <c r="C10" s="115" t="s">
        <v>13</v>
      </c>
      <c r="D10" s="26"/>
      <c r="E10" s="17">
        <f>+C51</f>
        <v>475757</v>
      </c>
      <c r="F10" s="113"/>
      <c r="G10" s="33">
        <f>SUM('June 2016:July 2015'!G10)</f>
        <v>1526202.79</v>
      </c>
      <c r="H10" s="84" t="s">
        <v>20</v>
      </c>
    </row>
    <row r="11" spans="1:11" ht="15.6" x14ac:dyDescent="0.3">
      <c r="A11" s="153" t="s">
        <v>21</v>
      </c>
      <c r="B11" s="115" t="s">
        <v>17</v>
      </c>
      <c r="C11" s="115" t="s">
        <v>13</v>
      </c>
      <c r="D11" s="26"/>
      <c r="E11" s="17">
        <f>+C52</f>
        <v>104901</v>
      </c>
      <c r="F11" s="113"/>
      <c r="G11" s="33">
        <f>SUM('June 2016:July 2015'!G11)</f>
        <v>333067.37000000011</v>
      </c>
      <c r="H11" s="84" t="s">
        <v>22</v>
      </c>
    </row>
    <row r="12" spans="1:11" ht="15.6" x14ac:dyDescent="0.3">
      <c r="A12" s="153" t="s">
        <v>23</v>
      </c>
      <c r="B12" s="115" t="s">
        <v>17</v>
      </c>
      <c r="C12" s="115" t="s">
        <v>13</v>
      </c>
      <c r="D12" s="26"/>
      <c r="E12" s="12">
        <f>+C53</f>
        <v>580658</v>
      </c>
      <c r="F12" s="113" t="s">
        <v>24</v>
      </c>
      <c r="G12" s="2"/>
    </row>
    <row r="13" spans="1:11" ht="15.6" x14ac:dyDescent="0.3">
      <c r="A13" s="152" t="s">
        <v>25</v>
      </c>
      <c r="B13" s="112" t="s">
        <v>26</v>
      </c>
      <c r="C13" s="112" t="s">
        <v>27</v>
      </c>
      <c r="D13" s="12"/>
      <c r="E13" s="208">
        <f>+E63</f>
        <v>3485728</v>
      </c>
      <c r="F13" s="113" t="s">
        <v>28</v>
      </c>
      <c r="G13" s="154"/>
      <c r="H13" s="19"/>
      <c r="I13" s="19"/>
      <c r="J13" s="20"/>
      <c r="K13" s="20"/>
    </row>
    <row r="14" spans="1:11" ht="15.6" x14ac:dyDescent="0.3">
      <c r="A14" s="152" t="s">
        <v>29</v>
      </c>
      <c r="B14" s="112" t="s">
        <v>26</v>
      </c>
      <c r="C14" s="112" t="s">
        <v>30</v>
      </c>
      <c r="D14" s="26"/>
      <c r="E14" s="17">
        <f>+B150</f>
        <v>0</v>
      </c>
      <c r="F14" s="113" t="s">
        <v>31</v>
      </c>
      <c r="G14" s="21"/>
      <c r="H14" s="113"/>
      <c r="I14" s="113"/>
      <c r="J14" s="116"/>
      <c r="K14" s="116"/>
    </row>
    <row r="15" spans="1:11" ht="15.6" x14ac:dyDescent="0.3">
      <c r="A15" s="152" t="s">
        <v>32</v>
      </c>
      <c r="B15" s="112" t="s">
        <v>26</v>
      </c>
      <c r="C15" s="112" t="s">
        <v>33</v>
      </c>
      <c r="D15" s="26"/>
      <c r="E15" s="17">
        <f>+B145</f>
        <v>8875742</v>
      </c>
      <c r="F15" s="113" t="s">
        <v>31</v>
      </c>
      <c r="G15" s="21"/>
      <c r="H15" s="113"/>
      <c r="I15" s="113"/>
      <c r="J15" s="116"/>
      <c r="K15" s="116"/>
    </row>
    <row r="16" spans="1:11" ht="15.6" x14ac:dyDescent="0.3">
      <c r="A16" s="152" t="s">
        <v>34</v>
      </c>
      <c r="B16" s="112" t="s">
        <v>26</v>
      </c>
      <c r="C16" s="112" t="s">
        <v>35</v>
      </c>
      <c r="D16" s="26"/>
      <c r="E16" s="17">
        <f>+C137</f>
        <v>206826</v>
      </c>
      <c r="F16" s="113" t="s">
        <v>36</v>
      </c>
      <c r="G16" s="23" t="s">
        <v>37</v>
      </c>
      <c r="H16" s="117"/>
      <c r="I16" s="113"/>
      <c r="J16" s="113"/>
      <c r="K16" s="113"/>
    </row>
    <row r="17" spans="1:12" ht="15.6" x14ac:dyDescent="0.3">
      <c r="A17" s="152" t="s">
        <v>38</v>
      </c>
      <c r="B17" s="112" t="s">
        <v>26</v>
      </c>
      <c r="C17" s="112" t="s">
        <v>27</v>
      </c>
      <c r="D17" s="26"/>
      <c r="E17" s="12">
        <f>+C60</f>
        <v>73123744</v>
      </c>
      <c r="F17" s="113"/>
      <c r="G17" s="33">
        <f>SUM('June 2016:July 2015'!G17)</f>
        <v>2822421.59</v>
      </c>
      <c r="H17" s="113" t="s">
        <v>39</v>
      </c>
      <c r="I17" s="156"/>
      <c r="J17" s="156"/>
      <c r="K17" s="156"/>
      <c r="L17" s="201"/>
    </row>
    <row r="18" spans="1:12" ht="15.6" x14ac:dyDescent="0.3">
      <c r="A18" s="152" t="s">
        <v>40</v>
      </c>
      <c r="B18" s="112" t="s">
        <v>41</v>
      </c>
      <c r="C18" s="112" t="s">
        <v>42</v>
      </c>
      <c r="D18" s="26"/>
      <c r="E18" s="12">
        <f>+C87</f>
        <v>923232</v>
      </c>
      <c r="F18" s="113" t="s">
        <v>43</v>
      </c>
      <c r="G18" s="33">
        <f>SUM('June 2016:July 2015'!G18)</f>
        <v>12939.350000000002</v>
      </c>
      <c r="H18" s="113" t="s">
        <v>44</v>
      </c>
      <c r="I18" s="113"/>
      <c r="J18" s="113"/>
      <c r="K18" s="113"/>
    </row>
    <row r="19" spans="1:12" ht="15.6" x14ac:dyDescent="0.3">
      <c r="A19" s="84" t="s">
        <v>45</v>
      </c>
      <c r="B19" s="115" t="s">
        <v>41</v>
      </c>
      <c r="C19" s="115" t="s">
        <v>42</v>
      </c>
      <c r="D19" s="12"/>
      <c r="E19" s="26"/>
      <c r="G19" s="2"/>
    </row>
    <row r="20" spans="1:12" ht="15.6" x14ac:dyDescent="0.3">
      <c r="A20" s="84" t="s">
        <v>46</v>
      </c>
      <c r="B20" s="115" t="s">
        <v>41</v>
      </c>
      <c r="C20" s="115" t="s">
        <v>42</v>
      </c>
      <c r="D20" s="26"/>
      <c r="E20" s="12">
        <f>+B107</f>
        <v>20297.312999999998</v>
      </c>
      <c r="G20" s="2"/>
    </row>
    <row r="21" spans="1:12" ht="15.6" x14ac:dyDescent="0.3">
      <c r="A21" s="84" t="s">
        <v>47</v>
      </c>
      <c r="B21" s="115" t="s">
        <v>41</v>
      </c>
      <c r="C21" s="115" t="s">
        <v>42</v>
      </c>
      <c r="D21" s="26"/>
      <c r="E21" s="12">
        <f>+B108</f>
        <v>773.98800000000006</v>
      </c>
      <c r="G21" s="2"/>
    </row>
    <row r="22" spans="1:12" ht="15.6" x14ac:dyDescent="0.3">
      <c r="A22" s="152" t="s">
        <v>48</v>
      </c>
      <c r="B22" s="112" t="s">
        <v>49</v>
      </c>
      <c r="C22" s="112" t="s">
        <v>50</v>
      </c>
      <c r="D22" s="26"/>
      <c r="E22" s="12">
        <f>+C136</f>
        <v>0</v>
      </c>
      <c r="F22" s="113" t="s">
        <v>36</v>
      </c>
      <c r="G22" s="21" t="s">
        <v>51</v>
      </c>
      <c r="H22" s="113"/>
      <c r="I22" s="113"/>
      <c r="J22" s="113"/>
      <c r="K22" s="113"/>
    </row>
    <row r="23" spans="1:12" ht="15.6" x14ac:dyDescent="0.3">
      <c r="A23" s="152" t="s">
        <v>52</v>
      </c>
      <c r="B23" s="112" t="s">
        <v>49</v>
      </c>
      <c r="C23" s="112" t="s">
        <v>50</v>
      </c>
      <c r="D23" s="26"/>
      <c r="E23" s="12">
        <f>+C137</f>
        <v>206826</v>
      </c>
      <c r="F23" s="113" t="s">
        <v>36</v>
      </c>
      <c r="G23" s="21" t="s">
        <v>37</v>
      </c>
      <c r="H23" s="113"/>
      <c r="I23" s="113"/>
      <c r="J23" s="113"/>
      <c r="K23" s="113"/>
    </row>
    <row r="24" spans="1:12" ht="15.6" x14ac:dyDescent="0.3">
      <c r="A24" s="152" t="s">
        <v>53</v>
      </c>
      <c r="B24" s="112" t="s">
        <v>54</v>
      </c>
      <c r="C24" s="112" t="s">
        <v>55</v>
      </c>
      <c r="D24" s="26"/>
      <c r="E24" s="12">
        <f>+B165</f>
        <v>17238565.300000001</v>
      </c>
      <c r="F24" s="113" t="s">
        <v>31</v>
      </c>
      <c r="G24" s="21"/>
      <c r="H24" s="113"/>
      <c r="I24" s="113"/>
      <c r="J24" s="113"/>
      <c r="K24" s="113"/>
    </row>
    <row r="25" spans="1:12" ht="15.6" x14ac:dyDescent="0.3">
      <c r="A25" s="152" t="s">
        <v>56</v>
      </c>
      <c r="B25" s="112" t="s">
        <v>57</v>
      </c>
      <c r="C25" s="112" t="s">
        <v>42</v>
      </c>
      <c r="D25" s="26"/>
      <c r="E25" s="12">
        <f>+C170</f>
        <v>134915</v>
      </c>
      <c r="F25" s="113" t="s">
        <v>58</v>
      </c>
      <c r="G25" s="33">
        <f>SUM('June 2016:July 2015'!G25)</f>
        <v>352094.98000000004</v>
      </c>
      <c r="H25" s="113" t="s">
        <v>44</v>
      </c>
      <c r="I25" s="113"/>
      <c r="J25" s="113"/>
      <c r="K25" s="113"/>
    </row>
    <row r="26" spans="1:12" x14ac:dyDescent="0.3">
      <c r="A26" s="152" t="s">
        <v>165</v>
      </c>
      <c r="D26" s="209"/>
      <c r="E26" s="209"/>
      <c r="G26" s="2"/>
    </row>
    <row r="27" spans="1:12" x14ac:dyDescent="0.3">
      <c r="A27" s="152" t="s">
        <v>186</v>
      </c>
      <c r="B27" s="84" t="s">
        <v>26</v>
      </c>
      <c r="C27" s="84" t="s">
        <v>27</v>
      </c>
      <c r="D27" s="209"/>
      <c r="E27" s="209"/>
      <c r="G27" s="2"/>
    </row>
    <row r="28" spans="1:12" x14ac:dyDescent="0.3">
      <c r="A28" s="152" t="s">
        <v>302</v>
      </c>
      <c r="B28" s="84" t="s">
        <v>41</v>
      </c>
      <c r="C28" s="84" t="s">
        <v>303</v>
      </c>
      <c r="D28" s="209"/>
      <c r="E28" s="209"/>
      <c r="G28" s="2"/>
    </row>
    <row r="29" spans="1:12" x14ac:dyDescent="0.3">
      <c r="A29" s="152" t="s">
        <v>125</v>
      </c>
      <c r="D29" s="209"/>
      <c r="E29" s="209"/>
      <c r="G29" s="2"/>
    </row>
    <row r="30" spans="1:12" x14ac:dyDescent="0.3">
      <c r="A30" s="152" t="s">
        <v>127</v>
      </c>
      <c r="D30" s="209"/>
      <c r="E30" s="209"/>
      <c r="G30" s="2"/>
    </row>
    <row r="31" spans="1:12" x14ac:dyDescent="0.3">
      <c r="A31" s="152" t="s">
        <v>128</v>
      </c>
      <c r="D31" s="209"/>
      <c r="E31" s="209"/>
      <c r="G31" s="2"/>
    </row>
    <row r="32" spans="1:12" x14ac:dyDescent="0.3">
      <c r="A32" s="152"/>
      <c r="D32" s="209"/>
      <c r="E32" s="209"/>
      <c r="G32" s="2"/>
    </row>
    <row r="33" spans="1:11" x14ac:dyDescent="0.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1870977.2400000002</v>
      </c>
      <c r="F37" s="121"/>
    </row>
    <row r="38" spans="1:11" x14ac:dyDescent="0.3">
      <c r="A38" s="119" t="s">
        <v>63</v>
      </c>
      <c r="B38" s="119" t="s">
        <v>63</v>
      </c>
      <c r="C38" s="119"/>
      <c r="D38" s="119"/>
      <c r="E38" s="122">
        <f>+G8</f>
        <v>178542.22000000003</v>
      </c>
      <c r="F38" s="121"/>
    </row>
    <row r="39" spans="1:11" x14ac:dyDescent="0.3">
      <c r="A39" s="119"/>
      <c r="B39" s="119" t="s">
        <v>64</v>
      </c>
      <c r="C39" s="119"/>
      <c r="D39" s="119"/>
      <c r="E39" s="120">
        <f>SUM(E37:E38)</f>
        <v>2049519.4600000002</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f>SUM('June 2016:July 2015'!C47)</f>
        <v>43873</v>
      </c>
    </row>
    <row r="48" spans="1:11" x14ac:dyDescent="0.3">
      <c r="A48" s="2"/>
      <c r="B48" s="2"/>
      <c r="C48" s="2"/>
    </row>
    <row r="49" spans="1:11" x14ac:dyDescent="0.3">
      <c r="A49" s="148" t="s">
        <v>71</v>
      </c>
      <c r="B49" s="2"/>
      <c r="C49" s="2"/>
    </row>
    <row r="50" spans="1:11" x14ac:dyDescent="0.3">
      <c r="A50" s="2" t="s">
        <v>72</v>
      </c>
      <c r="B50" s="2" t="s">
        <v>13</v>
      </c>
      <c r="C50" s="45">
        <f>SUM('June 2016:July 2015'!C50)</f>
        <v>0</v>
      </c>
    </row>
    <row r="51" spans="1:11" x14ac:dyDescent="0.3">
      <c r="A51" s="2" t="s">
        <v>73</v>
      </c>
      <c r="B51" s="2" t="s">
        <v>13</v>
      </c>
      <c r="C51" s="45">
        <f>SUM('June 2016:July 2015'!C51)</f>
        <v>475757</v>
      </c>
    </row>
    <row r="52" spans="1:11" x14ac:dyDescent="0.3">
      <c r="A52" s="2" t="s">
        <v>74</v>
      </c>
      <c r="B52" s="2" t="s">
        <v>13</v>
      </c>
      <c r="C52" s="45">
        <f>SUM('June 2016:July 2015'!C52)</f>
        <v>104901</v>
      </c>
    </row>
    <row r="53" spans="1:11" x14ac:dyDescent="0.3">
      <c r="A53" s="2"/>
      <c r="B53" s="2" t="s">
        <v>69</v>
      </c>
      <c r="C53" s="38">
        <f>SUM(C50:C52)</f>
        <v>580658</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x14ac:dyDescent="0.3">
      <c r="A58" s="146" t="s">
        <v>78</v>
      </c>
      <c r="B58" s="45">
        <f>SUM('June 2016:July 2015'!B58)</f>
        <v>37599.271999999997</v>
      </c>
      <c r="C58" s="40">
        <f>B58*1000</f>
        <v>37599272</v>
      </c>
      <c r="D58" s="84" t="s">
        <v>79</v>
      </c>
      <c r="E58" s="41"/>
      <c r="F58" s="84" t="s">
        <v>80</v>
      </c>
    </row>
    <row r="59" spans="1:11" x14ac:dyDescent="0.3">
      <c r="A59" s="146" t="s">
        <v>81</v>
      </c>
      <c r="B59" s="125"/>
      <c r="C59" s="45">
        <f>SUM('June 2016:July 2015'!C59)</f>
        <v>35524472</v>
      </c>
      <c r="D59" s="84" t="s">
        <v>79</v>
      </c>
      <c r="E59" s="41"/>
      <c r="F59" s="84" t="s">
        <v>82</v>
      </c>
    </row>
    <row r="60" spans="1:11" x14ac:dyDescent="0.3">
      <c r="A60" s="146" t="s">
        <v>83</v>
      </c>
      <c r="C60" s="40">
        <f>SUM(C58:C59)</f>
        <v>73123744</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c r="C63" s="126"/>
      <c r="D63" s="84" t="s">
        <v>79</v>
      </c>
      <c r="E63" s="160">
        <f>SUM('June 2016:July 2015'!E63)</f>
        <v>3485728</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c r="D68" s="125"/>
      <c r="E68" s="191"/>
    </row>
    <row r="69" spans="1:11" x14ac:dyDescent="0.3">
      <c r="A69" s="457" t="s">
        <v>167</v>
      </c>
      <c r="B69" s="457"/>
      <c r="C69" s="127"/>
      <c r="D69" s="125"/>
      <c r="E69" s="128"/>
      <c r="F69" s="84" t="s">
        <v>184</v>
      </c>
    </row>
    <row r="70" spans="1:11" x14ac:dyDescent="0.3">
      <c r="A70" s="457" t="s">
        <v>168</v>
      </c>
      <c r="B70" s="457"/>
      <c r="C70" s="127"/>
      <c r="D70" s="125"/>
      <c r="E70" s="162">
        <f>+E69-E68</f>
        <v>0</v>
      </c>
    </row>
    <row r="71" spans="1:11" x14ac:dyDescent="0.3">
      <c r="A71" s="457" t="s">
        <v>169</v>
      </c>
      <c r="B71" s="457"/>
      <c r="C71" s="127"/>
      <c r="D71" s="125"/>
      <c r="E71" s="192"/>
    </row>
    <row r="72" spans="1:11" x14ac:dyDescent="0.3">
      <c r="A72" s="457" t="s">
        <v>170</v>
      </c>
      <c r="B72" s="457"/>
      <c r="C72" s="127"/>
      <c r="D72" s="125"/>
      <c r="E72" s="128"/>
      <c r="F72" s="84" t="s">
        <v>185</v>
      </c>
    </row>
    <row r="73" spans="1:11" x14ac:dyDescent="0.3">
      <c r="A73" s="457" t="s">
        <v>173</v>
      </c>
      <c r="B73" s="457"/>
      <c r="C73" s="127"/>
      <c r="D73" s="125"/>
      <c r="E73" s="162">
        <f>+E72-E71</f>
        <v>0</v>
      </c>
    </row>
    <row r="74" spans="1:11" x14ac:dyDescent="0.3">
      <c r="A74" s="448" t="s">
        <v>91</v>
      </c>
      <c r="B74" s="448"/>
      <c r="C74" s="164"/>
      <c r="D74" s="125"/>
      <c r="E74" s="165">
        <f>+E70-E73</f>
        <v>0</v>
      </c>
    </row>
    <row r="75" spans="1:11" x14ac:dyDescent="0.3">
      <c r="A75" s="127"/>
      <c r="B75" s="127"/>
      <c r="C75" s="127"/>
      <c r="D75" s="125"/>
      <c r="E75" s="125"/>
    </row>
    <row r="76" spans="1:11" x14ac:dyDescent="0.3">
      <c r="A76" s="449" t="s">
        <v>92</v>
      </c>
      <c r="B76" s="449"/>
      <c r="C76" s="166"/>
      <c r="D76" s="167"/>
      <c r="E76" s="168">
        <f>+E68+E74</f>
        <v>0</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6" x14ac:dyDescent="0.3">
      <c r="A81" s="84" t="s">
        <v>96</v>
      </c>
      <c r="B81" s="129"/>
      <c r="E81" s="84" t="s">
        <v>97</v>
      </c>
    </row>
    <row r="82" spans="1:6" x14ac:dyDescent="0.3">
      <c r="A82" s="130" t="s">
        <v>98</v>
      </c>
      <c r="B82" s="45">
        <f>SUM('June 2016:July 2015'!B82)</f>
        <v>264540000</v>
      </c>
      <c r="C82" s="84">
        <f>B82/1000</f>
        <v>264540</v>
      </c>
    </row>
    <row r="83" spans="1:6" x14ac:dyDescent="0.3">
      <c r="A83" s="130" t="s">
        <v>99</v>
      </c>
      <c r="B83" s="45">
        <f>SUM('June 2016:July 2015'!B83)</f>
        <v>3366000</v>
      </c>
      <c r="C83" s="84">
        <f>B83/1000</f>
        <v>3366</v>
      </c>
    </row>
    <row r="84" spans="1:6" x14ac:dyDescent="0.3">
      <c r="A84" s="130" t="s">
        <v>100</v>
      </c>
      <c r="B84" s="45">
        <f>SUM('June 2016:July 2015'!B84)</f>
        <v>78359000</v>
      </c>
      <c r="C84" s="84">
        <f>B84/1000</f>
        <v>78359</v>
      </c>
    </row>
    <row r="85" spans="1:6" x14ac:dyDescent="0.3">
      <c r="A85" s="130" t="s">
        <v>101</v>
      </c>
      <c r="B85" s="45">
        <f>SUM('June 2016:July 2015'!B85)</f>
        <v>572241000</v>
      </c>
      <c r="C85" s="84">
        <f>B85/1000</f>
        <v>572241</v>
      </c>
    </row>
    <row r="86" spans="1:6" x14ac:dyDescent="0.3">
      <c r="A86" s="84" t="s">
        <v>102</v>
      </c>
      <c r="B86" s="45">
        <f>SUM('June 2016:July 2015'!B86)</f>
        <v>4726000</v>
      </c>
      <c r="C86" s="132">
        <f t="shared" ref="C86" si="0">B86/1000</f>
        <v>4726</v>
      </c>
      <c r="F86" s="84" t="s">
        <v>103</v>
      </c>
    </row>
    <row r="87" spans="1:6" x14ac:dyDescent="0.3">
      <c r="A87" s="84" t="s">
        <v>104</v>
      </c>
      <c r="B87" s="170">
        <f>SUM(B82:B86)</f>
        <v>923232000</v>
      </c>
      <c r="C87" s="133">
        <f>SUM(C81:C86)</f>
        <v>923232</v>
      </c>
    </row>
    <row r="88" spans="1:6" x14ac:dyDescent="0.3">
      <c r="B88" s="147"/>
    </row>
    <row r="89" spans="1:6" x14ac:dyDescent="0.3">
      <c r="A89" s="84" t="s">
        <v>105</v>
      </c>
    </row>
    <row r="90" spans="1:6" ht="15" thickBot="1" x14ac:dyDescent="0.35">
      <c r="B90" s="84" t="s">
        <v>95</v>
      </c>
      <c r="C90" s="84" t="s">
        <v>106</v>
      </c>
      <c r="D90" s="84" t="s">
        <v>107</v>
      </c>
    </row>
    <row r="91" spans="1:6" x14ac:dyDescent="0.3">
      <c r="A91" s="84" t="s">
        <v>45</v>
      </c>
      <c r="B91" s="45">
        <f>SUM('June 2016:July 2015'!B91)</f>
        <v>37346720</v>
      </c>
      <c r="C91" s="171"/>
      <c r="D91" s="100">
        <f>+C91+B91</f>
        <v>37346720</v>
      </c>
      <c r="E91" s="84" t="s">
        <v>108</v>
      </c>
    </row>
    <row r="92" spans="1:6" x14ac:dyDescent="0.3">
      <c r="A92" s="84" t="s">
        <v>109</v>
      </c>
      <c r="B92" s="172" t="s">
        <v>110</v>
      </c>
      <c r="C92" s="172" t="s">
        <v>111</v>
      </c>
      <c r="D92" s="173" t="s">
        <v>112</v>
      </c>
    </row>
    <row r="93" spans="1:6" x14ac:dyDescent="0.3">
      <c r="A93" s="84" t="s">
        <v>45</v>
      </c>
      <c r="B93" s="124"/>
      <c r="C93" s="124"/>
      <c r="D93" s="197">
        <f>SUM('June 2016:July 2015'!D93)</f>
        <v>3741242</v>
      </c>
      <c r="E93" s="84" t="s">
        <v>113</v>
      </c>
    </row>
    <row r="94" spans="1:6" x14ac:dyDescent="0.3">
      <c r="C94" s="146"/>
      <c r="D94" s="146"/>
    </row>
    <row r="95" spans="1:6" ht="15" thickBot="1" x14ac:dyDescent="0.35">
      <c r="B95" s="146" t="s">
        <v>114</v>
      </c>
      <c r="C95" s="146" t="s">
        <v>115</v>
      </c>
      <c r="D95" s="149" t="s">
        <v>112</v>
      </c>
      <c r="E95" s="146"/>
      <c r="F95" s="146"/>
    </row>
    <row r="96" spans="1:6" x14ac:dyDescent="0.3">
      <c r="A96" s="84" t="s">
        <v>116</v>
      </c>
      <c r="B96" s="77"/>
      <c r="C96" s="77"/>
      <c r="D96" s="197">
        <f>SUM('June 2016:July 2015'!D96)</f>
        <v>11100340</v>
      </c>
      <c r="E96" s="63"/>
    </row>
    <row r="97" spans="1:6" x14ac:dyDescent="0.3">
      <c r="A97" s="84" t="s">
        <v>117</v>
      </c>
      <c r="B97" s="78"/>
      <c r="C97" s="78"/>
      <c r="D97" s="197">
        <f>SUM('June 2016:July 2015'!D97)</f>
        <v>5519012</v>
      </c>
      <c r="E97" s="63"/>
      <c r="F97" s="86"/>
    </row>
    <row r="98" spans="1:6" x14ac:dyDescent="0.3">
      <c r="A98" s="84" t="s">
        <v>118</v>
      </c>
      <c r="B98" s="78"/>
      <c r="C98" s="78"/>
      <c r="D98" s="197">
        <f>SUM('June 2016:July 2015'!D98)</f>
        <v>3218982</v>
      </c>
      <c r="E98" s="63"/>
      <c r="F98" s="86"/>
    </row>
    <row r="99" spans="1:6" ht="15" thickBot="1" x14ac:dyDescent="0.35">
      <c r="A99" s="84" t="s">
        <v>119</v>
      </c>
      <c r="B99" s="79"/>
      <c r="C99" s="79"/>
      <c r="D99" s="197">
        <f>SUM('June 2016:July 2015'!D99)</f>
        <v>458979</v>
      </c>
      <c r="E99" s="63"/>
      <c r="F99" s="86"/>
    </row>
    <row r="100" spans="1:6" x14ac:dyDescent="0.3">
      <c r="B100" s="134"/>
      <c r="C100" s="64"/>
      <c r="D100" s="198">
        <f>SUM(D96:D99)</f>
        <v>20297313</v>
      </c>
      <c r="E100" s="175"/>
      <c r="F100" s="158"/>
    </row>
    <row r="101" spans="1:6" ht="15" thickBot="1" x14ac:dyDescent="0.35">
      <c r="B101" s="146" t="s">
        <v>114</v>
      </c>
      <c r="C101" s="146" t="s">
        <v>115</v>
      </c>
      <c r="D101" s="134"/>
    </row>
    <row r="102" spans="1:6" x14ac:dyDescent="0.3">
      <c r="A102" s="84" t="s">
        <v>120</v>
      </c>
      <c r="B102" s="80"/>
      <c r="C102" s="80"/>
      <c r="D102" s="197">
        <f>SUM('June 2016:July 2015'!D102)</f>
        <v>303888</v>
      </c>
    </row>
    <row r="103" spans="1:6" ht="15" thickBot="1" x14ac:dyDescent="0.35">
      <c r="A103" s="84" t="s">
        <v>121</v>
      </c>
      <c r="B103" s="81"/>
      <c r="C103" s="81"/>
      <c r="D103" s="197">
        <f>SUM('June 2016:July 2015'!D103)</f>
        <v>470100</v>
      </c>
    </row>
    <row r="104" spans="1:6" x14ac:dyDescent="0.3">
      <c r="D104" s="148">
        <f>SUM(D102:D103)</f>
        <v>773988</v>
      </c>
    </row>
    <row r="105" spans="1:6" x14ac:dyDescent="0.3">
      <c r="D105" s="2"/>
    </row>
    <row r="106" spans="1:6" x14ac:dyDescent="0.3">
      <c r="B106" s="84" t="s">
        <v>42</v>
      </c>
      <c r="D106" s="2"/>
    </row>
    <row r="107" spans="1:6" x14ac:dyDescent="0.3">
      <c r="A107" s="84" t="s">
        <v>46</v>
      </c>
      <c r="B107" s="135">
        <f>D100/1000</f>
        <v>20297.312999999998</v>
      </c>
      <c r="D107" s="2"/>
    </row>
    <row r="108" spans="1:6" x14ac:dyDescent="0.3">
      <c r="A108" s="84" t="s">
        <v>47</v>
      </c>
      <c r="B108" s="136">
        <f>D104/1000</f>
        <v>773.98800000000006</v>
      </c>
      <c r="D108" s="2"/>
    </row>
    <row r="109" spans="1:6" x14ac:dyDescent="0.3">
      <c r="B109" s="136"/>
      <c r="D109" s="2"/>
    </row>
    <row r="110" spans="1:6" x14ac:dyDescent="0.3">
      <c r="A110" s="84" t="s">
        <v>293</v>
      </c>
      <c r="B110" s="136"/>
      <c r="C110" s="84">
        <v>0</v>
      </c>
      <c r="D110" s="2" t="s">
        <v>301</v>
      </c>
    </row>
    <row r="111" spans="1:6" x14ac:dyDescent="0.3">
      <c r="A111" s="84" t="s">
        <v>294</v>
      </c>
      <c r="B111" s="136"/>
      <c r="C111" s="132">
        <v>0</v>
      </c>
      <c r="D111" s="2" t="s">
        <v>301</v>
      </c>
    </row>
    <row r="112" spans="1:6" x14ac:dyDescent="0.3">
      <c r="A112" s="84" t="s">
        <v>295</v>
      </c>
      <c r="B112" s="136"/>
      <c r="C112" s="339">
        <f>+C111-C110</f>
        <v>0</v>
      </c>
      <c r="D112" s="2"/>
    </row>
    <row r="113" spans="1:11" x14ac:dyDescent="0.3">
      <c r="A113" s="84" t="s">
        <v>296</v>
      </c>
      <c r="B113" s="136"/>
      <c r="C113" s="370">
        <v>0</v>
      </c>
      <c r="D113" s="2" t="s">
        <v>301</v>
      </c>
    </row>
    <row r="114" spans="1:11" x14ac:dyDescent="0.3">
      <c r="A114" s="84" t="s">
        <v>297</v>
      </c>
      <c r="B114" s="136"/>
      <c r="C114" s="132">
        <v>0</v>
      </c>
      <c r="D114" s="2" t="s">
        <v>301</v>
      </c>
    </row>
    <row r="115" spans="1:11" x14ac:dyDescent="0.3">
      <c r="A115" s="84" t="s">
        <v>298</v>
      </c>
      <c r="B115" s="136"/>
      <c r="C115" s="370">
        <f>+C114-C113</f>
        <v>0</v>
      </c>
      <c r="D115" s="2"/>
    </row>
    <row r="116" spans="1:11" ht="15" thickBot="1" x14ac:dyDescent="0.35">
      <c r="A116" s="84" t="s">
        <v>299</v>
      </c>
      <c r="B116" s="136"/>
      <c r="C116" s="84">
        <f>+C112-C115</f>
        <v>0</v>
      </c>
      <c r="D116" s="2"/>
    </row>
    <row r="117" spans="1:11" ht="15" thickBot="1" x14ac:dyDescent="0.35">
      <c r="A117" s="84" t="s">
        <v>300</v>
      </c>
      <c r="B117" s="136"/>
      <c r="C117" s="418">
        <f>+C110+C116</f>
        <v>0</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176">
        <f>$C$87*B122</f>
        <v>260170.75162476144</v>
      </c>
      <c r="D122" s="450" t="s">
        <v>176</v>
      </c>
      <c r="E122" s="451"/>
      <c r="F122" s="451"/>
      <c r="G122" s="451"/>
      <c r="H122" s="451"/>
      <c r="I122" s="452"/>
    </row>
    <row r="123" spans="1:11" x14ac:dyDescent="0.3">
      <c r="A123" s="124" t="s">
        <v>127</v>
      </c>
      <c r="B123" s="141">
        <v>4.3629456705191923E-2</v>
      </c>
      <c r="C123" s="177">
        <f>$C$87*B123</f>
        <v>40280.110572847749</v>
      </c>
      <c r="D123" s="450"/>
      <c r="E123" s="451"/>
      <c r="F123" s="451"/>
      <c r="G123" s="451"/>
      <c r="H123" s="451"/>
      <c r="I123" s="452"/>
    </row>
    <row r="124" spans="1:11" ht="15" thickBot="1" x14ac:dyDescent="0.35">
      <c r="A124" s="124" t="s">
        <v>128</v>
      </c>
      <c r="B124" s="141">
        <v>0.13446533233518762</v>
      </c>
      <c r="C124" s="177">
        <f>$C$87*B124</f>
        <v>124142.69770247994</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f>SUM('June 2016:July 2015'!C129)</f>
        <v>15821000</v>
      </c>
      <c r="E129" s="84" t="s">
        <v>80</v>
      </c>
    </row>
    <row r="130" spans="1:11" x14ac:dyDescent="0.3">
      <c r="A130" s="2" t="s">
        <v>132</v>
      </c>
      <c r="B130" s="2" t="s">
        <v>131</v>
      </c>
      <c r="C130" s="45">
        <f>SUM('June 2016:July 2015'!C130)</f>
        <v>29910000</v>
      </c>
      <c r="E130" s="84" t="s">
        <v>80</v>
      </c>
    </row>
    <row r="131" spans="1:11" x14ac:dyDescent="0.3">
      <c r="A131" s="2" t="s">
        <v>133</v>
      </c>
      <c r="B131" s="2" t="s">
        <v>131</v>
      </c>
      <c r="C131" s="45">
        <f>SUM('June 2016:July 2015'!C131)</f>
        <v>45049000</v>
      </c>
      <c r="E131" s="84" t="s">
        <v>80</v>
      </c>
    </row>
    <row r="132" spans="1:11" x14ac:dyDescent="0.3">
      <c r="A132" s="2" t="s">
        <v>134</v>
      </c>
      <c r="B132" s="2" t="s">
        <v>131</v>
      </c>
      <c r="C132" s="45">
        <f>SUM('June 2016:July 2015'!C132)</f>
        <v>116046000</v>
      </c>
      <c r="E132" s="84" t="s">
        <v>80</v>
      </c>
    </row>
    <row r="133" spans="1:11" x14ac:dyDescent="0.3">
      <c r="A133" s="2"/>
      <c r="B133" s="148" t="s">
        <v>69</v>
      </c>
      <c r="C133" s="178">
        <f>SUM(C129:C132)</f>
        <v>206826000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f>SUM('June 2016:July 2015'!B136)</f>
        <v>0</v>
      </c>
      <c r="C136" s="84">
        <f>B136/1000</f>
        <v>0</v>
      </c>
      <c r="E136" s="84" t="s">
        <v>80</v>
      </c>
    </row>
    <row r="137" spans="1:11" x14ac:dyDescent="0.3">
      <c r="A137" s="84" t="s">
        <v>138</v>
      </c>
      <c r="B137" s="179">
        <f>+C133</f>
        <v>206826000</v>
      </c>
      <c r="C137" s="88">
        <f>B137/1000</f>
        <v>206826</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45">
        <f>SUM('June 2016:July 2015'!B142)</f>
        <v>5105646</v>
      </c>
      <c r="C142" s="84" t="s">
        <v>144</v>
      </c>
      <c r="D142" s="125"/>
    </row>
    <row r="143" spans="1:11" x14ac:dyDescent="0.3">
      <c r="A143" s="142" t="s">
        <v>145</v>
      </c>
      <c r="B143" s="45">
        <f>SUM('June 2016:July 2015'!B143)</f>
        <v>3582950</v>
      </c>
      <c r="C143" s="84" t="s">
        <v>144</v>
      </c>
      <c r="D143" s="125"/>
    </row>
    <row r="144" spans="1:11" x14ac:dyDescent="0.3">
      <c r="A144" s="142" t="s">
        <v>146</v>
      </c>
      <c r="B144" s="45">
        <f>SUM('June 2016:July 2015'!B144)</f>
        <v>187146</v>
      </c>
      <c r="C144" s="84" t="s">
        <v>144</v>
      </c>
      <c r="D144" s="125"/>
      <c r="F144" s="144"/>
    </row>
    <row r="145" spans="1:6" x14ac:dyDescent="0.3">
      <c r="A145" s="181" t="s">
        <v>147</v>
      </c>
      <c r="B145" s="199">
        <f>SUM(B142:B144)</f>
        <v>8875742</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45">
        <f>SUM('June 2016:July 2015'!B148)</f>
        <v>0</v>
      </c>
      <c r="C148" s="84" t="s">
        <v>144</v>
      </c>
      <c r="D148" s="125"/>
      <c r="F148" s="144"/>
    </row>
    <row r="149" spans="1:6" x14ac:dyDescent="0.3">
      <c r="A149" s="142" t="s">
        <v>150</v>
      </c>
      <c r="B149" s="45">
        <f>SUM('June 2016:July 2015'!B149)</f>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c r="C153" s="124"/>
      <c r="D153" s="144">
        <f>SUM('June 2016:July 2015'!D153)</f>
        <v>5179748</v>
      </c>
      <c r="E153" s="125"/>
      <c r="F153" s="144"/>
    </row>
    <row r="154" spans="1:6" x14ac:dyDescent="0.3">
      <c r="A154" s="145"/>
      <c r="B154" s="125"/>
      <c r="C154" s="84" t="s">
        <v>144</v>
      </c>
      <c r="D154" s="38">
        <f>SUM(D153)</f>
        <v>5179748</v>
      </c>
      <c r="E154" s="125"/>
      <c r="F154" s="144"/>
    </row>
    <row r="155" spans="1:6" x14ac:dyDescent="0.3">
      <c r="A155" s="142" t="s">
        <v>156</v>
      </c>
      <c r="B155" s="185" t="s">
        <v>153</v>
      </c>
      <c r="C155" s="186" t="s">
        <v>154</v>
      </c>
      <c r="D155" s="185" t="s">
        <v>155</v>
      </c>
      <c r="F155" s="144"/>
    </row>
    <row r="156" spans="1:6" x14ac:dyDescent="0.3">
      <c r="A156" s="145"/>
      <c r="B156" s="124"/>
      <c r="C156" s="124"/>
      <c r="D156" s="144">
        <f>SUM('June 2016:July 2015'!D156)</f>
        <v>1215150.2999999998</v>
      </c>
      <c r="E156" s="125"/>
      <c r="F156" s="144"/>
    </row>
    <row r="157" spans="1:6" x14ac:dyDescent="0.3">
      <c r="A157" s="145"/>
      <c r="B157" s="125"/>
      <c r="C157" s="84" t="s">
        <v>144</v>
      </c>
      <c r="D157" s="38">
        <f>SUM('June 2016:July 2015'!D157)</f>
        <v>1215150.2999999998</v>
      </c>
      <c r="E157" s="125"/>
      <c r="F157" s="144"/>
    </row>
    <row r="158" spans="1:6" x14ac:dyDescent="0.3">
      <c r="A158" s="142" t="s">
        <v>187</v>
      </c>
      <c r="B158" s="185" t="s">
        <v>153</v>
      </c>
      <c r="C158" s="186" t="s">
        <v>154</v>
      </c>
      <c r="D158" s="185" t="s">
        <v>155</v>
      </c>
      <c r="E158" s="125"/>
      <c r="F158" s="144"/>
    </row>
    <row r="159" spans="1:6" x14ac:dyDescent="0.3">
      <c r="A159" s="145"/>
      <c r="B159" s="124">
        <v>0</v>
      </c>
      <c r="C159" s="124">
        <v>0</v>
      </c>
      <c r="D159" s="144">
        <f>SUM('June 2016:July 2015'!D159)</f>
        <v>1967925</v>
      </c>
      <c r="E159" s="125"/>
      <c r="F159" s="144"/>
    </row>
    <row r="160" spans="1:6" x14ac:dyDescent="0.3">
      <c r="A160" s="145"/>
      <c r="B160" s="125"/>
      <c r="C160" s="84" t="s">
        <v>144</v>
      </c>
      <c r="D160" s="38">
        <f>SUM('June 2016:July 2015'!D160)</f>
        <v>1967925</v>
      </c>
      <c r="E160" s="125"/>
      <c r="F160" s="144"/>
    </row>
    <row r="161" spans="1:11" x14ac:dyDescent="0.3">
      <c r="A161" s="145"/>
      <c r="B161" s="125"/>
      <c r="D161" s="197"/>
      <c r="E161" s="125"/>
      <c r="F161" s="144"/>
    </row>
    <row r="162" spans="1:11" x14ac:dyDescent="0.3">
      <c r="A162" s="145"/>
      <c r="B162" s="125"/>
      <c r="C162" s="125"/>
      <c r="D162" s="101"/>
      <c r="E162" s="125"/>
      <c r="F162" s="144"/>
    </row>
    <row r="163" spans="1:11" x14ac:dyDescent="0.3">
      <c r="A163" s="181" t="s">
        <v>157</v>
      </c>
      <c r="B163" s="187">
        <f>D157+D154+D160</f>
        <v>8362823.2999999998</v>
      </c>
      <c r="C163" s="84" t="s">
        <v>144</v>
      </c>
      <c r="D163" s="125"/>
      <c r="F163" s="144"/>
    </row>
    <row r="164" spans="1:11" x14ac:dyDescent="0.3">
      <c r="F164" s="144"/>
    </row>
    <row r="165" spans="1:11" x14ac:dyDescent="0.3">
      <c r="A165" s="188" t="s">
        <v>158</v>
      </c>
      <c r="B165" s="200">
        <f>B145+B150+B163</f>
        <v>17238565.300000001</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45">
        <f>SUM('June 2016:July 2015'!B170)</f>
        <v>134915000</v>
      </c>
      <c r="C170" s="88">
        <f>B170/1000</f>
        <v>134915</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47 C50:C52 B58 C59 B82:B86 B91 D93 D96:D99 D102:D103 C129:C132 B136 B142:B144 B148:B149 D154 D157 B170 D160:D161" name="CLC USAGE"/>
    <protectedRange sqref="C74" name="Month"/>
    <protectedRange sqref="E68:E69" name="GERALD THOMAS 5KV"/>
    <protectedRange sqref="E71:E72" name="BLAKES"/>
    <protectedRange sqref="B102:C103" name="COOL POOL"/>
    <protectedRange sqref="B96:C99" name="TOWER READINGS"/>
    <protectedRange sqref="B92:D92 C91:D91" name="WATER STEAM"/>
    <protectedRange sqref="F143:F161" name="Notes"/>
    <protectedRange sqref="B153:C153" name="SUP CHILLER 6"/>
    <protectedRange sqref="B156:C156 B159:C159" name="SUP CHILLER 7"/>
    <protectedRange sqref="B174" name="VSEWER"/>
  </protectedRanges>
  <mergeCells count="10">
    <mergeCell ref="A74:B74"/>
    <mergeCell ref="A76:B76"/>
    <mergeCell ref="D122:I124"/>
    <mergeCell ref="D174:I176"/>
    <mergeCell ref="A68:B68"/>
    <mergeCell ref="A69:B69"/>
    <mergeCell ref="A70:B70"/>
    <mergeCell ref="A71:B71"/>
    <mergeCell ref="A72:B72"/>
    <mergeCell ref="A73:B73"/>
  </mergeCells>
  <printOptions headings="1" gridLines="1"/>
  <pageMargins left="0.25" right="0.25" top="0.25" bottom="0.25" header="0.3" footer="0.3"/>
  <pageSetup scale="56" fitToHeight="2" orientation="portrait" r:id="rId1"/>
  <rowBreaks count="1" manualBreakCount="1">
    <brk id="93" max="16383"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N176"/>
  <sheetViews>
    <sheetView topLeftCell="A10" zoomScale="80" zoomScaleNormal="80" workbookViewId="0">
      <selection activeCell="C117" sqref="C117"/>
    </sheetView>
  </sheetViews>
  <sheetFormatPr defaultColWidth="8.88671875" defaultRowHeight="14.4" x14ac:dyDescent="0.3"/>
  <cols>
    <col min="1" max="1" width="23.33203125" style="84" customWidth="1"/>
    <col min="2" max="2" width="17.5546875" style="84" customWidth="1"/>
    <col min="3" max="3" width="17.6640625" style="84" customWidth="1"/>
    <col min="4" max="4" width="18.6640625" style="84" bestFit="1" customWidth="1"/>
    <col min="5" max="5" width="13.5546875" style="84" customWidth="1"/>
    <col min="6" max="6" width="26" style="84" customWidth="1"/>
    <col min="7" max="7" width="13.88671875" style="84" customWidth="1"/>
    <col min="8" max="8" width="20.44140625" style="84" customWidth="1"/>
    <col min="9" max="9" width="8.88671875" style="84"/>
    <col min="10" max="10" width="10.44140625" style="84" bestFit="1" customWidth="1"/>
    <col min="11" max="11" width="12.6640625" style="84" bestFit="1" customWidth="1"/>
    <col min="12" max="12" width="18.6640625" style="84" customWidth="1"/>
    <col min="13" max="13" width="13.44140625" style="84" customWidth="1"/>
    <col min="14" max="14" width="14.5546875" style="84" customWidth="1"/>
    <col min="15" max="16384" width="8.88671875" style="84"/>
  </cols>
  <sheetData>
    <row r="1" spans="1:11" x14ac:dyDescent="0.3">
      <c r="A1" s="146" t="s">
        <v>0</v>
      </c>
      <c r="G1" s="2"/>
    </row>
    <row r="2" spans="1:11" ht="15" x14ac:dyDescent="0.25">
      <c r="A2" s="146" t="s">
        <v>1</v>
      </c>
      <c r="G2" s="2"/>
    </row>
    <row r="3" spans="1:11" ht="15" x14ac:dyDescent="0.25">
      <c r="A3" s="146" t="s">
        <v>2</v>
      </c>
      <c r="G3" s="2"/>
    </row>
    <row r="4" spans="1:11" ht="15" x14ac:dyDescent="0.25">
      <c r="G4" s="2"/>
    </row>
    <row r="5" spans="1:11" ht="15" x14ac:dyDescent="0.25">
      <c r="G5" s="2"/>
    </row>
    <row r="6" spans="1:11" ht="15" x14ac:dyDescent="0.25">
      <c r="A6" s="147" t="s">
        <v>3</v>
      </c>
      <c r="B6" s="196" t="s">
        <v>316</v>
      </c>
      <c r="C6" s="146"/>
      <c r="D6" s="146"/>
      <c r="E6" s="146"/>
      <c r="F6" s="146"/>
      <c r="G6" s="148"/>
      <c r="H6" s="146"/>
      <c r="I6" s="146"/>
      <c r="J6" s="146"/>
      <c r="K6" s="146"/>
    </row>
    <row r="7" spans="1:11" ht="15" x14ac:dyDescent="0.25">
      <c r="A7" s="149" t="s">
        <v>4</v>
      </c>
      <c r="B7" s="150" t="s">
        <v>5</v>
      </c>
      <c r="C7" s="149" t="s">
        <v>6</v>
      </c>
      <c r="D7" s="149" t="s">
        <v>7</v>
      </c>
      <c r="E7" s="149" t="s">
        <v>8</v>
      </c>
      <c r="F7" s="149"/>
      <c r="G7" s="151" t="s">
        <v>9</v>
      </c>
      <c r="H7" s="149"/>
      <c r="I7" s="149"/>
      <c r="J7" s="149" t="s">
        <v>10</v>
      </c>
    </row>
    <row r="8" spans="1:11" ht="30" x14ac:dyDescent="0.25">
      <c r="A8" s="152" t="s">
        <v>11</v>
      </c>
      <c r="B8" s="112" t="s">
        <v>12</v>
      </c>
      <c r="C8" s="112" t="s">
        <v>13</v>
      </c>
      <c r="D8" s="220"/>
      <c r="E8" s="381">
        <f>+C47</f>
        <v>1453</v>
      </c>
      <c r="F8" s="112" t="s">
        <v>174</v>
      </c>
      <c r="G8" s="33">
        <v>7047.78</v>
      </c>
      <c r="H8" s="113" t="s">
        <v>15</v>
      </c>
      <c r="I8" s="113"/>
      <c r="J8" s="114">
        <f>E8*0.9756</f>
        <v>1417.5468000000001</v>
      </c>
    </row>
    <row r="9" spans="1:11" ht="15.75" x14ac:dyDescent="0.25">
      <c r="A9" s="153" t="s">
        <v>16</v>
      </c>
      <c r="B9" s="115" t="s">
        <v>17</v>
      </c>
      <c r="C9" s="115" t="s">
        <v>13</v>
      </c>
      <c r="D9" s="220"/>
      <c r="E9" s="382">
        <f>+C50</f>
        <v>0</v>
      </c>
      <c r="F9" s="113"/>
      <c r="G9" s="34">
        <v>1064.28</v>
      </c>
      <c r="H9" s="84" t="s">
        <v>18</v>
      </c>
    </row>
    <row r="10" spans="1:11" ht="15.75" x14ac:dyDescent="0.25">
      <c r="A10" s="153" t="s">
        <v>19</v>
      </c>
      <c r="B10" s="115" t="s">
        <v>17</v>
      </c>
      <c r="C10" s="115" t="s">
        <v>13</v>
      </c>
      <c r="D10" s="220"/>
      <c r="E10" s="382">
        <f>+C51</f>
        <v>39526</v>
      </c>
      <c r="F10" s="113"/>
      <c r="G10" s="34">
        <v>139507.18</v>
      </c>
      <c r="H10" s="84" t="s">
        <v>20</v>
      </c>
    </row>
    <row r="11" spans="1:11" ht="15.6" x14ac:dyDescent="0.3">
      <c r="A11" s="153" t="s">
        <v>21</v>
      </c>
      <c r="B11" s="115" t="s">
        <v>17</v>
      </c>
      <c r="C11" s="115" t="s">
        <v>13</v>
      </c>
      <c r="D11" s="220"/>
      <c r="E11" s="382">
        <f>+C52</f>
        <v>4596</v>
      </c>
      <c r="F11" s="113"/>
      <c r="G11" s="34">
        <v>17162.13</v>
      </c>
      <c r="H11" s="84" t="s">
        <v>22</v>
      </c>
    </row>
    <row r="12" spans="1:11" ht="15.6" x14ac:dyDescent="0.3">
      <c r="A12" s="153" t="s">
        <v>23</v>
      </c>
      <c r="B12" s="115" t="s">
        <v>17</v>
      </c>
      <c r="C12" s="115" t="s">
        <v>13</v>
      </c>
      <c r="D12" s="220"/>
      <c r="E12" s="381">
        <f>+C53</f>
        <v>44122</v>
      </c>
      <c r="F12" s="113" t="s">
        <v>24</v>
      </c>
      <c r="G12" s="2"/>
    </row>
    <row r="13" spans="1:11" ht="15.6" x14ac:dyDescent="0.3">
      <c r="A13" s="152" t="s">
        <v>25</v>
      </c>
      <c r="B13" s="112" t="s">
        <v>26</v>
      </c>
      <c r="C13" s="112" t="s">
        <v>27</v>
      </c>
      <c r="D13" s="381">
        <f>+C63</f>
        <v>281053504</v>
      </c>
      <c r="E13" s="221">
        <f>+E63</f>
        <v>339776</v>
      </c>
      <c r="F13" s="113" t="s">
        <v>28</v>
      </c>
      <c r="G13" s="154"/>
      <c r="H13" s="19"/>
      <c r="I13" s="19"/>
      <c r="J13" s="20"/>
      <c r="K13" s="20"/>
    </row>
    <row r="14" spans="1:11" ht="15.6" x14ac:dyDescent="0.3">
      <c r="A14" s="152" t="s">
        <v>29</v>
      </c>
      <c r="B14" s="112" t="s">
        <v>26</v>
      </c>
      <c r="C14" s="112" t="s">
        <v>30</v>
      </c>
      <c r="D14" s="220"/>
      <c r="E14" s="382">
        <f>+B150</f>
        <v>0</v>
      </c>
      <c r="F14" s="113" t="s">
        <v>31</v>
      </c>
      <c r="G14" s="21"/>
      <c r="H14" s="113"/>
      <c r="I14" s="113"/>
      <c r="J14" s="116"/>
      <c r="K14" s="116"/>
    </row>
    <row r="15" spans="1:11" ht="15.6" x14ac:dyDescent="0.3">
      <c r="A15" s="152" t="s">
        <v>32</v>
      </c>
      <c r="B15" s="112" t="s">
        <v>26</v>
      </c>
      <c r="C15" s="112" t="s">
        <v>33</v>
      </c>
      <c r="D15" s="220"/>
      <c r="E15" s="382">
        <f>+B145</f>
        <v>675801</v>
      </c>
      <c r="F15" s="113" t="s">
        <v>31</v>
      </c>
      <c r="G15" s="21"/>
      <c r="H15" s="113"/>
      <c r="I15" s="113"/>
      <c r="J15" s="116"/>
      <c r="K15" s="116"/>
    </row>
    <row r="16" spans="1:11" ht="15.6" x14ac:dyDescent="0.3">
      <c r="A16" s="152" t="s">
        <v>34</v>
      </c>
      <c r="B16" s="112" t="s">
        <v>26</v>
      </c>
      <c r="C16" s="112" t="s">
        <v>35</v>
      </c>
      <c r="D16" s="220"/>
      <c r="E16" s="382">
        <f>+C137</f>
        <v>13337</v>
      </c>
      <c r="F16" s="113" t="s">
        <v>36</v>
      </c>
      <c r="G16" s="23" t="s">
        <v>37</v>
      </c>
      <c r="H16" s="117"/>
      <c r="I16" s="113"/>
      <c r="J16" s="113"/>
      <c r="K16" s="113"/>
    </row>
    <row r="17" spans="1:11" ht="15.6" x14ac:dyDescent="0.3">
      <c r="A17" s="152" t="s">
        <v>38</v>
      </c>
      <c r="B17" s="112" t="s">
        <v>26</v>
      </c>
      <c r="C17" s="112" t="s">
        <v>27</v>
      </c>
      <c r="D17" s="220"/>
      <c r="E17" s="381">
        <f>+C60</f>
        <v>6495198</v>
      </c>
      <c r="F17" s="113"/>
      <c r="G17" s="155">
        <v>236858.7</v>
      </c>
      <c r="H17" s="113" t="s">
        <v>39</v>
      </c>
      <c r="I17" s="156"/>
      <c r="J17" s="156"/>
      <c r="K17" s="156"/>
    </row>
    <row r="18" spans="1:11" ht="15.6" x14ac:dyDescent="0.3">
      <c r="A18" s="152" t="s">
        <v>40</v>
      </c>
      <c r="B18" s="112" t="s">
        <v>41</v>
      </c>
      <c r="C18" s="112" t="s">
        <v>42</v>
      </c>
      <c r="D18" s="220"/>
      <c r="E18" s="381">
        <f>+C87</f>
        <v>41438</v>
      </c>
      <c r="F18" s="113" t="s">
        <v>43</v>
      </c>
      <c r="G18" s="33">
        <v>1091.08</v>
      </c>
      <c r="H18" s="113" t="s">
        <v>44</v>
      </c>
      <c r="I18" s="113"/>
      <c r="J18" s="113"/>
      <c r="K18" s="113"/>
    </row>
    <row r="19" spans="1:11" ht="15.6" x14ac:dyDescent="0.3">
      <c r="A19" s="84" t="s">
        <v>45</v>
      </c>
      <c r="B19" s="115" t="s">
        <v>41</v>
      </c>
      <c r="C19" s="115" t="s">
        <v>42</v>
      </c>
      <c r="D19" s="381">
        <f>+D91</f>
        <v>37326122</v>
      </c>
      <c r="E19" s="220"/>
      <c r="G19" s="2"/>
    </row>
    <row r="20" spans="1:11" ht="15.6" x14ac:dyDescent="0.3">
      <c r="A20" s="84" t="s">
        <v>46</v>
      </c>
      <c r="B20" s="115" t="s">
        <v>41</v>
      </c>
      <c r="C20" s="115" t="s">
        <v>42</v>
      </c>
      <c r="D20" s="220"/>
      <c r="E20" s="381">
        <f>+B107</f>
        <v>1529.76</v>
      </c>
      <c r="G20" s="2"/>
    </row>
    <row r="21" spans="1:11" ht="15.6" x14ac:dyDescent="0.3">
      <c r="A21" s="84" t="s">
        <v>47</v>
      </c>
      <c r="B21" s="115" t="s">
        <v>41</v>
      </c>
      <c r="C21" s="115" t="s">
        <v>42</v>
      </c>
      <c r="D21" s="220"/>
      <c r="E21" s="381">
        <f>+B108</f>
        <v>137.36000000000001</v>
      </c>
      <c r="G21" s="2"/>
    </row>
    <row r="22" spans="1:11" ht="15.6" x14ac:dyDescent="0.3">
      <c r="A22" s="152" t="s">
        <v>48</v>
      </c>
      <c r="B22" s="112" t="s">
        <v>49</v>
      </c>
      <c r="C22" s="112" t="s">
        <v>50</v>
      </c>
      <c r="D22" s="220"/>
      <c r="E22" s="381">
        <f>+C136</f>
        <v>0</v>
      </c>
      <c r="F22" s="113" t="s">
        <v>36</v>
      </c>
      <c r="G22" s="21" t="s">
        <v>51</v>
      </c>
      <c r="H22" s="113"/>
      <c r="I22" s="113"/>
      <c r="J22" s="113"/>
      <c r="K22" s="113"/>
    </row>
    <row r="23" spans="1:11" ht="15.6" x14ac:dyDescent="0.3">
      <c r="A23" s="152" t="s">
        <v>52</v>
      </c>
      <c r="B23" s="112" t="s">
        <v>49</v>
      </c>
      <c r="C23" s="112" t="s">
        <v>50</v>
      </c>
      <c r="D23" s="220"/>
      <c r="E23" s="381">
        <f>+C137</f>
        <v>13337</v>
      </c>
      <c r="F23" s="113" t="s">
        <v>36</v>
      </c>
      <c r="G23" s="21" t="s">
        <v>37</v>
      </c>
      <c r="H23" s="113"/>
      <c r="I23" s="113"/>
      <c r="J23" s="113"/>
      <c r="K23" s="113"/>
    </row>
    <row r="24" spans="1:11" ht="15.6" x14ac:dyDescent="0.3">
      <c r="A24" s="152" t="s">
        <v>53</v>
      </c>
      <c r="B24" s="112" t="s">
        <v>54</v>
      </c>
      <c r="C24" s="112" t="s">
        <v>55</v>
      </c>
      <c r="D24" s="220"/>
      <c r="E24" s="381">
        <f>+B165</f>
        <v>1383191.5</v>
      </c>
      <c r="F24" s="113" t="s">
        <v>31</v>
      </c>
      <c r="G24" s="21"/>
      <c r="H24" s="113"/>
      <c r="I24" s="113"/>
      <c r="J24" s="113"/>
      <c r="K24" s="113"/>
    </row>
    <row r="25" spans="1:11" ht="15.6" x14ac:dyDescent="0.3">
      <c r="A25" s="152" t="s">
        <v>56</v>
      </c>
      <c r="B25" s="112" t="s">
        <v>57</v>
      </c>
      <c r="C25" s="112" t="s">
        <v>42</v>
      </c>
      <c r="D25" s="220"/>
      <c r="E25" s="381">
        <f>+C170</f>
        <v>13524</v>
      </c>
      <c r="F25" s="113" t="s">
        <v>58</v>
      </c>
      <c r="G25" s="33">
        <v>34766.410000000003</v>
      </c>
      <c r="H25" s="113" t="s">
        <v>44</v>
      </c>
      <c r="I25" s="113"/>
      <c r="J25" s="113"/>
      <c r="K25" s="113"/>
    </row>
    <row r="26" spans="1:11" ht="15.6" x14ac:dyDescent="0.3">
      <c r="A26" s="152" t="s">
        <v>165</v>
      </c>
      <c r="B26" s="112" t="s">
        <v>57</v>
      </c>
      <c r="C26" s="112" t="s">
        <v>42</v>
      </c>
      <c r="D26" s="220"/>
      <c r="E26" s="381">
        <f>+B174</f>
        <v>2330</v>
      </c>
      <c r="G26" s="2" t="s">
        <v>183</v>
      </c>
    </row>
    <row r="27" spans="1:11" ht="15.6" x14ac:dyDescent="0.3">
      <c r="A27" s="152" t="s">
        <v>186</v>
      </c>
      <c r="B27" s="112" t="s">
        <v>26</v>
      </c>
      <c r="C27" s="112" t="s">
        <v>27</v>
      </c>
      <c r="D27" s="381">
        <f>+E76</f>
        <v>11454922</v>
      </c>
      <c r="E27" s="222"/>
      <c r="G27" s="2"/>
    </row>
    <row r="28" spans="1:11" ht="15.6" x14ac:dyDescent="0.3">
      <c r="A28" s="152" t="s">
        <v>302</v>
      </c>
      <c r="B28" s="112" t="s">
        <v>41</v>
      </c>
      <c r="C28" s="112" t="s">
        <v>303</v>
      </c>
      <c r="D28" s="381">
        <f>+C117</f>
        <v>64586</v>
      </c>
      <c r="E28" s="222"/>
      <c r="G28" s="2"/>
    </row>
    <row r="29" spans="1:11" ht="15.6" x14ac:dyDescent="0.3">
      <c r="A29" s="152" t="s">
        <v>125</v>
      </c>
      <c r="B29" s="112"/>
      <c r="C29" s="112"/>
      <c r="D29" s="381">
        <f>+C122</f>
        <v>11677.406768641971</v>
      </c>
      <c r="E29" s="222"/>
      <c r="G29" s="2"/>
    </row>
    <row r="30" spans="1:11" ht="15.6" x14ac:dyDescent="0.3">
      <c r="A30" s="152" t="s">
        <v>127</v>
      </c>
      <c r="B30" s="112"/>
      <c r="C30" s="112"/>
      <c r="D30" s="381">
        <f>+C123</f>
        <v>1807.917426949743</v>
      </c>
      <c r="E30" s="222"/>
      <c r="G30" s="2"/>
    </row>
    <row r="31" spans="1:11" ht="15.6" x14ac:dyDescent="0.3">
      <c r="A31" s="152" t="s">
        <v>128</v>
      </c>
      <c r="B31" s="112"/>
      <c r="C31" s="112"/>
      <c r="D31" s="381">
        <f>+C124</f>
        <v>5571.974441305505</v>
      </c>
      <c r="E31" s="222"/>
      <c r="G31" s="2"/>
    </row>
    <row r="32" spans="1:11" ht="15.6" x14ac:dyDescent="0.3">
      <c r="A32" s="152"/>
      <c r="B32" s="112"/>
      <c r="C32" s="112"/>
      <c r="D32" s="383"/>
      <c r="E32" s="209"/>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157733.59</v>
      </c>
      <c r="F37" s="121"/>
    </row>
    <row r="38" spans="1:11" x14ac:dyDescent="0.3">
      <c r="A38" s="119" t="s">
        <v>63</v>
      </c>
      <c r="B38" s="119" t="s">
        <v>63</v>
      </c>
      <c r="C38" s="119"/>
      <c r="D38" s="119"/>
      <c r="E38" s="122">
        <f>+G8</f>
        <v>7047.78</v>
      </c>
      <c r="F38" s="121"/>
    </row>
    <row r="39" spans="1:11" x14ac:dyDescent="0.3">
      <c r="A39" s="119"/>
      <c r="B39" s="119" t="s">
        <v>64</v>
      </c>
      <c r="C39" s="119"/>
      <c r="D39" s="119"/>
      <c r="E39" s="120">
        <f>SUM(E37:E38)</f>
        <v>164781.37</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1453</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39526</v>
      </c>
    </row>
    <row r="52" spans="1:11" x14ac:dyDescent="0.3">
      <c r="A52" s="2" t="s">
        <v>74</v>
      </c>
      <c r="B52" s="2" t="s">
        <v>13</v>
      </c>
      <c r="C52" s="45">
        <v>4596</v>
      </c>
    </row>
    <row r="53" spans="1:11" x14ac:dyDescent="0.3">
      <c r="A53" s="2"/>
      <c r="B53" s="2" t="s">
        <v>69</v>
      </c>
      <c r="C53" s="38">
        <f>SUM(C50:C52)</f>
        <v>44122</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ht="72.599999999999994" customHeight="1" x14ac:dyDescent="0.3">
      <c r="A58" s="146" t="s">
        <v>78</v>
      </c>
      <c r="B58" s="124">
        <f>+C58/1000</f>
        <v>3207.66</v>
      </c>
      <c r="C58" s="40">
        <f>+I58</f>
        <v>3207660</v>
      </c>
      <c r="D58" s="84" t="s">
        <v>79</v>
      </c>
      <c r="E58" s="41"/>
      <c r="F58" s="458" t="s">
        <v>268</v>
      </c>
      <c r="G58" s="458"/>
      <c r="H58" s="458"/>
      <c r="I58" s="84">
        <f>57168408-53960748</f>
        <v>3207660</v>
      </c>
    </row>
    <row r="59" spans="1:11" x14ac:dyDescent="0.3">
      <c r="A59" s="146" t="s">
        <v>81</v>
      </c>
      <c r="B59" s="125"/>
      <c r="C59" s="34">
        <v>3287538</v>
      </c>
      <c r="D59" s="84" t="s">
        <v>79</v>
      </c>
      <c r="E59" s="41"/>
      <c r="F59" s="84" t="s">
        <v>82</v>
      </c>
    </row>
    <row r="60" spans="1:11" x14ac:dyDescent="0.3">
      <c r="A60" s="146" t="s">
        <v>83</v>
      </c>
      <c r="C60" s="40">
        <f>SUM(C58:C59)</f>
        <v>6495198</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+'Sept 2015'!C63</f>
        <v>280713728</v>
      </c>
      <c r="C63" s="126">
        <v>281053504</v>
      </c>
      <c r="D63" s="84" t="s">
        <v>79</v>
      </c>
      <c r="E63" s="160">
        <f>+C63-B63</f>
        <v>339776</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t="s">
        <v>271</v>
      </c>
      <c r="D68" s="125"/>
      <c r="E68" s="191">
        <f>+'Sept 2015'!E69</f>
        <v>11319239</v>
      </c>
    </row>
    <row r="69" spans="1:11" x14ac:dyDescent="0.3">
      <c r="A69" s="457" t="s">
        <v>167</v>
      </c>
      <c r="B69" s="457"/>
      <c r="C69" s="127" t="s">
        <v>272</v>
      </c>
      <c r="D69" s="125"/>
      <c r="E69" s="128">
        <v>11463749</v>
      </c>
      <c r="F69" s="84" t="s">
        <v>184</v>
      </c>
    </row>
    <row r="70" spans="1:11" x14ac:dyDescent="0.3">
      <c r="A70" s="457" t="s">
        <v>168</v>
      </c>
      <c r="B70" s="457"/>
      <c r="C70" s="127" t="s">
        <v>272</v>
      </c>
      <c r="D70" s="125"/>
      <c r="E70" s="162">
        <f>+E69-E68</f>
        <v>144510</v>
      </c>
    </row>
    <row r="71" spans="1:11" x14ac:dyDescent="0.3">
      <c r="A71" s="457" t="s">
        <v>169</v>
      </c>
      <c r="B71" s="457"/>
      <c r="C71" s="127" t="s">
        <v>271</v>
      </c>
      <c r="D71" s="125"/>
      <c r="E71" s="192">
        <f>+'Sept 2015'!E72</f>
        <v>247538.1</v>
      </c>
    </row>
    <row r="72" spans="1:11" x14ac:dyDescent="0.3">
      <c r="A72" s="457" t="s">
        <v>170</v>
      </c>
      <c r="B72" s="457"/>
      <c r="C72" s="127" t="s">
        <v>272</v>
      </c>
      <c r="D72" s="125"/>
      <c r="E72" s="128">
        <v>256365.1</v>
      </c>
      <c r="F72" s="84" t="s">
        <v>185</v>
      </c>
    </row>
    <row r="73" spans="1:11" x14ac:dyDescent="0.3">
      <c r="A73" s="457" t="s">
        <v>173</v>
      </c>
      <c r="B73" s="457"/>
      <c r="C73" s="127" t="s">
        <v>272</v>
      </c>
      <c r="D73" s="125"/>
      <c r="E73" s="162">
        <f>+E72-E71</f>
        <v>8827</v>
      </c>
    </row>
    <row r="74" spans="1:11" x14ac:dyDescent="0.3">
      <c r="A74" s="448" t="s">
        <v>91</v>
      </c>
      <c r="B74" s="448"/>
      <c r="C74" s="164" t="s">
        <v>272</v>
      </c>
      <c r="D74" s="125"/>
      <c r="E74" s="165">
        <f>+E70-E73</f>
        <v>135683</v>
      </c>
    </row>
    <row r="75" spans="1:11" x14ac:dyDescent="0.3">
      <c r="A75" s="127"/>
      <c r="B75" s="127"/>
      <c r="C75" s="127"/>
      <c r="D75" s="125"/>
      <c r="E75" s="125"/>
    </row>
    <row r="76" spans="1:11" x14ac:dyDescent="0.3">
      <c r="A76" s="449" t="s">
        <v>92</v>
      </c>
      <c r="B76" s="449"/>
      <c r="C76" s="166" t="str">
        <f>+C74</f>
        <v>October</v>
      </c>
      <c r="D76" s="167"/>
      <c r="E76" s="168">
        <f>+E68+E74</f>
        <v>11454922</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4" ht="30" customHeight="1" x14ac:dyDescent="0.3">
      <c r="A81" s="84" t="s">
        <v>96</v>
      </c>
      <c r="B81" s="129"/>
      <c r="E81" s="458" t="s">
        <v>97</v>
      </c>
      <c r="F81" s="458"/>
      <c r="G81" s="458"/>
      <c r="H81" s="458"/>
      <c r="I81" s="458"/>
      <c r="J81" s="458"/>
      <c r="L81" s="389" t="s">
        <v>273</v>
      </c>
      <c r="M81" s="115" t="s">
        <v>274</v>
      </c>
      <c r="N81" s="389" t="s">
        <v>275</v>
      </c>
    </row>
    <row r="82" spans="1:14" x14ac:dyDescent="0.3">
      <c r="A82" s="130" t="s">
        <v>98</v>
      </c>
      <c r="B82" s="131">
        <v>30097000</v>
      </c>
      <c r="C82" s="84">
        <f>B82/1000</f>
        <v>30097</v>
      </c>
      <c r="D82" s="84">
        <f>598669-569240</f>
        <v>29429</v>
      </c>
      <c r="L82" s="84">
        <v>1451</v>
      </c>
      <c r="M82" s="84">
        <v>1450</v>
      </c>
      <c r="N82" s="84">
        <f>361527-361456</f>
        <v>71</v>
      </c>
    </row>
    <row r="83" spans="1:14" x14ac:dyDescent="0.3">
      <c r="A83" s="130" t="s">
        <v>99</v>
      </c>
      <c r="B83" s="131">
        <v>1502000</v>
      </c>
      <c r="C83" s="84">
        <f>B83/1000</f>
        <v>1502</v>
      </c>
      <c r="D83" s="84">
        <f>472648-471152</f>
        <v>1496</v>
      </c>
      <c r="L83" s="84">
        <v>22393</v>
      </c>
      <c r="M83" s="84">
        <v>22394</v>
      </c>
      <c r="N83" s="84">
        <f>458737-457366</f>
        <v>1371</v>
      </c>
    </row>
    <row r="84" spans="1:14" x14ac:dyDescent="0.3">
      <c r="A84" s="130" t="s">
        <v>100</v>
      </c>
      <c r="B84" s="131"/>
      <c r="C84" s="84">
        <f>B84/1000</f>
        <v>0</v>
      </c>
      <c r="D84" s="390">
        <v>34215000</v>
      </c>
      <c r="L84" s="84">
        <v>0</v>
      </c>
      <c r="M84" s="84">
        <v>0</v>
      </c>
      <c r="N84" s="84">
        <f>818893-744361</f>
        <v>74532</v>
      </c>
    </row>
    <row r="85" spans="1:14" x14ac:dyDescent="0.3">
      <c r="A85" s="130" t="s">
        <v>101</v>
      </c>
      <c r="B85" s="131">
        <v>9342000</v>
      </c>
      <c r="C85" s="84">
        <f>B85/1000</f>
        <v>9342</v>
      </c>
      <c r="D85" s="84">
        <f>209156-163542</f>
        <v>45614</v>
      </c>
      <c r="L85" s="84">
        <v>37188</v>
      </c>
      <c r="M85" s="84">
        <v>39396</v>
      </c>
      <c r="N85" s="84">
        <f>642959-642907</f>
        <v>52</v>
      </c>
    </row>
    <row r="86" spans="1:14" x14ac:dyDescent="0.3">
      <c r="A86" s="84" t="s">
        <v>102</v>
      </c>
      <c r="B86" s="75">
        <v>497000</v>
      </c>
      <c r="C86" s="132">
        <f t="shared" ref="C86" si="0">B86/1000</f>
        <v>497</v>
      </c>
      <c r="F86" s="84" t="s">
        <v>103</v>
      </c>
      <c r="L86" s="84">
        <v>518</v>
      </c>
      <c r="M86" s="84">
        <v>518</v>
      </c>
      <c r="N86" s="84">
        <v>401</v>
      </c>
    </row>
    <row r="87" spans="1:14" x14ac:dyDescent="0.3">
      <c r="A87" s="84" t="s">
        <v>104</v>
      </c>
      <c r="B87" s="170">
        <f>SUM(B82:B86)</f>
        <v>41438000</v>
      </c>
      <c r="C87" s="133">
        <f>SUM(C81:C86)</f>
        <v>41438</v>
      </c>
      <c r="D87" s="84">
        <f>+D82+D83+D85</f>
        <v>76539</v>
      </c>
      <c r="L87" s="84">
        <f>SUM(L82:L86)</f>
        <v>61550</v>
      </c>
      <c r="M87" s="84">
        <f>SUM(M82:M86)</f>
        <v>63758</v>
      </c>
      <c r="N87" s="84">
        <f>SUM(N82:N86)</f>
        <v>76427</v>
      </c>
    </row>
    <row r="88" spans="1:14" x14ac:dyDescent="0.3">
      <c r="B88" s="147"/>
    </row>
    <row r="89" spans="1:14" x14ac:dyDescent="0.3">
      <c r="A89" s="84" t="s">
        <v>105</v>
      </c>
    </row>
    <row r="90" spans="1:14" ht="15" thickBot="1" x14ac:dyDescent="0.35">
      <c r="B90" s="84" t="s">
        <v>95</v>
      </c>
      <c r="C90" s="84" t="s">
        <v>106</v>
      </c>
      <c r="D90" s="84" t="s">
        <v>107</v>
      </c>
    </row>
    <row r="91" spans="1:14" x14ac:dyDescent="0.3">
      <c r="A91" s="84" t="s">
        <v>45</v>
      </c>
      <c r="B91" s="171">
        <v>2599400</v>
      </c>
      <c r="C91" s="171">
        <f>+'Sept 2015'!D91</f>
        <v>34726722</v>
      </c>
      <c r="D91" s="100">
        <f>+C91+B91</f>
        <v>37326122</v>
      </c>
      <c r="E91" s="84" t="s">
        <v>108</v>
      </c>
    </row>
    <row r="92" spans="1:14" x14ac:dyDescent="0.3">
      <c r="A92" s="84" t="s">
        <v>109</v>
      </c>
      <c r="B92" s="172" t="s">
        <v>110</v>
      </c>
      <c r="C92" s="172" t="s">
        <v>111</v>
      </c>
      <c r="D92" s="173" t="s">
        <v>112</v>
      </c>
    </row>
    <row r="93" spans="1:14" x14ac:dyDescent="0.3">
      <c r="A93" s="84" t="s">
        <v>45</v>
      </c>
      <c r="B93" s="124">
        <f>+'Sept 2015'!C93</f>
        <v>8834524</v>
      </c>
      <c r="C93" s="124">
        <v>9100754</v>
      </c>
      <c r="D93" s="190">
        <f>+C93-B93</f>
        <v>266230</v>
      </c>
      <c r="E93" s="84" t="s">
        <v>113</v>
      </c>
    </row>
    <row r="94" spans="1:14" x14ac:dyDescent="0.3">
      <c r="C94" s="146"/>
      <c r="D94" s="146"/>
    </row>
    <row r="95" spans="1:14" ht="15" thickBot="1" x14ac:dyDescent="0.35">
      <c r="B95" s="146" t="s">
        <v>114</v>
      </c>
      <c r="C95" s="146" t="s">
        <v>115</v>
      </c>
      <c r="D95" s="149" t="s">
        <v>112</v>
      </c>
      <c r="E95" s="146"/>
      <c r="F95" s="146"/>
    </row>
    <row r="96" spans="1:14" x14ac:dyDescent="0.3">
      <c r="A96" s="84" t="s">
        <v>116</v>
      </c>
      <c r="B96" s="77">
        <f>+'Sept 2015'!C96</f>
        <v>12439922</v>
      </c>
      <c r="C96" s="77">
        <v>13244802</v>
      </c>
      <c r="D96" s="134">
        <f>C96-B96</f>
        <v>804880</v>
      </c>
      <c r="E96" s="63"/>
    </row>
    <row r="97" spans="1:6" x14ac:dyDescent="0.3">
      <c r="A97" s="84" t="s">
        <v>117</v>
      </c>
      <c r="B97" s="78">
        <f>+'Sept 2015'!C97</f>
        <v>15056962</v>
      </c>
      <c r="C97" s="78">
        <v>15401452</v>
      </c>
      <c r="D97" s="134">
        <f t="shared" ref="D97:D99" si="1">C97-B97</f>
        <v>344490</v>
      </c>
      <c r="E97" s="63"/>
      <c r="F97" s="86"/>
    </row>
    <row r="98" spans="1:6" x14ac:dyDescent="0.3">
      <c r="A98" s="84" t="s">
        <v>118</v>
      </c>
      <c r="B98" s="78">
        <f>+'Sept 2015'!C98</f>
        <v>7258820</v>
      </c>
      <c r="C98" s="78">
        <v>7600250</v>
      </c>
      <c r="D98" s="134">
        <f t="shared" si="1"/>
        <v>341430</v>
      </c>
      <c r="E98" s="63"/>
      <c r="F98" s="86"/>
    </row>
    <row r="99" spans="1:6" ht="15" thickBot="1" x14ac:dyDescent="0.35">
      <c r="A99" s="84" t="s">
        <v>119</v>
      </c>
      <c r="B99" s="79">
        <f>+'Sept 2015'!C99</f>
        <v>1585484</v>
      </c>
      <c r="C99" s="79">
        <v>1624444</v>
      </c>
      <c r="D99" s="134">
        <f t="shared" si="1"/>
        <v>38960</v>
      </c>
      <c r="E99" s="63"/>
      <c r="F99" s="86"/>
    </row>
    <row r="100" spans="1:6" x14ac:dyDescent="0.3">
      <c r="B100" s="134"/>
      <c r="C100" s="64"/>
      <c r="D100" s="174">
        <f>SUM(D96:D99)</f>
        <v>1529760</v>
      </c>
      <c r="E100" s="175"/>
      <c r="F100" s="158"/>
    </row>
    <row r="101" spans="1:6" ht="15" thickBot="1" x14ac:dyDescent="0.35">
      <c r="B101" s="146" t="s">
        <v>114</v>
      </c>
      <c r="C101" s="146" t="s">
        <v>115</v>
      </c>
      <c r="D101" s="134"/>
    </row>
    <row r="102" spans="1:6" x14ac:dyDescent="0.3">
      <c r="A102" s="84" t="s">
        <v>120</v>
      </c>
      <c r="B102" s="80">
        <f>+'Sept 2015'!C102</f>
        <v>20703428</v>
      </c>
      <c r="C102" s="80">
        <v>20737488</v>
      </c>
      <c r="D102" s="2">
        <f>C102-B102</f>
        <v>34060</v>
      </c>
    </row>
    <row r="103" spans="1:6" ht="15" thickBot="1" x14ac:dyDescent="0.35">
      <c r="A103" s="84" t="s">
        <v>121</v>
      </c>
      <c r="B103" s="81">
        <f>+'Sept 2015'!C103</f>
        <v>650401</v>
      </c>
      <c r="C103" s="81">
        <v>753701</v>
      </c>
      <c r="D103" s="2">
        <f>C103-B103</f>
        <v>103300</v>
      </c>
    </row>
    <row r="104" spans="1:6" x14ac:dyDescent="0.3">
      <c r="D104" s="148">
        <f>SUM(D102:D103)</f>
        <v>137360</v>
      </c>
    </row>
    <row r="105" spans="1:6" x14ac:dyDescent="0.3">
      <c r="D105" s="2"/>
    </row>
    <row r="106" spans="1:6" x14ac:dyDescent="0.3">
      <c r="B106" s="84" t="s">
        <v>42</v>
      </c>
      <c r="D106" s="2"/>
    </row>
    <row r="107" spans="1:6" x14ac:dyDescent="0.3">
      <c r="A107" s="84" t="s">
        <v>46</v>
      </c>
      <c r="B107" s="135">
        <f>D100/1000</f>
        <v>1529.76</v>
      </c>
      <c r="D107" s="2"/>
    </row>
    <row r="108" spans="1:6" x14ac:dyDescent="0.3">
      <c r="A108" s="84" t="s">
        <v>47</v>
      </c>
      <c r="B108" s="136">
        <f>D104/1000</f>
        <v>137.36000000000001</v>
      </c>
      <c r="D108" s="2"/>
    </row>
    <row r="109" spans="1:6" x14ac:dyDescent="0.3">
      <c r="B109" s="136"/>
      <c r="D109" s="2"/>
    </row>
    <row r="110" spans="1:6" x14ac:dyDescent="0.3">
      <c r="A110" s="84" t="s">
        <v>293</v>
      </c>
      <c r="B110" s="136"/>
      <c r="C110" s="84">
        <f>+'Sept 2015'!C111</f>
        <v>63206</v>
      </c>
      <c r="D110" s="2" t="s">
        <v>301</v>
      </c>
    </row>
    <row r="111" spans="1:6" x14ac:dyDescent="0.3">
      <c r="A111" s="84" t="s">
        <v>294</v>
      </c>
      <c r="B111" s="136"/>
      <c r="C111" s="132">
        <v>68276</v>
      </c>
      <c r="D111" s="2" t="s">
        <v>301</v>
      </c>
    </row>
    <row r="112" spans="1:6" x14ac:dyDescent="0.3">
      <c r="A112" s="84" t="s">
        <v>295</v>
      </c>
      <c r="B112" s="136"/>
      <c r="C112" s="339">
        <f>+C111-C110</f>
        <v>5070</v>
      </c>
      <c r="D112" s="2"/>
    </row>
    <row r="113" spans="1:11" x14ac:dyDescent="0.3">
      <c r="A113" s="84" t="s">
        <v>296</v>
      </c>
      <c r="B113" s="136"/>
      <c r="C113" s="370">
        <f>+'Sept 2015'!C114</f>
        <v>54850</v>
      </c>
      <c r="D113" s="2" t="s">
        <v>301</v>
      </c>
    </row>
    <row r="114" spans="1:11" x14ac:dyDescent="0.3">
      <c r="A114" s="84" t="s">
        <v>297</v>
      </c>
      <c r="B114" s="136"/>
      <c r="C114" s="132">
        <v>58540</v>
      </c>
      <c r="D114" s="2" t="s">
        <v>301</v>
      </c>
    </row>
    <row r="115" spans="1:11" x14ac:dyDescent="0.3">
      <c r="A115" s="84" t="s">
        <v>313</v>
      </c>
      <c r="B115" s="136"/>
      <c r="C115" s="370">
        <f>+C114-C113</f>
        <v>3690</v>
      </c>
      <c r="D115" s="2"/>
    </row>
    <row r="116" spans="1:11" ht="15" thickBot="1" x14ac:dyDescent="0.35">
      <c r="A116" s="84" t="s">
        <v>299</v>
      </c>
      <c r="B116" s="136"/>
      <c r="C116" s="84">
        <f>+C112-C115</f>
        <v>1380</v>
      </c>
      <c r="D116" s="2"/>
    </row>
    <row r="117" spans="1:11" ht="15" thickBot="1" x14ac:dyDescent="0.35">
      <c r="A117" s="84" t="s">
        <v>300</v>
      </c>
      <c r="B117" s="136"/>
      <c r="C117" s="418">
        <f>+C110+C116</f>
        <v>64586</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176">
        <f>$C$87*B122</f>
        <v>11677.406768641971</v>
      </c>
      <c r="D122" s="450" t="s">
        <v>176</v>
      </c>
      <c r="E122" s="451"/>
      <c r="F122" s="451"/>
      <c r="G122" s="451"/>
      <c r="H122" s="451"/>
      <c r="I122" s="452"/>
    </row>
    <row r="123" spans="1:11" x14ac:dyDescent="0.3">
      <c r="A123" s="124" t="s">
        <v>127</v>
      </c>
      <c r="B123" s="141">
        <v>4.3629456705191923E-2</v>
      </c>
      <c r="C123" s="177">
        <f>$C$87*B123</f>
        <v>1807.917426949743</v>
      </c>
      <c r="D123" s="450"/>
      <c r="E123" s="451"/>
      <c r="F123" s="451"/>
      <c r="G123" s="451"/>
      <c r="H123" s="451"/>
      <c r="I123" s="452"/>
    </row>
    <row r="124" spans="1:11" ht="15" thickBot="1" x14ac:dyDescent="0.35">
      <c r="A124" s="124" t="s">
        <v>128</v>
      </c>
      <c r="B124" s="141">
        <v>0.13446533233518762</v>
      </c>
      <c r="C124" s="177">
        <f>$C$87*B124</f>
        <v>5571.974441305505</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17000</v>
      </c>
      <c r="E129" s="84" t="s">
        <v>80</v>
      </c>
    </row>
    <row r="130" spans="1:11" x14ac:dyDescent="0.3">
      <c r="A130" s="2" t="s">
        <v>132</v>
      </c>
      <c r="B130" s="2" t="s">
        <v>131</v>
      </c>
      <c r="C130" s="45">
        <v>4000</v>
      </c>
      <c r="E130" s="84" t="s">
        <v>80</v>
      </c>
    </row>
    <row r="131" spans="1:11" x14ac:dyDescent="0.3">
      <c r="A131" s="2" t="s">
        <v>133</v>
      </c>
      <c r="B131" s="2" t="s">
        <v>131</v>
      </c>
      <c r="C131" s="45">
        <v>4511000</v>
      </c>
      <c r="E131" s="84" t="s">
        <v>80</v>
      </c>
    </row>
    <row r="132" spans="1:11" x14ac:dyDescent="0.3">
      <c r="A132" s="2" t="s">
        <v>134</v>
      </c>
      <c r="B132" s="2" t="s">
        <v>131</v>
      </c>
      <c r="C132" s="45">
        <v>8805000</v>
      </c>
      <c r="E132" s="84" t="s">
        <v>80</v>
      </c>
    </row>
    <row r="133" spans="1:11" x14ac:dyDescent="0.3">
      <c r="A133" s="2"/>
      <c r="B133" s="148" t="s">
        <v>69</v>
      </c>
      <c r="C133" s="178">
        <f>SUM(C129:C132)</f>
        <v>13337000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13337000</v>
      </c>
      <c r="C137" s="88">
        <f>B137/1000</f>
        <v>13337</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366870</v>
      </c>
      <c r="C142" s="84" t="s">
        <v>144</v>
      </c>
      <c r="D142" s="125"/>
    </row>
    <row r="143" spans="1:11" x14ac:dyDescent="0.3">
      <c r="A143" s="142" t="s">
        <v>145</v>
      </c>
      <c r="B143" s="143">
        <v>306009</v>
      </c>
      <c r="C143" s="84" t="s">
        <v>144</v>
      </c>
      <c r="D143" s="125"/>
    </row>
    <row r="144" spans="1:11" x14ac:dyDescent="0.3">
      <c r="A144" s="142" t="s">
        <v>146</v>
      </c>
      <c r="B144" s="143">
        <v>2922</v>
      </c>
      <c r="C144" s="84" t="s">
        <v>144</v>
      </c>
      <c r="D144" s="125"/>
      <c r="F144" s="144"/>
    </row>
    <row r="145" spans="1:6" x14ac:dyDescent="0.3">
      <c r="A145" s="181" t="s">
        <v>147</v>
      </c>
      <c r="B145" s="199">
        <f>SUM(B142:B144)</f>
        <v>675801</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+'Sept 2015'!C153</f>
        <v>26521508</v>
      </c>
      <c r="C153" s="124">
        <v>27149582</v>
      </c>
      <c r="D153" s="144">
        <f>C153-B153</f>
        <v>628074</v>
      </c>
      <c r="E153" s="125"/>
      <c r="F153" s="144"/>
    </row>
    <row r="154" spans="1:6" x14ac:dyDescent="0.3">
      <c r="A154" s="145"/>
      <c r="B154" s="125"/>
      <c r="C154" s="84" t="s">
        <v>144</v>
      </c>
      <c r="D154" s="100">
        <f>SUM(D153)</f>
        <v>628074</v>
      </c>
      <c r="E154" s="125"/>
      <c r="F154" s="144"/>
    </row>
    <row r="155" spans="1:6" x14ac:dyDescent="0.3">
      <c r="A155" s="142" t="s">
        <v>156</v>
      </c>
      <c r="B155" s="185" t="s">
        <v>153</v>
      </c>
      <c r="C155" s="186" t="s">
        <v>154</v>
      </c>
      <c r="D155" s="185" t="s">
        <v>155</v>
      </c>
      <c r="F155" s="144"/>
    </row>
    <row r="156" spans="1:6" x14ac:dyDescent="0.3">
      <c r="A156" s="145"/>
      <c r="B156" s="124">
        <f>+'Sept 2015'!C156</f>
        <v>4704817</v>
      </c>
      <c r="C156" s="124">
        <v>4779591.5</v>
      </c>
      <c r="D156" s="144">
        <f>C156-B156</f>
        <v>74774.5</v>
      </c>
      <c r="E156" s="125"/>
      <c r="F156" s="144"/>
    </row>
    <row r="157" spans="1:6" x14ac:dyDescent="0.3">
      <c r="A157" s="145"/>
      <c r="B157" s="125"/>
      <c r="C157" s="84" t="s">
        <v>144</v>
      </c>
      <c r="D157" s="100">
        <f>D156</f>
        <v>74774.5</v>
      </c>
      <c r="E157" s="125"/>
      <c r="F157" s="144"/>
    </row>
    <row r="158" spans="1:6" x14ac:dyDescent="0.3">
      <c r="A158" s="142" t="s">
        <v>187</v>
      </c>
      <c r="B158" s="185" t="s">
        <v>153</v>
      </c>
      <c r="C158" s="186" t="s">
        <v>154</v>
      </c>
      <c r="D158" s="185" t="s">
        <v>155</v>
      </c>
      <c r="E158" s="125"/>
      <c r="F158" s="144"/>
    </row>
    <row r="159" spans="1:6" x14ac:dyDescent="0.3">
      <c r="A159" s="145"/>
      <c r="B159" s="124">
        <f>+'Sept 2015'!C159</f>
        <v>5179291.5</v>
      </c>
      <c r="C159" s="124">
        <v>5183833.5</v>
      </c>
      <c r="D159" s="144">
        <f>C159-B159</f>
        <v>4542</v>
      </c>
      <c r="E159" s="125"/>
      <c r="F159" s="144"/>
    </row>
    <row r="160" spans="1:6" x14ac:dyDescent="0.3">
      <c r="A160" s="145"/>
      <c r="B160" s="125"/>
      <c r="C160" s="84" t="s">
        <v>144</v>
      </c>
      <c r="D160" s="100">
        <f>D159</f>
        <v>4542</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187">
        <f>D157+D154+D160</f>
        <v>707390.5</v>
      </c>
      <c r="C163" s="84" t="s">
        <v>144</v>
      </c>
      <c r="D163" s="125"/>
      <c r="F163" s="144"/>
    </row>
    <row r="164" spans="1:11" x14ac:dyDescent="0.3">
      <c r="F164" s="144"/>
    </row>
    <row r="165" spans="1:11" x14ac:dyDescent="0.3">
      <c r="A165" s="188" t="s">
        <v>158</v>
      </c>
      <c r="B165" s="200">
        <f>B145+B150+B163</f>
        <v>1383191.5</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13524000</v>
      </c>
      <c r="C170" s="88">
        <f>B170/1000</f>
        <v>13524</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C74" name="Month"/>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6" fitToHeight="2" orientation="portrait" r:id="rId1"/>
  <rowBreaks count="1" manualBreakCount="1">
    <brk id="94"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K176"/>
  <sheetViews>
    <sheetView topLeftCell="A4" zoomScale="80" zoomScaleNormal="80" workbookViewId="0">
      <selection activeCell="O18" sqref="O18"/>
    </sheetView>
  </sheetViews>
  <sheetFormatPr defaultColWidth="8.88671875" defaultRowHeight="14.4" x14ac:dyDescent="0.3"/>
  <cols>
    <col min="1" max="1" width="23.33203125" style="84" customWidth="1"/>
    <col min="2" max="2" width="17.5546875" style="84" customWidth="1"/>
    <col min="3" max="3" width="17.6640625" style="84" customWidth="1"/>
    <col min="4" max="4" width="18.33203125" style="84" bestFit="1" customWidth="1"/>
    <col min="5" max="5" width="13.5546875" style="84" customWidth="1"/>
    <col min="6" max="6" width="26" style="84" customWidth="1"/>
    <col min="7" max="7" width="13.88671875" style="84" customWidth="1"/>
    <col min="8" max="8" width="20.44140625" style="84" customWidth="1"/>
    <col min="9" max="9" width="8.88671875" style="84"/>
    <col min="10" max="10" width="10.441406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315</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20"/>
      <c r="E8" s="381">
        <f>+C47</f>
        <v>1078</v>
      </c>
      <c r="F8" s="112" t="s">
        <v>174</v>
      </c>
      <c r="G8" s="33">
        <v>5579.67</v>
      </c>
      <c r="H8" s="113" t="s">
        <v>15</v>
      </c>
      <c r="I8" s="113"/>
      <c r="J8" s="114">
        <f>E8*0.9756</f>
        <v>1051.6967999999999</v>
      </c>
    </row>
    <row r="9" spans="1:11" ht="15.6" x14ac:dyDescent="0.3">
      <c r="A9" s="153" t="s">
        <v>16</v>
      </c>
      <c r="B9" s="115" t="s">
        <v>17</v>
      </c>
      <c r="C9" s="115" t="s">
        <v>13</v>
      </c>
      <c r="D9" s="220"/>
      <c r="E9" s="382">
        <f>+C50</f>
        <v>0</v>
      </c>
      <c r="F9" s="113"/>
      <c r="G9" s="34">
        <v>1064.28</v>
      </c>
      <c r="H9" s="84" t="s">
        <v>18</v>
      </c>
    </row>
    <row r="10" spans="1:11" ht="15.6" x14ac:dyDescent="0.3">
      <c r="A10" s="153" t="s">
        <v>19</v>
      </c>
      <c r="B10" s="115" t="s">
        <v>17</v>
      </c>
      <c r="C10" s="115" t="s">
        <v>13</v>
      </c>
      <c r="D10" s="220"/>
      <c r="E10" s="382">
        <f>+C51</f>
        <v>34985</v>
      </c>
      <c r="F10" s="113"/>
      <c r="G10" s="34">
        <v>134099.82</v>
      </c>
      <c r="H10" s="84" t="s">
        <v>20</v>
      </c>
    </row>
    <row r="11" spans="1:11" ht="15.6" x14ac:dyDescent="0.3">
      <c r="A11" s="153" t="s">
        <v>21</v>
      </c>
      <c r="B11" s="115" t="s">
        <v>17</v>
      </c>
      <c r="C11" s="115" t="s">
        <v>13</v>
      </c>
      <c r="D11" s="220"/>
      <c r="E11" s="382">
        <f>+C52</f>
        <v>1977</v>
      </c>
      <c r="F11" s="113"/>
      <c r="G11" s="34">
        <v>8582.7800000000007</v>
      </c>
      <c r="H11" s="84" t="s">
        <v>22</v>
      </c>
    </row>
    <row r="12" spans="1:11" ht="15.6" x14ac:dyDescent="0.3">
      <c r="A12" s="153" t="s">
        <v>23</v>
      </c>
      <c r="B12" s="115" t="s">
        <v>17</v>
      </c>
      <c r="C12" s="115" t="s">
        <v>13</v>
      </c>
      <c r="D12" s="220"/>
      <c r="E12" s="381">
        <f>+C53</f>
        <v>36962</v>
      </c>
      <c r="F12" s="113" t="s">
        <v>24</v>
      </c>
      <c r="G12" s="2"/>
    </row>
    <row r="13" spans="1:11" ht="15.6" x14ac:dyDescent="0.3">
      <c r="A13" s="152" t="s">
        <v>25</v>
      </c>
      <c r="B13" s="112" t="s">
        <v>26</v>
      </c>
      <c r="C13" s="112" t="s">
        <v>27</v>
      </c>
      <c r="D13" s="381">
        <f>+C63</f>
        <v>280713728</v>
      </c>
      <c r="E13" s="434">
        <f>+E63</f>
        <v>419424</v>
      </c>
      <c r="F13" s="113" t="s">
        <v>28</v>
      </c>
      <c r="G13" s="154"/>
      <c r="H13" s="19"/>
      <c r="I13" s="19"/>
      <c r="J13" s="20"/>
      <c r="K13" s="20"/>
    </row>
    <row r="14" spans="1:11" ht="15.6" x14ac:dyDescent="0.3">
      <c r="A14" s="152" t="s">
        <v>29</v>
      </c>
      <c r="B14" s="112" t="s">
        <v>26</v>
      </c>
      <c r="C14" s="112" t="s">
        <v>30</v>
      </c>
      <c r="D14" s="220"/>
      <c r="E14" s="382">
        <f>+B150</f>
        <v>0</v>
      </c>
      <c r="F14" s="113" t="s">
        <v>31</v>
      </c>
      <c r="G14" s="21"/>
      <c r="H14" s="113"/>
      <c r="I14" s="113"/>
      <c r="J14" s="116"/>
      <c r="K14" s="116"/>
    </row>
    <row r="15" spans="1:11" ht="15.6" x14ac:dyDescent="0.3">
      <c r="A15" s="152" t="s">
        <v>32</v>
      </c>
      <c r="B15" s="112" t="s">
        <v>26</v>
      </c>
      <c r="C15" s="112" t="s">
        <v>33</v>
      </c>
      <c r="D15" s="220"/>
      <c r="E15" s="382">
        <f>+B145</f>
        <v>1011466</v>
      </c>
      <c r="F15" s="113" t="s">
        <v>31</v>
      </c>
      <c r="G15" s="21"/>
      <c r="H15" s="113"/>
      <c r="I15" s="113"/>
      <c r="J15" s="116"/>
      <c r="K15" s="116"/>
    </row>
    <row r="16" spans="1:11" ht="15.6" x14ac:dyDescent="0.3">
      <c r="A16" s="152" t="s">
        <v>34</v>
      </c>
      <c r="B16" s="112" t="s">
        <v>26</v>
      </c>
      <c r="C16" s="112" t="s">
        <v>35</v>
      </c>
      <c r="D16" s="220"/>
      <c r="E16" s="382">
        <f>+C137</f>
        <v>8758</v>
      </c>
      <c r="F16" s="113" t="s">
        <v>36</v>
      </c>
      <c r="G16" s="23" t="s">
        <v>37</v>
      </c>
      <c r="H16" s="117"/>
      <c r="I16" s="113"/>
      <c r="J16" s="113"/>
      <c r="K16" s="113"/>
    </row>
    <row r="17" spans="1:11" ht="15.6" x14ac:dyDescent="0.3">
      <c r="A17" s="152" t="s">
        <v>38</v>
      </c>
      <c r="B17" s="112" t="s">
        <v>26</v>
      </c>
      <c r="C17" s="112" t="s">
        <v>27</v>
      </c>
      <c r="D17" s="220"/>
      <c r="E17" s="381">
        <f>+C60</f>
        <v>7704563</v>
      </c>
      <c r="F17" s="113"/>
      <c r="G17" s="155">
        <v>431740.59</v>
      </c>
      <c r="H17" s="113" t="s">
        <v>39</v>
      </c>
      <c r="I17" s="156"/>
      <c r="J17" s="156"/>
      <c r="K17" s="156"/>
    </row>
    <row r="18" spans="1:11" ht="15.6" x14ac:dyDescent="0.3">
      <c r="A18" s="152" t="s">
        <v>40</v>
      </c>
      <c r="B18" s="112" t="s">
        <v>41</v>
      </c>
      <c r="C18" s="112" t="s">
        <v>42</v>
      </c>
      <c r="D18" s="220"/>
      <c r="E18" s="381">
        <f>+C87</f>
        <v>90635</v>
      </c>
      <c r="F18" s="113" t="s">
        <v>43</v>
      </c>
      <c r="G18" s="33">
        <v>1778.88</v>
      </c>
      <c r="H18" s="113" t="s">
        <v>44</v>
      </c>
      <c r="I18" s="113"/>
      <c r="J18" s="113"/>
      <c r="K18" s="113"/>
    </row>
    <row r="19" spans="1:11" ht="15.6" x14ac:dyDescent="0.3">
      <c r="A19" s="84" t="s">
        <v>45</v>
      </c>
      <c r="B19" s="115" t="s">
        <v>41</v>
      </c>
      <c r="C19" s="115" t="s">
        <v>42</v>
      </c>
      <c r="D19" s="381">
        <f>+D91</f>
        <v>34726722</v>
      </c>
      <c r="E19" s="220"/>
      <c r="G19" s="2"/>
    </row>
    <row r="20" spans="1:11" ht="15.6" x14ac:dyDescent="0.3">
      <c r="A20" s="84" t="s">
        <v>46</v>
      </c>
      <c r="B20" s="115" t="s">
        <v>41</v>
      </c>
      <c r="C20" s="115" t="s">
        <v>42</v>
      </c>
      <c r="D20" s="220"/>
      <c r="E20" s="381">
        <f>+B107</f>
        <v>2519.3809999999999</v>
      </c>
      <c r="G20" s="2"/>
    </row>
    <row r="21" spans="1:11" ht="15.6" x14ac:dyDescent="0.3">
      <c r="A21" s="84" t="s">
        <v>47</v>
      </c>
      <c r="B21" s="115" t="s">
        <v>41</v>
      </c>
      <c r="C21" s="115" t="s">
        <v>42</v>
      </c>
      <c r="D21" s="220"/>
      <c r="E21" s="381">
        <f>+B108</f>
        <v>104.44</v>
      </c>
      <c r="G21" s="2"/>
    </row>
    <row r="22" spans="1:11" ht="15.6" x14ac:dyDescent="0.3">
      <c r="A22" s="152" t="s">
        <v>48</v>
      </c>
      <c r="B22" s="112" t="s">
        <v>49</v>
      </c>
      <c r="C22" s="112" t="s">
        <v>50</v>
      </c>
      <c r="D22" s="220"/>
      <c r="E22" s="381">
        <f>+C136</f>
        <v>0</v>
      </c>
      <c r="F22" s="113" t="s">
        <v>36</v>
      </c>
      <c r="G22" s="21" t="s">
        <v>51</v>
      </c>
      <c r="H22" s="113"/>
      <c r="I22" s="113"/>
      <c r="J22" s="113"/>
      <c r="K22" s="113"/>
    </row>
    <row r="23" spans="1:11" ht="15.6" x14ac:dyDescent="0.3">
      <c r="A23" s="152" t="s">
        <v>52</v>
      </c>
      <c r="B23" s="112" t="s">
        <v>49</v>
      </c>
      <c r="C23" s="112" t="s">
        <v>50</v>
      </c>
      <c r="D23" s="220"/>
      <c r="E23" s="381">
        <f>+C137</f>
        <v>8758</v>
      </c>
      <c r="F23" s="113" t="s">
        <v>36</v>
      </c>
      <c r="G23" s="21" t="s">
        <v>37</v>
      </c>
      <c r="H23" s="113"/>
      <c r="I23" s="113"/>
      <c r="J23" s="113"/>
      <c r="K23" s="113"/>
    </row>
    <row r="24" spans="1:11" ht="15.6" x14ac:dyDescent="0.3">
      <c r="A24" s="152" t="s">
        <v>53</v>
      </c>
      <c r="B24" s="112" t="s">
        <v>54</v>
      </c>
      <c r="C24" s="112" t="s">
        <v>55</v>
      </c>
      <c r="D24" s="220"/>
      <c r="E24" s="381">
        <f>+B165</f>
        <v>2115083.5</v>
      </c>
      <c r="F24" s="113" t="s">
        <v>31</v>
      </c>
      <c r="G24" s="21"/>
      <c r="H24" s="113"/>
      <c r="I24" s="113"/>
      <c r="J24" s="113"/>
      <c r="K24" s="113"/>
    </row>
    <row r="25" spans="1:11" ht="15.6" x14ac:dyDescent="0.3">
      <c r="A25" s="152" t="s">
        <v>56</v>
      </c>
      <c r="B25" s="112" t="s">
        <v>57</v>
      </c>
      <c r="C25" s="112" t="s">
        <v>42</v>
      </c>
      <c r="D25" s="220"/>
      <c r="E25" s="381">
        <f>+C170</f>
        <v>12466</v>
      </c>
      <c r="F25" s="113" t="s">
        <v>58</v>
      </c>
      <c r="G25" s="33">
        <v>29382.720000000001</v>
      </c>
      <c r="H25" s="113" t="s">
        <v>44</v>
      </c>
      <c r="I25" s="113"/>
      <c r="J25" s="113"/>
      <c r="K25" s="113"/>
    </row>
    <row r="26" spans="1:11" ht="15.6" x14ac:dyDescent="0.3">
      <c r="A26" s="152" t="s">
        <v>165</v>
      </c>
      <c r="B26" s="112" t="s">
        <v>57</v>
      </c>
      <c r="C26" s="112" t="s">
        <v>42</v>
      </c>
      <c r="D26" s="220"/>
      <c r="E26" s="381">
        <f>+B174</f>
        <v>2330</v>
      </c>
      <c r="G26" s="2" t="s">
        <v>183</v>
      </c>
    </row>
    <row r="27" spans="1:11" ht="15.6" x14ac:dyDescent="0.3">
      <c r="A27" s="152" t="s">
        <v>186</v>
      </c>
      <c r="B27" s="112" t="s">
        <v>26</v>
      </c>
      <c r="C27" s="112" t="s">
        <v>27</v>
      </c>
      <c r="D27" s="381">
        <f>+E76</f>
        <v>11310673.1</v>
      </c>
      <c r="E27" s="222"/>
      <c r="G27" s="2"/>
    </row>
    <row r="28" spans="1:11" ht="15.6" x14ac:dyDescent="0.3">
      <c r="A28" s="152" t="s">
        <v>302</v>
      </c>
      <c r="B28" s="112" t="s">
        <v>41</v>
      </c>
      <c r="C28" s="112" t="s">
        <v>303</v>
      </c>
      <c r="D28" s="381">
        <f>+C117/10</f>
        <v>5890.6</v>
      </c>
      <c r="E28" s="222"/>
      <c r="G28" s="2"/>
    </row>
    <row r="29" spans="1:11" ht="15.6" x14ac:dyDescent="0.3">
      <c r="A29" s="152" t="s">
        <v>125</v>
      </c>
      <c r="B29" s="112"/>
      <c r="C29" s="112"/>
      <c r="D29" s="381">
        <f>+C122</f>
        <v>25541.333135669316</v>
      </c>
      <c r="E29" s="222"/>
      <c r="G29" s="2"/>
    </row>
    <row r="30" spans="1:11" ht="15.6" x14ac:dyDescent="0.3">
      <c r="A30" s="152" t="s">
        <v>127</v>
      </c>
      <c r="B30" s="112"/>
      <c r="C30" s="112"/>
      <c r="D30" s="381">
        <f>+C123</f>
        <v>3954.3558084750698</v>
      </c>
      <c r="E30" s="222"/>
      <c r="G30" s="2"/>
    </row>
    <row r="31" spans="1:11" ht="15.6" x14ac:dyDescent="0.3">
      <c r="A31" s="152" t="s">
        <v>128</v>
      </c>
      <c r="B31" s="112"/>
      <c r="C31" s="112"/>
      <c r="D31" s="381">
        <f>+C124</f>
        <v>12187.265396199729</v>
      </c>
      <c r="E31" s="222"/>
      <c r="G31" s="2"/>
    </row>
    <row r="32" spans="1:11" ht="15.6" x14ac:dyDescent="0.3">
      <c r="A32" s="152"/>
      <c r="B32" s="112"/>
      <c r="C32" s="112"/>
      <c r="D32" s="210"/>
      <c r="E32" s="222"/>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143746.88</v>
      </c>
      <c r="F37" s="121"/>
    </row>
    <row r="38" spans="1:11" x14ac:dyDescent="0.3">
      <c r="A38" s="119" t="s">
        <v>63</v>
      </c>
      <c r="B38" s="119" t="s">
        <v>63</v>
      </c>
      <c r="C38" s="119"/>
      <c r="D38" s="119"/>
      <c r="E38" s="122">
        <f>+G8</f>
        <v>5579.67</v>
      </c>
      <c r="F38" s="121"/>
    </row>
    <row r="39" spans="1:11" x14ac:dyDescent="0.3">
      <c r="A39" s="119"/>
      <c r="B39" s="119" t="s">
        <v>64</v>
      </c>
      <c r="C39" s="119"/>
      <c r="D39" s="119"/>
      <c r="E39" s="120">
        <f>SUM(E37:E38)</f>
        <v>149326.55000000002</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1078</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34985</v>
      </c>
    </row>
    <row r="52" spans="1:11" x14ac:dyDescent="0.3">
      <c r="A52" s="2" t="s">
        <v>74</v>
      </c>
      <c r="B52" s="2" t="s">
        <v>13</v>
      </c>
      <c r="C52" s="45">
        <v>1977</v>
      </c>
    </row>
    <row r="53" spans="1:11" x14ac:dyDescent="0.3">
      <c r="A53" s="2"/>
      <c r="B53" s="2" t="s">
        <v>69</v>
      </c>
      <c r="C53" s="38">
        <f>SUM(C50:C52)</f>
        <v>36962</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ht="31.2" customHeight="1" x14ac:dyDescent="0.3">
      <c r="A58" s="146" t="s">
        <v>78</v>
      </c>
      <c r="B58" s="124">
        <f>+C58/1000</f>
        <v>2896.4160000000002</v>
      </c>
      <c r="C58" s="40">
        <v>2896416</v>
      </c>
      <c r="D58" s="84" t="s">
        <v>79</v>
      </c>
      <c r="E58" s="41"/>
      <c r="F58" s="458" t="s">
        <v>268</v>
      </c>
      <c r="G58" s="458"/>
      <c r="H58" s="458"/>
      <c r="I58" s="84">
        <f>53959660-51063244</f>
        <v>2896416</v>
      </c>
    </row>
    <row r="59" spans="1:11" x14ac:dyDescent="0.3">
      <c r="A59" s="146" t="s">
        <v>81</v>
      </c>
      <c r="B59" s="125"/>
      <c r="C59" s="34">
        <v>4808147</v>
      </c>
      <c r="D59" s="84" t="s">
        <v>79</v>
      </c>
      <c r="E59" s="41"/>
      <c r="F59" s="84" t="s">
        <v>82</v>
      </c>
    </row>
    <row r="60" spans="1:11" x14ac:dyDescent="0.3">
      <c r="A60" s="146" t="s">
        <v>83</v>
      </c>
      <c r="C60" s="40">
        <f>SUM(C58:C59)</f>
        <v>7704563</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+'Aug 2015'!C63</f>
        <v>280294304</v>
      </c>
      <c r="C63" s="126">
        <v>280713728</v>
      </c>
      <c r="D63" s="84" t="s">
        <v>79</v>
      </c>
      <c r="E63" s="160">
        <f>+C63-B63</f>
        <v>419424</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t="s">
        <v>232</v>
      </c>
      <c r="D68" s="125"/>
      <c r="E68" s="191">
        <f>+'Aug 2015'!E69</f>
        <v>11190385</v>
      </c>
    </row>
    <row r="69" spans="1:11" x14ac:dyDescent="0.3">
      <c r="A69" s="457" t="s">
        <v>167</v>
      </c>
      <c r="B69" s="457"/>
      <c r="C69" s="127" t="s">
        <v>233</v>
      </c>
      <c r="D69" s="125"/>
      <c r="E69" s="128">
        <v>11319239</v>
      </c>
      <c r="F69" s="84" t="s">
        <v>184</v>
      </c>
    </row>
    <row r="70" spans="1:11" x14ac:dyDescent="0.3">
      <c r="A70" s="457" t="s">
        <v>168</v>
      </c>
      <c r="B70" s="457"/>
      <c r="C70" s="127" t="s">
        <v>233</v>
      </c>
      <c r="D70" s="125"/>
      <c r="E70" s="162">
        <f>+E69-E68</f>
        <v>128854</v>
      </c>
    </row>
    <row r="71" spans="1:11" x14ac:dyDescent="0.3">
      <c r="A71" s="457" t="s">
        <v>169</v>
      </c>
      <c r="B71" s="457"/>
      <c r="C71" s="127" t="s">
        <v>232</v>
      </c>
      <c r="D71" s="125"/>
      <c r="E71" s="192">
        <f>+'Aug 2015'!E72</f>
        <v>238972.2</v>
      </c>
    </row>
    <row r="72" spans="1:11" x14ac:dyDescent="0.3">
      <c r="A72" s="457" t="s">
        <v>170</v>
      </c>
      <c r="B72" s="457"/>
      <c r="C72" s="127" t="s">
        <v>233</v>
      </c>
      <c r="D72" s="125"/>
      <c r="E72" s="384">
        <v>247538.1</v>
      </c>
      <c r="F72" s="84" t="s">
        <v>185</v>
      </c>
    </row>
    <row r="73" spans="1:11" x14ac:dyDescent="0.3">
      <c r="A73" s="457" t="s">
        <v>173</v>
      </c>
      <c r="B73" s="457"/>
      <c r="C73" s="127" t="s">
        <v>233</v>
      </c>
      <c r="D73" s="125"/>
      <c r="E73" s="162">
        <f>+E72-E71</f>
        <v>8565.8999999999942</v>
      </c>
    </row>
    <row r="74" spans="1:11" x14ac:dyDescent="0.3">
      <c r="A74" s="448" t="s">
        <v>91</v>
      </c>
      <c r="B74" s="448"/>
      <c r="C74" s="164" t="s">
        <v>233</v>
      </c>
      <c r="D74" s="125"/>
      <c r="E74" s="165">
        <f>+E70-E73</f>
        <v>120288.1</v>
      </c>
    </row>
    <row r="75" spans="1:11" x14ac:dyDescent="0.3">
      <c r="A75" s="127"/>
      <c r="B75" s="127"/>
      <c r="C75" s="127"/>
      <c r="D75" s="125"/>
      <c r="E75" s="125"/>
    </row>
    <row r="76" spans="1:11" x14ac:dyDescent="0.3">
      <c r="A76" s="449" t="s">
        <v>92</v>
      </c>
      <c r="B76" s="449"/>
      <c r="C76" s="166" t="str">
        <f>+C74</f>
        <v>Sept</v>
      </c>
      <c r="D76" s="167"/>
      <c r="E76" s="168">
        <f>+E68+E74</f>
        <v>11310673.1</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30" customHeight="1" x14ac:dyDescent="0.3">
      <c r="A81" s="84" t="s">
        <v>96</v>
      </c>
      <c r="B81" s="129"/>
      <c r="E81" s="458" t="s">
        <v>97</v>
      </c>
      <c r="F81" s="458"/>
      <c r="G81" s="458"/>
      <c r="H81" s="458"/>
      <c r="I81" s="458"/>
      <c r="J81" s="458"/>
    </row>
    <row r="82" spans="1:10" x14ac:dyDescent="0.3">
      <c r="A82" s="130" t="s">
        <v>98</v>
      </c>
      <c r="B82" s="131">
        <v>33924000</v>
      </c>
      <c r="C82" s="84">
        <f>B82/1000</f>
        <v>33924</v>
      </c>
    </row>
    <row r="83" spans="1:10" x14ac:dyDescent="0.3">
      <c r="A83" s="130" t="s">
        <v>99</v>
      </c>
      <c r="B83" s="131">
        <v>0</v>
      </c>
      <c r="C83" s="84">
        <f>B83/1000</f>
        <v>0</v>
      </c>
    </row>
    <row r="84" spans="1:10" x14ac:dyDescent="0.3">
      <c r="A84" s="130" t="s">
        <v>100</v>
      </c>
      <c r="B84" s="131"/>
      <c r="C84" s="84">
        <f>B84/1000</f>
        <v>0</v>
      </c>
      <c r="D84" s="84">
        <v>50824000</v>
      </c>
    </row>
    <row r="85" spans="1:10" x14ac:dyDescent="0.3">
      <c r="A85" s="130" t="s">
        <v>101</v>
      </c>
      <c r="B85" s="432">
        <f>(161278-105269)*1000</f>
        <v>56009000</v>
      </c>
      <c r="C85" s="84">
        <f>B85/1000</f>
        <v>56009</v>
      </c>
      <c r="D85" s="84" t="s">
        <v>312</v>
      </c>
    </row>
    <row r="86" spans="1:10" x14ac:dyDescent="0.3">
      <c r="A86" s="84" t="s">
        <v>102</v>
      </c>
      <c r="B86" s="75">
        <v>702000</v>
      </c>
      <c r="C86" s="132">
        <f t="shared" ref="C86" si="0">B86/1000</f>
        <v>702</v>
      </c>
      <c r="F86" s="84" t="s">
        <v>103</v>
      </c>
    </row>
    <row r="87" spans="1:10" x14ac:dyDescent="0.3">
      <c r="A87" s="84" t="s">
        <v>104</v>
      </c>
      <c r="B87" s="170">
        <f>SUM(B82:B86)</f>
        <v>90635000</v>
      </c>
      <c r="C87" s="387">
        <f>SUM(C81:C86)</f>
        <v>90635</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171">
        <v>2221410</v>
      </c>
      <c r="C91" s="171">
        <f>+'Aug 2015'!D91</f>
        <v>32505312</v>
      </c>
      <c r="D91" s="100">
        <f>+C91+B91</f>
        <v>34726722</v>
      </c>
      <c r="E91" s="84" t="s">
        <v>108</v>
      </c>
    </row>
    <row r="92" spans="1:10" x14ac:dyDescent="0.3">
      <c r="A92" s="84" t="s">
        <v>109</v>
      </c>
      <c r="B92" s="172" t="s">
        <v>110</v>
      </c>
      <c r="C92" s="172" t="s">
        <v>111</v>
      </c>
      <c r="D92" s="173" t="s">
        <v>112</v>
      </c>
    </row>
    <row r="93" spans="1:10" x14ac:dyDescent="0.3">
      <c r="A93" s="84" t="s">
        <v>45</v>
      </c>
      <c r="B93" s="124">
        <f>+'Aug 2015'!C93</f>
        <v>8610523</v>
      </c>
      <c r="C93" s="124">
        <v>8834524</v>
      </c>
      <c r="D93" s="190">
        <f>+C93-B93</f>
        <v>224001</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f>+'Aug 2015'!C96</f>
        <v>11390332</v>
      </c>
      <c r="C96" s="77">
        <v>12439922</v>
      </c>
      <c r="D96" s="134">
        <f>C96-B96</f>
        <v>1049590</v>
      </c>
      <c r="E96" s="63"/>
    </row>
    <row r="97" spans="1:6" x14ac:dyDescent="0.3">
      <c r="A97" s="84" t="s">
        <v>117</v>
      </c>
      <c r="B97" s="78">
        <f>+'Aug 2015'!C97</f>
        <v>13671151</v>
      </c>
      <c r="C97" s="78">
        <v>15056962</v>
      </c>
      <c r="D97" s="134">
        <f t="shared" ref="D97:D99" si="1">C97-B97</f>
        <v>1385811</v>
      </c>
      <c r="E97" s="63"/>
      <c r="F97" s="86"/>
    </row>
    <row r="98" spans="1:6" x14ac:dyDescent="0.3">
      <c r="A98" s="84" t="s">
        <v>118</v>
      </c>
      <c r="B98" s="78">
        <f>+'Aug 2015'!C98</f>
        <v>7249250</v>
      </c>
      <c r="C98" s="78">
        <v>7258820</v>
      </c>
      <c r="D98" s="134">
        <f t="shared" si="1"/>
        <v>9570</v>
      </c>
      <c r="E98" s="63"/>
      <c r="F98" s="86"/>
    </row>
    <row r="99" spans="1:6" ht="15" thickBot="1" x14ac:dyDescent="0.35">
      <c r="A99" s="84" t="s">
        <v>119</v>
      </c>
      <c r="B99" s="79">
        <f>+'Aug 2015'!C99</f>
        <v>1511074</v>
      </c>
      <c r="C99" s="79">
        <v>1585484</v>
      </c>
      <c r="D99" s="134">
        <f t="shared" si="1"/>
        <v>74410</v>
      </c>
      <c r="E99" s="63"/>
      <c r="F99" s="86"/>
    </row>
    <row r="100" spans="1:6" x14ac:dyDescent="0.3">
      <c r="B100" s="134"/>
      <c r="C100" s="64"/>
      <c r="D100" s="174">
        <f>SUM(D96:D99)</f>
        <v>2519381</v>
      </c>
      <c r="E100" s="175"/>
      <c r="F100" s="158"/>
    </row>
    <row r="101" spans="1:6" ht="15" thickBot="1" x14ac:dyDescent="0.35">
      <c r="B101" s="146" t="s">
        <v>114</v>
      </c>
      <c r="C101" s="146" t="s">
        <v>115</v>
      </c>
      <c r="D101" s="134"/>
    </row>
    <row r="102" spans="1:6" x14ac:dyDescent="0.3">
      <c r="A102" s="84" t="s">
        <v>120</v>
      </c>
      <c r="B102" s="80">
        <f>+'Aug 2015'!C102</f>
        <v>20598988</v>
      </c>
      <c r="C102" s="80">
        <v>20703428</v>
      </c>
      <c r="D102" s="2">
        <f>C102-B102</f>
        <v>104440</v>
      </c>
    </row>
    <row r="103" spans="1:6" ht="15" thickBot="1" x14ac:dyDescent="0.35">
      <c r="A103" s="84" t="s">
        <v>121</v>
      </c>
      <c r="B103" s="81">
        <f>+'Aug 2015'!C103</f>
        <v>650401</v>
      </c>
      <c r="C103" s="81">
        <v>650401</v>
      </c>
      <c r="D103" s="2">
        <f>C103-B103</f>
        <v>0</v>
      </c>
    </row>
    <row r="104" spans="1:6" x14ac:dyDescent="0.3">
      <c r="D104" s="148">
        <f>SUM(D102:D103)</f>
        <v>104440</v>
      </c>
    </row>
    <row r="105" spans="1:6" x14ac:dyDescent="0.3">
      <c r="D105" s="2"/>
    </row>
    <row r="106" spans="1:6" x14ac:dyDescent="0.3">
      <c r="B106" s="84" t="s">
        <v>42</v>
      </c>
      <c r="D106" s="2"/>
    </row>
    <row r="107" spans="1:6" x14ac:dyDescent="0.3">
      <c r="A107" s="84" t="s">
        <v>46</v>
      </c>
      <c r="B107" s="135">
        <f>D100/1000</f>
        <v>2519.3809999999999</v>
      </c>
      <c r="D107" s="2"/>
    </row>
    <row r="108" spans="1:6" x14ac:dyDescent="0.3">
      <c r="A108" s="84" t="s">
        <v>47</v>
      </c>
      <c r="B108" s="136">
        <f>D104/1000</f>
        <v>104.44</v>
      </c>
      <c r="D108" s="2"/>
    </row>
    <row r="109" spans="1:6" x14ac:dyDescent="0.3">
      <c r="B109" s="136"/>
      <c r="D109" s="2"/>
    </row>
    <row r="110" spans="1:6" x14ac:dyDescent="0.3">
      <c r="A110" s="84" t="s">
        <v>293</v>
      </c>
      <c r="B110" s="136"/>
      <c r="C110" s="84">
        <f>+'Aug 2015'!C111</f>
        <v>57500</v>
      </c>
      <c r="D110" s="2" t="s">
        <v>301</v>
      </c>
    </row>
    <row r="111" spans="1:6" x14ac:dyDescent="0.3">
      <c r="A111" s="84" t="s">
        <v>294</v>
      </c>
      <c r="B111" s="136"/>
      <c r="C111" s="132">
        <v>63206</v>
      </c>
      <c r="D111" s="2" t="s">
        <v>301</v>
      </c>
    </row>
    <row r="112" spans="1:6" x14ac:dyDescent="0.3">
      <c r="A112" s="84" t="s">
        <v>295</v>
      </c>
      <c r="B112" s="136"/>
      <c r="C112" s="339">
        <f>+C111-C110</f>
        <v>5706</v>
      </c>
      <c r="D112" s="2"/>
    </row>
    <row r="113" spans="1:11" x14ac:dyDescent="0.3">
      <c r="A113" s="84" t="s">
        <v>296</v>
      </c>
      <c r="B113" s="136"/>
      <c r="C113" s="370">
        <f>+'Aug 2015'!C114</f>
        <v>50550</v>
      </c>
      <c r="D113" s="2" t="s">
        <v>301</v>
      </c>
    </row>
    <row r="114" spans="1:11" x14ac:dyDescent="0.3">
      <c r="A114" s="84" t="s">
        <v>297</v>
      </c>
      <c r="B114" s="136"/>
      <c r="C114" s="132">
        <v>54850</v>
      </c>
      <c r="D114" s="2" t="s">
        <v>301</v>
      </c>
    </row>
    <row r="115" spans="1:11" x14ac:dyDescent="0.3">
      <c r="A115" s="84" t="s">
        <v>311</v>
      </c>
      <c r="B115" s="136"/>
      <c r="C115" s="339">
        <f>+C114-C113</f>
        <v>4300</v>
      </c>
      <c r="D115" s="2"/>
    </row>
    <row r="116" spans="1:11" ht="15" thickBot="1" x14ac:dyDescent="0.35">
      <c r="A116" s="84" t="s">
        <v>299</v>
      </c>
      <c r="B116" s="136"/>
      <c r="C116" s="84">
        <f>+C112-C115</f>
        <v>1406</v>
      </c>
      <c r="D116" s="2"/>
    </row>
    <row r="117" spans="1:11" ht="15" thickBot="1" x14ac:dyDescent="0.35">
      <c r="A117" s="84" t="s">
        <v>300</v>
      </c>
      <c r="B117" s="136"/>
      <c r="C117" s="418">
        <f>+C110+C116</f>
        <v>58906</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385">
        <f>$C$87*B122</f>
        <v>25541.333135669316</v>
      </c>
      <c r="D122" s="450" t="s">
        <v>176</v>
      </c>
      <c r="E122" s="451"/>
      <c r="F122" s="451"/>
      <c r="G122" s="451"/>
      <c r="H122" s="451"/>
      <c r="I122" s="452"/>
    </row>
    <row r="123" spans="1:11" x14ac:dyDescent="0.3">
      <c r="A123" s="124" t="s">
        <v>127</v>
      </c>
      <c r="B123" s="141">
        <v>4.3629456705191923E-2</v>
      </c>
      <c r="C123" s="386">
        <f>$C$87*B123</f>
        <v>3954.3558084750698</v>
      </c>
      <c r="D123" s="450"/>
      <c r="E123" s="451"/>
      <c r="F123" s="451"/>
      <c r="G123" s="451"/>
      <c r="H123" s="451"/>
      <c r="I123" s="452"/>
    </row>
    <row r="124" spans="1:11" ht="15" thickBot="1" x14ac:dyDescent="0.35">
      <c r="A124" s="124" t="s">
        <v>128</v>
      </c>
      <c r="B124" s="141">
        <v>0.13446533233518762</v>
      </c>
      <c r="C124" s="386">
        <f>$C$87*B124</f>
        <v>12187.265396199729</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196000</v>
      </c>
      <c r="E129" s="84" t="s">
        <v>80</v>
      </c>
    </row>
    <row r="130" spans="1:11" x14ac:dyDescent="0.3">
      <c r="A130" s="2" t="s">
        <v>132</v>
      </c>
      <c r="B130" s="2" t="s">
        <v>131</v>
      </c>
      <c r="C130" s="45">
        <v>4000</v>
      </c>
      <c r="E130" s="84" t="s">
        <v>80</v>
      </c>
    </row>
    <row r="131" spans="1:11" x14ac:dyDescent="0.3">
      <c r="A131" s="2" t="s">
        <v>133</v>
      </c>
      <c r="B131" s="2" t="s">
        <v>131</v>
      </c>
      <c r="C131" s="45">
        <v>1822000</v>
      </c>
      <c r="E131" s="84" t="s">
        <v>80</v>
      </c>
    </row>
    <row r="132" spans="1:11" x14ac:dyDescent="0.3">
      <c r="A132" s="2" t="s">
        <v>134</v>
      </c>
      <c r="B132" s="2" t="s">
        <v>131</v>
      </c>
      <c r="C132" s="45">
        <v>6736000</v>
      </c>
      <c r="E132" s="84" t="s">
        <v>80</v>
      </c>
    </row>
    <row r="133" spans="1:11" x14ac:dyDescent="0.3">
      <c r="A133" s="2"/>
      <c r="B133" s="148" t="s">
        <v>69</v>
      </c>
      <c r="C133" s="178">
        <f>SUM(C129:C132)</f>
        <v>8758000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8758000</v>
      </c>
      <c r="C137" s="88">
        <f>B137/1000</f>
        <v>8758</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461995</v>
      </c>
      <c r="C142" s="84" t="s">
        <v>144</v>
      </c>
      <c r="D142" s="125"/>
    </row>
    <row r="143" spans="1:11" x14ac:dyDescent="0.3">
      <c r="A143" s="142" t="s">
        <v>145</v>
      </c>
      <c r="B143" s="143">
        <v>512063</v>
      </c>
      <c r="C143" s="84" t="s">
        <v>144</v>
      </c>
      <c r="D143" s="125"/>
    </row>
    <row r="144" spans="1:11" x14ac:dyDescent="0.3">
      <c r="A144" s="142" t="s">
        <v>146</v>
      </c>
      <c r="B144" s="143">
        <v>37408</v>
      </c>
      <c r="C144" s="84" t="s">
        <v>144</v>
      </c>
      <c r="D144" s="125"/>
      <c r="F144" s="144"/>
    </row>
    <row r="145" spans="1:6" x14ac:dyDescent="0.3">
      <c r="A145" s="181" t="s">
        <v>147</v>
      </c>
      <c r="B145" s="199">
        <f>SUM(B142:B144)</f>
        <v>1011466</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+'Aug 2015'!C153</f>
        <v>25627274</v>
      </c>
      <c r="C153" s="124">
        <v>26521508</v>
      </c>
      <c r="D153" s="144">
        <f>C153-B153</f>
        <v>894234</v>
      </c>
      <c r="E153" s="125"/>
      <c r="F153" s="144"/>
    </row>
    <row r="154" spans="1:6" ht="15.6" x14ac:dyDescent="0.3">
      <c r="A154" s="145"/>
      <c r="B154" s="125"/>
      <c r="C154" s="84" t="s">
        <v>144</v>
      </c>
      <c r="D154" s="100">
        <f>SUM(D153)</f>
        <v>894234</v>
      </c>
      <c r="E154" s="193" t="s">
        <v>177</v>
      </c>
      <c r="F154" s="144"/>
    </row>
    <row r="155" spans="1:6" x14ac:dyDescent="0.3">
      <c r="A155" s="142" t="s">
        <v>156</v>
      </c>
      <c r="B155" s="185" t="s">
        <v>153</v>
      </c>
      <c r="C155" s="186" t="s">
        <v>154</v>
      </c>
      <c r="D155" s="185" t="s">
        <v>155</v>
      </c>
      <c r="F155" s="144"/>
    </row>
    <row r="156" spans="1:6" x14ac:dyDescent="0.3">
      <c r="A156" s="145"/>
      <c r="B156" s="124">
        <f>+'Aug 2015'!C156</f>
        <v>4497625</v>
      </c>
      <c r="C156" s="124">
        <v>4704817</v>
      </c>
      <c r="D156" s="144">
        <f>C156-B156</f>
        <v>207192</v>
      </c>
      <c r="E156" s="125"/>
      <c r="F156" s="144"/>
    </row>
    <row r="157" spans="1:6" x14ac:dyDescent="0.3">
      <c r="A157" s="145"/>
      <c r="B157" s="125"/>
      <c r="C157" s="84" t="s">
        <v>144</v>
      </c>
      <c r="D157" s="100">
        <f>D156</f>
        <v>207192</v>
      </c>
      <c r="E157" s="125"/>
      <c r="F157" s="144"/>
    </row>
    <row r="158" spans="1:6" x14ac:dyDescent="0.3">
      <c r="A158" s="142" t="s">
        <v>270</v>
      </c>
      <c r="B158" s="185" t="s">
        <v>153</v>
      </c>
      <c r="C158" s="186" t="s">
        <v>154</v>
      </c>
      <c r="D158" s="185" t="s">
        <v>155</v>
      </c>
      <c r="E158" s="125"/>
      <c r="F158" s="144"/>
    </row>
    <row r="159" spans="1:6" x14ac:dyDescent="0.3">
      <c r="A159" s="145"/>
      <c r="B159" s="124">
        <f>+'Aug 2015'!C159</f>
        <v>5177100</v>
      </c>
      <c r="C159" s="124">
        <v>5179291.5</v>
      </c>
      <c r="D159" s="144">
        <f>C159-B159</f>
        <v>2191.5</v>
      </c>
      <c r="E159" s="125"/>
      <c r="F159" s="144"/>
    </row>
    <row r="160" spans="1:6" x14ac:dyDescent="0.3">
      <c r="A160" s="145"/>
      <c r="B160" s="125"/>
      <c r="C160" s="84" t="s">
        <v>144</v>
      </c>
      <c r="D160" s="100">
        <f>D159</f>
        <v>2191.5</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380">
        <f>D157+D154+D160</f>
        <v>1103617.5</v>
      </c>
      <c r="C163" s="84" t="s">
        <v>144</v>
      </c>
      <c r="D163" s="125"/>
      <c r="F163" s="144"/>
    </row>
    <row r="164" spans="1:11" x14ac:dyDescent="0.3">
      <c r="F164" s="144"/>
    </row>
    <row r="165" spans="1:11" x14ac:dyDescent="0.3">
      <c r="A165" s="188" t="s">
        <v>158</v>
      </c>
      <c r="B165" s="207">
        <f>B145+B150+B163</f>
        <v>2115083.5</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12466000</v>
      </c>
      <c r="C170" s="88">
        <f>B170/1000</f>
        <v>12466</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4 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 sqref="C74" name="Month_1"/>
    <protectedRange sqref="B85" name="WATER USAGE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6" fitToHeight="2" orientation="portrait" r:id="rId1"/>
  <rowBreaks count="1" manualBreakCount="1">
    <brk id="94" max="16383"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L176"/>
  <sheetViews>
    <sheetView topLeftCell="A25" zoomScale="80" zoomScaleNormal="80" workbookViewId="0">
      <selection activeCell="B7" sqref="B7"/>
    </sheetView>
  </sheetViews>
  <sheetFormatPr defaultColWidth="8.88671875" defaultRowHeight="14.4" x14ac:dyDescent="0.3"/>
  <cols>
    <col min="1" max="1" width="23.33203125" style="84" customWidth="1"/>
    <col min="2" max="2" width="17.5546875" style="84" customWidth="1"/>
    <col min="3" max="3" width="17.6640625" style="84" customWidth="1"/>
    <col min="4" max="4" width="12.6640625" style="84" customWidth="1"/>
    <col min="5" max="5" width="15.88671875" style="84" customWidth="1"/>
    <col min="6" max="6" width="26" style="84" customWidth="1"/>
    <col min="7" max="7" width="13.88671875" style="84" customWidth="1"/>
    <col min="8" max="8" width="20.44140625" style="84" customWidth="1"/>
    <col min="9" max="9" width="8.88671875" style="84"/>
    <col min="10" max="10" width="9.332031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314</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6"/>
      <c r="E8" s="381">
        <f>+C47</f>
        <v>799</v>
      </c>
      <c r="F8" s="112" t="s">
        <v>174</v>
      </c>
      <c r="G8" s="33">
        <v>4530.03</v>
      </c>
      <c r="H8" s="113" t="s">
        <v>15</v>
      </c>
      <c r="I8" s="113"/>
      <c r="J8" s="114">
        <f>E8*0.9756</f>
        <v>779.50440000000003</v>
      </c>
    </row>
    <row r="9" spans="1:11" ht="15.6" x14ac:dyDescent="0.3">
      <c r="A9" s="153" t="s">
        <v>16</v>
      </c>
      <c r="B9" s="115" t="s">
        <v>17</v>
      </c>
      <c r="C9" s="115" t="s">
        <v>13</v>
      </c>
      <c r="D9" s="26"/>
      <c r="E9" s="382">
        <f>+C50</f>
        <v>0</v>
      </c>
      <c r="F9" s="113"/>
      <c r="G9" s="34">
        <v>1064.28</v>
      </c>
      <c r="H9" s="84" t="s">
        <v>18</v>
      </c>
    </row>
    <row r="10" spans="1:11" ht="15.6" x14ac:dyDescent="0.3">
      <c r="A10" s="153" t="s">
        <v>19</v>
      </c>
      <c r="B10" s="115" t="s">
        <v>17</v>
      </c>
      <c r="C10" s="115" t="s">
        <v>13</v>
      </c>
      <c r="D10" s="26"/>
      <c r="E10" s="382">
        <f>+C51</f>
        <v>41805</v>
      </c>
      <c r="F10" s="113"/>
      <c r="G10" s="34">
        <v>161087.79999999999</v>
      </c>
      <c r="H10" s="84" t="s">
        <v>20</v>
      </c>
    </row>
    <row r="11" spans="1:11" ht="15.6" x14ac:dyDescent="0.3">
      <c r="A11" s="153" t="s">
        <v>21</v>
      </c>
      <c r="B11" s="115" t="s">
        <v>17</v>
      </c>
      <c r="C11" s="115" t="s">
        <v>13</v>
      </c>
      <c r="D11" s="26"/>
      <c r="E11" s="382">
        <f>+C52</f>
        <v>1436</v>
      </c>
      <c r="F11" s="113"/>
      <c r="G11" s="34">
        <v>6561.08</v>
      </c>
      <c r="H11" s="84" t="s">
        <v>22</v>
      </c>
    </row>
    <row r="12" spans="1:11" ht="15.6" x14ac:dyDescent="0.3">
      <c r="A12" s="153" t="s">
        <v>23</v>
      </c>
      <c r="B12" s="115" t="s">
        <v>17</v>
      </c>
      <c r="C12" s="115" t="s">
        <v>13</v>
      </c>
      <c r="D12" s="26"/>
      <c r="E12" s="381">
        <f>+C53</f>
        <v>43241</v>
      </c>
      <c r="F12" s="113" t="s">
        <v>24</v>
      </c>
      <c r="G12" s="2"/>
    </row>
    <row r="13" spans="1:11" ht="15.6" x14ac:dyDescent="0.3">
      <c r="A13" s="152" t="s">
        <v>25</v>
      </c>
      <c r="B13" s="112" t="s">
        <v>26</v>
      </c>
      <c r="C13" s="112" t="s">
        <v>27</v>
      </c>
      <c r="D13" s="26"/>
      <c r="E13" s="382">
        <f>+E63</f>
        <v>451840</v>
      </c>
      <c r="F13" s="113" t="s">
        <v>28</v>
      </c>
      <c r="G13" s="154"/>
      <c r="H13" s="19"/>
      <c r="I13" s="19"/>
      <c r="J13" s="20"/>
      <c r="K13" s="20"/>
    </row>
    <row r="14" spans="1:11" ht="15.6" x14ac:dyDescent="0.3">
      <c r="A14" s="152" t="s">
        <v>29</v>
      </c>
      <c r="B14" s="112" t="s">
        <v>26</v>
      </c>
      <c r="C14" s="112" t="s">
        <v>30</v>
      </c>
      <c r="D14" s="26"/>
      <c r="E14" s="382">
        <f>+B150</f>
        <v>0</v>
      </c>
      <c r="F14" s="113" t="s">
        <v>31</v>
      </c>
      <c r="G14" s="21"/>
      <c r="H14" s="113"/>
      <c r="I14" s="113"/>
      <c r="J14" s="116"/>
      <c r="K14" s="116"/>
    </row>
    <row r="15" spans="1:11" ht="15.6" x14ac:dyDescent="0.3">
      <c r="A15" s="152" t="s">
        <v>32</v>
      </c>
      <c r="B15" s="112" t="s">
        <v>26</v>
      </c>
      <c r="C15" s="112" t="s">
        <v>33</v>
      </c>
      <c r="D15" s="26"/>
      <c r="E15" s="382">
        <f>+B145</f>
        <v>691450</v>
      </c>
      <c r="F15" s="113" t="s">
        <v>31</v>
      </c>
      <c r="G15" s="21"/>
      <c r="H15" s="113"/>
      <c r="I15" s="113"/>
      <c r="J15" s="116"/>
      <c r="K15" s="116"/>
    </row>
    <row r="16" spans="1:11" ht="15.6" x14ac:dyDescent="0.3">
      <c r="A16" s="152" t="s">
        <v>34</v>
      </c>
      <c r="B16" s="112" t="s">
        <v>26</v>
      </c>
      <c r="C16" s="112" t="s">
        <v>35</v>
      </c>
      <c r="D16" s="26"/>
      <c r="E16" s="382">
        <f>+C137</f>
        <v>13238</v>
      </c>
      <c r="F16" s="113" t="s">
        <v>36</v>
      </c>
      <c r="G16" s="23" t="s">
        <v>37</v>
      </c>
      <c r="H16" s="117"/>
      <c r="I16" s="113"/>
      <c r="J16" s="113"/>
      <c r="K16" s="113"/>
    </row>
    <row r="17" spans="1:12" ht="15.6" x14ac:dyDescent="0.3">
      <c r="A17" s="152" t="s">
        <v>38</v>
      </c>
      <c r="B17" s="112" t="s">
        <v>26</v>
      </c>
      <c r="C17" s="112" t="s">
        <v>27</v>
      </c>
      <c r="D17" s="26"/>
      <c r="E17" s="381">
        <f>+C60</f>
        <v>7841712</v>
      </c>
      <c r="F17" s="113"/>
      <c r="G17" s="155">
        <v>435387.75</v>
      </c>
      <c r="H17" s="113" t="s">
        <v>39</v>
      </c>
      <c r="I17" s="156"/>
      <c r="J17" s="156"/>
      <c r="K17" s="156"/>
    </row>
    <row r="18" spans="1:12" ht="15.6" x14ac:dyDescent="0.3">
      <c r="A18" s="152" t="s">
        <v>40</v>
      </c>
      <c r="B18" s="112" t="s">
        <v>41</v>
      </c>
      <c r="C18" s="112" t="s">
        <v>42</v>
      </c>
      <c r="D18" s="26"/>
      <c r="E18" s="381">
        <f>+C87</f>
        <v>118760</v>
      </c>
      <c r="F18" s="113" t="s">
        <v>43</v>
      </c>
      <c r="G18" s="33">
        <v>1778.88</v>
      </c>
      <c r="H18" s="113" t="s">
        <v>44</v>
      </c>
      <c r="I18" s="113"/>
      <c r="J18" s="113"/>
      <c r="K18" s="113"/>
    </row>
    <row r="19" spans="1:12" ht="15.6" x14ac:dyDescent="0.3">
      <c r="A19" s="84" t="s">
        <v>45</v>
      </c>
      <c r="B19" s="115" t="s">
        <v>41</v>
      </c>
      <c r="C19" s="115" t="s">
        <v>42</v>
      </c>
      <c r="D19" s="381">
        <f>+D91</f>
        <v>32505312</v>
      </c>
      <c r="E19" s="26"/>
      <c r="G19" s="2"/>
    </row>
    <row r="20" spans="1:12" ht="15.6" x14ac:dyDescent="0.3">
      <c r="A20" s="84" t="s">
        <v>46</v>
      </c>
      <c r="B20" s="115" t="s">
        <v>41</v>
      </c>
      <c r="C20" s="115" t="s">
        <v>42</v>
      </c>
      <c r="D20" s="26"/>
      <c r="E20" s="381">
        <f>+B107</f>
        <v>1882.45</v>
      </c>
      <c r="G20" s="2"/>
    </row>
    <row r="21" spans="1:12" ht="15.6" x14ac:dyDescent="0.3">
      <c r="A21" s="84" t="s">
        <v>47</v>
      </c>
      <c r="B21" s="115" t="s">
        <v>41</v>
      </c>
      <c r="C21" s="115" t="s">
        <v>42</v>
      </c>
      <c r="D21" s="26"/>
      <c r="E21" s="381">
        <f>+B108</f>
        <v>73.108000000000004</v>
      </c>
      <c r="G21" s="2"/>
    </row>
    <row r="22" spans="1:12" ht="15.6" x14ac:dyDescent="0.3">
      <c r="A22" s="152" t="s">
        <v>48</v>
      </c>
      <c r="B22" s="112" t="s">
        <v>49</v>
      </c>
      <c r="C22" s="112" t="s">
        <v>50</v>
      </c>
      <c r="D22" s="26"/>
      <c r="E22" s="381">
        <f>+C136</f>
        <v>0</v>
      </c>
      <c r="F22" s="113" t="s">
        <v>36</v>
      </c>
      <c r="G22" s="21" t="s">
        <v>51</v>
      </c>
      <c r="H22" s="113"/>
      <c r="I22" s="113"/>
      <c r="J22" s="113"/>
      <c r="K22" s="113"/>
    </row>
    <row r="23" spans="1:12" ht="15.6" x14ac:dyDescent="0.3">
      <c r="A23" s="152" t="s">
        <v>52</v>
      </c>
      <c r="B23" s="112" t="s">
        <v>49</v>
      </c>
      <c r="C23" s="112" t="s">
        <v>50</v>
      </c>
      <c r="D23" s="26"/>
      <c r="E23" s="381">
        <f>+C137</f>
        <v>13238</v>
      </c>
      <c r="F23" s="113" t="s">
        <v>36</v>
      </c>
      <c r="G23" s="21" t="s">
        <v>37</v>
      </c>
      <c r="H23" s="113"/>
      <c r="I23" s="113"/>
      <c r="J23" s="113"/>
      <c r="K23" s="113"/>
    </row>
    <row r="24" spans="1:12" ht="15.6" x14ac:dyDescent="0.3">
      <c r="A24" s="152" t="s">
        <v>53</v>
      </c>
      <c r="B24" s="112" t="s">
        <v>54</v>
      </c>
      <c r="C24" s="112" t="s">
        <v>55</v>
      </c>
      <c r="D24" s="26"/>
      <c r="E24" s="381">
        <f>+B165</f>
        <v>2529164.5</v>
      </c>
      <c r="F24" s="113" t="s">
        <v>31</v>
      </c>
      <c r="G24" s="21"/>
      <c r="H24" s="113"/>
      <c r="I24" s="113"/>
      <c r="J24" s="113"/>
      <c r="K24" s="113"/>
    </row>
    <row r="25" spans="1:12" ht="15.6" x14ac:dyDescent="0.3">
      <c r="A25" s="152" t="s">
        <v>56</v>
      </c>
      <c r="B25" s="112" t="s">
        <v>57</v>
      </c>
      <c r="C25" s="112" t="s">
        <v>42</v>
      </c>
      <c r="D25" s="26"/>
      <c r="E25" s="381">
        <f>+C170</f>
        <v>11394</v>
      </c>
      <c r="F25" s="113" t="s">
        <v>58</v>
      </c>
      <c r="G25" s="33">
        <v>29382.720000000001</v>
      </c>
      <c r="H25" s="113" t="s">
        <v>44</v>
      </c>
      <c r="I25" s="113"/>
      <c r="J25" s="113"/>
      <c r="K25" s="113"/>
      <c r="L25" s="84">
        <f>2629949.0467-2529164.5</f>
        <v>100784.54669999983</v>
      </c>
    </row>
    <row r="26" spans="1:12" ht="15.6" x14ac:dyDescent="0.3">
      <c r="A26" s="152" t="s">
        <v>165</v>
      </c>
      <c r="B26" s="112" t="s">
        <v>57</v>
      </c>
      <c r="C26" s="112" t="s">
        <v>42</v>
      </c>
      <c r="D26" s="26"/>
      <c r="E26" s="381">
        <f>+B174</f>
        <v>2330</v>
      </c>
      <c r="G26" s="2" t="s">
        <v>183</v>
      </c>
    </row>
    <row r="27" spans="1:12" ht="15.6" x14ac:dyDescent="0.3">
      <c r="A27" s="152" t="s">
        <v>186</v>
      </c>
      <c r="B27" s="112" t="s">
        <v>26</v>
      </c>
      <c r="C27" s="112" t="s">
        <v>27</v>
      </c>
      <c r="D27" s="381">
        <f>+E76</f>
        <v>11183387.699999999</v>
      </c>
      <c r="E27" s="209"/>
      <c r="G27" s="2"/>
    </row>
    <row r="28" spans="1:12" ht="15.6" x14ac:dyDescent="0.3">
      <c r="A28" s="152" t="s">
        <v>302</v>
      </c>
      <c r="B28" s="112" t="s">
        <v>41</v>
      </c>
      <c r="C28" s="112" t="s">
        <v>303</v>
      </c>
      <c r="D28" s="381">
        <f>+C117</f>
        <v>5532</v>
      </c>
      <c r="E28" s="209"/>
      <c r="G28" s="2"/>
    </row>
    <row r="29" spans="1:12" ht="15.6" x14ac:dyDescent="0.3">
      <c r="A29" s="152" t="s">
        <v>125</v>
      </c>
      <c r="B29" s="112"/>
      <c r="C29" s="112"/>
      <c r="D29" s="381">
        <f>+C122</f>
        <v>33467.079198897642</v>
      </c>
      <c r="E29" s="209"/>
      <c r="G29" s="2"/>
    </row>
    <row r="30" spans="1:12" ht="15.6" x14ac:dyDescent="0.3">
      <c r="A30" s="152" t="s">
        <v>127</v>
      </c>
      <c r="B30" s="112"/>
      <c r="C30" s="112"/>
      <c r="D30" s="381">
        <f>+C123</f>
        <v>5181.4342783085931</v>
      </c>
      <c r="E30" s="209"/>
      <c r="G30" s="2"/>
    </row>
    <row r="31" spans="1:12" ht="15.6" x14ac:dyDescent="0.3">
      <c r="A31" s="152" t="s">
        <v>128</v>
      </c>
      <c r="B31" s="112"/>
      <c r="C31" s="112"/>
      <c r="D31" s="381">
        <f>+C124</f>
        <v>15969.102868126882</v>
      </c>
      <c r="E31" s="209"/>
      <c r="G31" s="2"/>
    </row>
    <row r="32" spans="1:12" ht="15.6" x14ac:dyDescent="0.3">
      <c r="A32" s="152"/>
      <c r="B32" s="112"/>
      <c r="C32" s="112"/>
      <c r="D32" s="210"/>
      <c r="E32" s="209"/>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168713.15999999997</v>
      </c>
      <c r="F37" s="121"/>
    </row>
    <row r="38" spans="1:11" x14ac:dyDescent="0.3">
      <c r="A38" s="119" t="s">
        <v>63</v>
      </c>
      <c r="B38" s="119" t="s">
        <v>63</v>
      </c>
      <c r="C38" s="119"/>
      <c r="D38" s="119"/>
      <c r="E38" s="122">
        <f>+G8</f>
        <v>4530.03</v>
      </c>
      <c r="F38" s="121"/>
    </row>
    <row r="39" spans="1:11" x14ac:dyDescent="0.3">
      <c r="A39" s="119"/>
      <c r="B39" s="119" t="s">
        <v>64</v>
      </c>
      <c r="C39" s="119"/>
      <c r="D39" s="119"/>
      <c r="E39" s="120">
        <f>SUM(E37:E38)</f>
        <v>173243.18999999997</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799</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41805</v>
      </c>
    </row>
    <row r="52" spans="1:11" x14ac:dyDescent="0.3">
      <c r="A52" s="2" t="s">
        <v>74</v>
      </c>
      <c r="B52" s="2" t="s">
        <v>13</v>
      </c>
      <c r="C52" s="45">
        <v>1436</v>
      </c>
    </row>
    <row r="53" spans="1:11" x14ac:dyDescent="0.3">
      <c r="A53" s="2"/>
      <c r="B53" s="2" t="s">
        <v>69</v>
      </c>
      <c r="C53" s="38">
        <f>SUM(C50:C52)</f>
        <v>43241</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x14ac:dyDescent="0.3">
      <c r="A58" s="146" t="s">
        <v>78</v>
      </c>
      <c r="B58" s="124">
        <f>+C58/1000</f>
        <v>3150.94</v>
      </c>
      <c r="C58" s="40">
        <v>3150940</v>
      </c>
      <c r="D58" s="84" t="s">
        <v>79</v>
      </c>
      <c r="E58" s="41"/>
      <c r="F58" s="458" t="s">
        <v>268</v>
      </c>
      <c r="G58" s="458"/>
      <c r="H58" s="458"/>
      <c r="I58" s="84">
        <f>51063244-47912304</f>
        <v>3150940</v>
      </c>
    </row>
    <row r="59" spans="1:11" x14ac:dyDescent="0.3">
      <c r="A59" s="146" t="s">
        <v>81</v>
      </c>
      <c r="B59" s="125"/>
      <c r="C59" s="34">
        <v>4690772</v>
      </c>
      <c r="D59" s="84" t="s">
        <v>79</v>
      </c>
      <c r="E59" s="41"/>
      <c r="F59" s="84" t="s">
        <v>82</v>
      </c>
    </row>
    <row r="60" spans="1:11" x14ac:dyDescent="0.3">
      <c r="A60" s="146" t="s">
        <v>83</v>
      </c>
      <c r="C60" s="40">
        <f>SUM(C58:C59)</f>
        <v>7841712</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+'July 2015'!C63</f>
        <v>279842464</v>
      </c>
      <c r="C63" s="126">
        <v>280294304</v>
      </c>
      <c r="D63" s="84" t="s">
        <v>79</v>
      </c>
      <c r="E63" s="160">
        <f>+C63-B63</f>
        <v>451840</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t="s">
        <v>231</v>
      </c>
      <c r="D68" s="125"/>
      <c r="E68" s="191">
        <f>+'July 2015'!E69</f>
        <v>11067067</v>
      </c>
    </row>
    <row r="69" spans="1:11" x14ac:dyDescent="0.3">
      <c r="A69" s="457" t="s">
        <v>167</v>
      </c>
      <c r="B69" s="457"/>
      <c r="C69" s="127" t="s">
        <v>232</v>
      </c>
      <c r="D69" s="125"/>
      <c r="E69" s="128">
        <v>11190385</v>
      </c>
      <c r="F69" s="84" t="s">
        <v>184</v>
      </c>
    </row>
    <row r="70" spans="1:11" x14ac:dyDescent="0.3">
      <c r="A70" s="457" t="s">
        <v>168</v>
      </c>
      <c r="B70" s="457"/>
      <c r="C70" s="127" t="s">
        <v>232</v>
      </c>
      <c r="D70" s="125"/>
      <c r="E70" s="162">
        <f>+E69-E68</f>
        <v>123318</v>
      </c>
    </row>
    <row r="71" spans="1:11" x14ac:dyDescent="0.3">
      <c r="A71" s="457" t="s">
        <v>169</v>
      </c>
      <c r="B71" s="457"/>
      <c r="C71" s="127" t="s">
        <v>231</v>
      </c>
      <c r="D71" s="125"/>
      <c r="E71" s="192">
        <f>+'July 2015'!E72</f>
        <v>231974.9</v>
      </c>
    </row>
    <row r="72" spans="1:11" x14ac:dyDescent="0.3">
      <c r="A72" s="457" t="s">
        <v>170</v>
      </c>
      <c r="B72" s="457"/>
      <c r="C72" s="127" t="s">
        <v>232</v>
      </c>
      <c r="D72" s="125"/>
      <c r="E72" s="128">
        <v>238972.2</v>
      </c>
      <c r="F72" s="84" t="s">
        <v>185</v>
      </c>
    </row>
    <row r="73" spans="1:11" x14ac:dyDescent="0.3">
      <c r="A73" s="457" t="s">
        <v>173</v>
      </c>
      <c r="B73" s="457"/>
      <c r="C73" s="127" t="s">
        <v>232</v>
      </c>
      <c r="D73" s="125"/>
      <c r="E73" s="162">
        <f>+E72-E71</f>
        <v>6997.3000000000175</v>
      </c>
    </row>
    <row r="74" spans="1:11" x14ac:dyDescent="0.3">
      <c r="A74" s="448" t="s">
        <v>91</v>
      </c>
      <c r="B74" s="448"/>
      <c r="C74" s="164" t="s">
        <v>232</v>
      </c>
      <c r="D74" s="125"/>
      <c r="E74" s="165">
        <f>+E70-E73</f>
        <v>116320.69999999998</v>
      </c>
    </row>
    <row r="75" spans="1:11" x14ac:dyDescent="0.3">
      <c r="A75" s="127"/>
      <c r="B75" s="127"/>
      <c r="C75" s="127"/>
      <c r="D75" s="125"/>
      <c r="E75" s="125"/>
    </row>
    <row r="76" spans="1:11" x14ac:dyDescent="0.3">
      <c r="A76" s="449" t="s">
        <v>92</v>
      </c>
      <c r="B76" s="449"/>
      <c r="C76" s="166" t="str">
        <f>+C74</f>
        <v>Aug</v>
      </c>
      <c r="D76" s="167"/>
      <c r="E76" s="168">
        <f>+E68+E74</f>
        <v>11183387.699999999</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30" customHeight="1" x14ac:dyDescent="0.3">
      <c r="A81" s="84" t="s">
        <v>96</v>
      </c>
      <c r="B81" s="129"/>
      <c r="E81" s="458" t="s">
        <v>97</v>
      </c>
      <c r="F81" s="458"/>
      <c r="G81" s="458"/>
      <c r="H81" s="458"/>
      <c r="I81" s="458"/>
      <c r="J81" s="458"/>
    </row>
    <row r="82" spans="1:10" x14ac:dyDescent="0.3">
      <c r="A82" s="130" t="s">
        <v>98</v>
      </c>
      <c r="B82" s="131">
        <v>39572000</v>
      </c>
      <c r="C82" s="84">
        <f>B82/1000</f>
        <v>39572</v>
      </c>
    </row>
    <row r="83" spans="1:10" x14ac:dyDescent="0.3">
      <c r="A83" s="130" t="s">
        <v>99</v>
      </c>
      <c r="B83" s="131"/>
      <c r="C83" s="84">
        <f>B83/1000</f>
        <v>0</v>
      </c>
    </row>
    <row r="84" spans="1:10" x14ac:dyDescent="0.3">
      <c r="A84" s="130" t="s">
        <v>100</v>
      </c>
      <c r="B84" s="131"/>
      <c r="C84" s="84">
        <f>B84/1000</f>
        <v>0</v>
      </c>
      <c r="D84" s="84">
        <v>131737000</v>
      </c>
    </row>
    <row r="85" spans="1:10" x14ac:dyDescent="0.3">
      <c r="A85" s="130" t="s">
        <v>101</v>
      </c>
      <c r="B85" s="432">
        <f>(105332-26850)*1000</f>
        <v>78482000</v>
      </c>
      <c r="C85" s="84">
        <f>B85/1000</f>
        <v>78482</v>
      </c>
    </row>
    <row r="86" spans="1:10" x14ac:dyDescent="0.3">
      <c r="A86" s="84" t="s">
        <v>102</v>
      </c>
      <c r="B86" s="75">
        <v>706000</v>
      </c>
      <c r="C86" s="132">
        <f t="shared" ref="C86" si="0">B86/1000</f>
        <v>706</v>
      </c>
      <c r="F86" s="84" t="s">
        <v>103</v>
      </c>
    </row>
    <row r="87" spans="1:10" x14ac:dyDescent="0.3">
      <c r="A87" s="84" t="s">
        <v>104</v>
      </c>
      <c r="B87" s="170">
        <f>SUM(B82:B86)</f>
        <v>118760000</v>
      </c>
      <c r="C87" s="133">
        <f>SUM(C81:C86)</f>
        <v>118760</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171">
        <v>2274310</v>
      </c>
      <c r="C91" s="171">
        <f>+'July 2015'!D91</f>
        <v>30231002</v>
      </c>
      <c r="D91" s="100">
        <f>+C91+B91</f>
        <v>32505312</v>
      </c>
      <c r="E91" s="84" t="s">
        <v>108</v>
      </c>
    </row>
    <row r="92" spans="1:10" x14ac:dyDescent="0.3">
      <c r="A92" s="84" t="s">
        <v>109</v>
      </c>
      <c r="B92" s="172" t="s">
        <v>110</v>
      </c>
      <c r="C92" s="172" t="s">
        <v>111</v>
      </c>
      <c r="D92" s="173" t="s">
        <v>112</v>
      </c>
    </row>
    <row r="93" spans="1:10" x14ac:dyDescent="0.3">
      <c r="A93" s="84" t="s">
        <v>45</v>
      </c>
      <c r="B93" s="124">
        <f>+'July 2015'!C93</f>
        <v>8382472</v>
      </c>
      <c r="C93" s="124">
        <v>8610523</v>
      </c>
      <c r="D93" s="190">
        <f>+C93-B93</f>
        <v>228051</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f>+'July 2015'!C96</f>
        <v>10929282</v>
      </c>
      <c r="C96" s="77">
        <v>11390332</v>
      </c>
      <c r="D96" s="134">
        <f>C96-B96</f>
        <v>461050</v>
      </c>
      <c r="E96" s="63"/>
    </row>
    <row r="97" spans="1:6" x14ac:dyDescent="0.3">
      <c r="A97" s="84" t="s">
        <v>117</v>
      </c>
      <c r="B97" s="78">
        <f>+'July 2015'!C97</f>
        <v>12315131</v>
      </c>
      <c r="C97" s="78">
        <v>13671151</v>
      </c>
      <c r="D97" s="134">
        <f t="shared" ref="D97:D99" si="1">C97-B97</f>
        <v>1356020</v>
      </c>
      <c r="E97" s="63"/>
      <c r="F97" s="86"/>
    </row>
    <row r="98" spans="1:6" x14ac:dyDescent="0.3">
      <c r="A98" s="84" t="s">
        <v>118</v>
      </c>
      <c r="B98" s="78">
        <f>+'July 2015'!C98</f>
        <v>7237239</v>
      </c>
      <c r="C98" s="78">
        <v>7249250</v>
      </c>
      <c r="D98" s="134">
        <f t="shared" si="1"/>
        <v>12011</v>
      </c>
      <c r="E98" s="63"/>
      <c r="F98" s="86"/>
    </row>
    <row r="99" spans="1:6" ht="15" thickBot="1" x14ac:dyDescent="0.35">
      <c r="A99" s="84" t="s">
        <v>119</v>
      </c>
      <c r="B99" s="79">
        <f>+'July 2015'!C99</f>
        <v>1457705</v>
      </c>
      <c r="C99" s="79">
        <v>1511074</v>
      </c>
      <c r="D99" s="134">
        <f t="shared" si="1"/>
        <v>53369</v>
      </c>
      <c r="E99" s="63"/>
      <c r="F99" s="86"/>
    </row>
    <row r="100" spans="1:6" x14ac:dyDescent="0.3">
      <c r="B100" s="134"/>
      <c r="C100" s="64"/>
      <c r="D100" s="174">
        <f>SUM(D96:D99)</f>
        <v>1882450</v>
      </c>
      <c r="E100" s="175"/>
      <c r="F100" s="158"/>
    </row>
    <row r="101" spans="1:6" ht="15" thickBot="1" x14ac:dyDescent="0.35">
      <c r="B101" s="146" t="s">
        <v>114</v>
      </c>
      <c r="C101" s="146" t="s">
        <v>115</v>
      </c>
      <c r="D101" s="134"/>
    </row>
    <row r="102" spans="1:6" x14ac:dyDescent="0.3">
      <c r="A102" s="84" t="s">
        <v>120</v>
      </c>
      <c r="B102" s="80">
        <f>+'July 2015'!C102</f>
        <v>20529880</v>
      </c>
      <c r="C102" s="80">
        <v>20598988</v>
      </c>
      <c r="D102" s="2">
        <f>C102-B102</f>
        <v>69108</v>
      </c>
    </row>
    <row r="103" spans="1:6" ht="15" thickBot="1" x14ac:dyDescent="0.35">
      <c r="A103" s="84" t="s">
        <v>121</v>
      </c>
      <c r="B103" s="81">
        <f>+'July 2015'!C103</f>
        <v>646401</v>
      </c>
      <c r="C103" s="81">
        <v>650401</v>
      </c>
      <c r="D103" s="2">
        <f>C103-B103</f>
        <v>4000</v>
      </c>
    </row>
    <row r="104" spans="1:6" x14ac:dyDescent="0.3">
      <c r="D104" s="148">
        <f>SUM(D102:D103)</f>
        <v>73108</v>
      </c>
    </row>
    <row r="105" spans="1:6" x14ac:dyDescent="0.3">
      <c r="D105" s="2"/>
    </row>
    <row r="106" spans="1:6" x14ac:dyDescent="0.3">
      <c r="B106" s="84" t="s">
        <v>42</v>
      </c>
      <c r="D106" s="2"/>
    </row>
    <row r="107" spans="1:6" x14ac:dyDescent="0.3">
      <c r="A107" s="84" t="s">
        <v>46</v>
      </c>
      <c r="B107" s="135">
        <f>D100/1000</f>
        <v>1882.45</v>
      </c>
      <c r="D107" s="2"/>
    </row>
    <row r="108" spans="1:6" x14ac:dyDescent="0.3">
      <c r="A108" s="84" t="s">
        <v>47</v>
      </c>
      <c r="B108" s="136">
        <f>D104/1000</f>
        <v>73.108000000000004</v>
      </c>
      <c r="D108" s="2"/>
    </row>
    <row r="109" spans="1:6" x14ac:dyDescent="0.3">
      <c r="B109" s="136"/>
      <c r="D109" s="2"/>
    </row>
    <row r="110" spans="1:6" x14ac:dyDescent="0.3">
      <c r="A110" s="84" t="s">
        <v>293</v>
      </c>
      <c r="B110" s="136"/>
      <c r="C110" s="84">
        <f>+'July 2015'!C111</f>
        <v>54353</v>
      </c>
      <c r="D110" s="2" t="s">
        <v>301</v>
      </c>
    </row>
    <row r="111" spans="1:6" x14ac:dyDescent="0.3">
      <c r="A111" s="84" t="s">
        <v>294</v>
      </c>
      <c r="B111" s="136"/>
      <c r="C111" s="132">
        <v>57500</v>
      </c>
      <c r="D111" s="2" t="s">
        <v>301</v>
      </c>
    </row>
    <row r="112" spans="1:6" x14ac:dyDescent="0.3">
      <c r="A112" s="84" t="s">
        <v>295</v>
      </c>
      <c r="B112" s="136"/>
      <c r="C112" s="339">
        <f>+C111-C110</f>
        <v>3147</v>
      </c>
      <c r="D112" s="2"/>
    </row>
    <row r="113" spans="1:11" x14ac:dyDescent="0.3">
      <c r="A113" s="84" t="s">
        <v>296</v>
      </c>
      <c r="B113" s="136"/>
      <c r="C113" s="370">
        <f>+'July 2015'!C114</f>
        <v>48370</v>
      </c>
      <c r="D113" s="2" t="s">
        <v>301</v>
      </c>
    </row>
    <row r="114" spans="1:11" x14ac:dyDescent="0.3">
      <c r="A114" s="84" t="s">
        <v>297</v>
      </c>
      <c r="B114" s="136"/>
      <c r="C114" s="132">
        <v>50550</v>
      </c>
      <c r="D114" s="2" t="s">
        <v>301</v>
      </c>
    </row>
    <row r="115" spans="1:11" x14ac:dyDescent="0.3">
      <c r="A115" s="84" t="s">
        <v>298</v>
      </c>
      <c r="B115" s="136"/>
      <c r="C115" s="370">
        <f>+C114-C113</f>
        <v>2180</v>
      </c>
      <c r="D115" s="2"/>
    </row>
    <row r="116" spans="1:11" ht="15" thickBot="1" x14ac:dyDescent="0.35">
      <c r="A116" s="84" t="s">
        <v>299</v>
      </c>
      <c r="B116" s="136"/>
      <c r="C116" s="84">
        <f>+C112-C115</f>
        <v>967</v>
      </c>
      <c r="D116" s="2"/>
    </row>
    <row r="117" spans="1:11" ht="15" thickBot="1" x14ac:dyDescent="0.35">
      <c r="A117" s="84" t="s">
        <v>300</v>
      </c>
      <c r="B117" s="136"/>
      <c r="C117" s="433">
        <f>(C110+C116)/10</f>
        <v>5532</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176">
        <f>$C$87*B122</f>
        <v>33467.079198897642</v>
      </c>
      <c r="D122" s="450" t="s">
        <v>176</v>
      </c>
      <c r="E122" s="451"/>
      <c r="F122" s="451"/>
      <c r="G122" s="451"/>
      <c r="H122" s="451"/>
      <c r="I122" s="452"/>
    </row>
    <row r="123" spans="1:11" x14ac:dyDescent="0.3">
      <c r="A123" s="124" t="s">
        <v>127</v>
      </c>
      <c r="B123" s="141">
        <v>4.3629456705191923E-2</v>
      </c>
      <c r="C123" s="177">
        <f>$C$87*B123</f>
        <v>5181.4342783085931</v>
      </c>
      <c r="D123" s="450"/>
      <c r="E123" s="451"/>
      <c r="F123" s="451"/>
      <c r="G123" s="451"/>
      <c r="H123" s="451"/>
      <c r="I123" s="452"/>
    </row>
    <row r="124" spans="1:11" ht="15" thickBot="1" x14ac:dyDescent="0.35">
      <c r="A124" s="124" t="s">
        <v>128</v>
      </c>
      <c r="B124" s="141">
        <v>0.13446533233518762</v>
      </c>
      <c r="C124" s="177">
        <f>$C$87*B124</f>
        <v>15969.102868126882</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0</v>
      </c>
      <c r="E129" s="84" t="s">
        <v>80</v>
      </c>
    </row>
    <row r="130" spans="1:11" x14ac:dyDescent="0.3">
      <c r="A130" s="2" t="s">
        <v>132</v>
      </c>
      <c r="B130" s="2" t="s">
        <v>131</v>
      </c>
      <c r="C130" s="45">
        <v>2000</v>
      </c>
      <c r="E130" s="84" t="s">
        <v>80</v>
      </c>
    </row>
    <row r="131" spans="1:11" x14ac:dyDescent="0.3">
      <c r="A131" s="2" t="s">
        <v>133</v>
      </c>
      <c r="B131" s="2" t="s">
        <v>131</v>
      </c>
      <c r="C131" s="45">
        <v>938000</v>
      </c>
      <c r="E131" s="84" t="s">
        <v>80</v>
      </c>
    </row>
    <row r="132" spans="1:11" x14ac:dyDescent="0.3">
      <c r="A132" s="2" t="s">
        <v>134</v>
      </c>
      <c r="B132" s="2" t="s">
        <v>131</v>
      </c>
      <c r="C132" s="45">
        <v>12298000</v>
      </c>
      <c r="E132" s="84" t="s">
        <v>80</v>
      </c>
    </row>
    <row r="133" spans="1:11" x14ac:dyDescent="0.3">
      <c r="A133" s="2"/>
      <c r="B133" s="148" t="s">
        <v>69</v>
      </c>
      <c r="C133" s="178">
        <f>SUM(C129:C132)</f>
        <v>13238000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13238000</v>
      </c>
      <c r="C137" s="88">
        <f>B137/1000</f>
        <v>13238</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195354</v>
      </c>
      <c r="C142" s="84" t="s">
        <v>144</v>
      </c>
      <c r="D142" s="125"/>
    </row>
    <row r="143" spans="1:11" x14ac:dyDescent="0.3">
      <c r="A143" s="142" t="s">
        <v>145</v>
      </c>
      <c r="B143" s="143">
        <v>443568</v>
      </c>
      <c r="C143" s="84" t="s">
        <v>144</v>
      </c>
      <c r="D143" s="125"/>
    </row>
    <row r="144" spans="1:11" x14ac:dyDescent="0.3">
      <c r="A144" s="142" t="s">
        <v>146</v>
      </c>
      <c r="B144" s="143">
        <v>52528</v>
      </c>
      <c r="C144" s="84" t="s">
        <v>144</v>
      </c>
      <c r="D144" s="125"/>
      <c r="F144" s="144"/>
    </row>
    <row r="145" spans="1:7" x14ac:dyDescent="0.3">
      <c r="A145" s="181" t="s">
        <v>147</v>
      </c>
      <c r="B145" s="199">
        <f>SUM(B142:B144)</f>
        <v>691450</v>
      </c>
      <c r="C145" s="146" t="s">
        <v>144</v>
      </c>
      <c r="D145" s="183"/>
      <c r="F145" s="144"/>
    </row>
    <row r="146" spans="1:7" x14ac:dyDescent="0.3">
      <c r="A146" s="147"/>
      <c r="B146" s="146"/>
      <c r="C146" s="146"/>
      <c r="D146" s="125"/>
      <c r="F146" s="144"/>
    </row>
    <row r="147" spans="1:7" x14ac:dyDescent="0.3">
      <c r="A147" s="169" t="s">
        <v>148</v>
      </c>
      <c r="B147" s="169" t="s">
        <v>141</v>
      </c>
      <c r="C147" s="169" t="s">
        <v>6</v>
      </c>
      <c r="D147" s="125"/>
      <c r="F147" s="144"/>
    </row>
    <row r="148" spans="1:7" x14ac:dyDescent="0.3">
      <c r="A148" s="142" t="s">
        <v>149</v>
      </c>
      <c r="B148" s="124">
        <v>0</v>
      </c>
      <c r="C148" s="84" t="s">
        <v>144</v>
      </c>
      <c r="D148" s="125"/>
      <c r="F148" s="144"/>
    </row>
    <row r="149" spans="1:7" x14ac:dyDescent="0.3">
      <c r="A149" s="142" t="s">
        <v>150</v>
      </c>
      <c r="B149" s="124">
        <v>0</v>
      </c>
      <c r="C149" s="84" t="s">
        <v>144</v>
      </c>
      <c r="D149" s="125"/>
      <c r="F149" s="144"/>
    </row>
    <row r="150" spans="1:7" x14ac:dyDescent="0.3">
      <c r="A150" s="181" t="s">
        <v>147</v>
      </c>
      <c r="B150" s="184">
        <f>SUM(B148:B149)</f>
        <v>0</v>
      </c>
      <c r="D150" s="125"/>
      <c r="F150" s="144"/>
    </row>
    <row r="151" spans="1:7" x14ac:dyDescent="0.3">
      <c r="A151" s="149" t="s">
        <v>151</v>
      </c>
      <c r="B151" s="183" t="s">
        <v>141</v>
      </c>
      <c r="C151" s="183" t="s">
        <v>6</v>
      </c>
      <c r="D151" s="125"/>
      <c r="F151" s="144"/>
    </row>
    <row r="152" spans="1:7" x14ac:dyDescent="0.3">
      <c r="A152" s="142" t="s">
        <v>152</v>
      </c>
      <c r="B152" s="185" t="s">
        <v>153</v>
      </c>
      <c r="C152" s="186" t="s">
        <v>154</v>
      </c>
      <c r="D152" s="185" t="s">
        <v>155</v>
      </c>
      <c r="F152" s="144"/>
    </row>
    <row r="153" spans="1:7" ht="15.6" x14ac:dyDescent="0.3">
      <c r="A153" s="145"/>
      <c r="B153" s="124">
        <f>+'July 2015'!C153</f>
        <v>24601726</v>
      </c>
      <c r="C153" s="124">
        <v>25627274</v>
      </c>
      <c r="D153" s="144">
        <f>C153-B153</f>
        <v>1025548</v>
      </c>
      <c r="E153" s="194"/>
      <c r="F153" s="195"/>
      <c r="G153" s="194"/>
    </row>
    <row r="154" spans="1:7" x14ac:dyDescent="0.3">
      <c r="A154" s="145"/>
      <c r="B154" s="125"/>
      <c r="C154" s="84" t="s">
        <v>144</v>
      </c>
      <c r="D154" s="100">
        <f>SUM(D153)</f>
        <v>1025548</v>
      </c>
      <c r="E154" s="125"/>
      <c r="F154" s="144"/>
    </row>
    <row r="155" spans="1:7" x14ac:dyDescent="0.3">
      <c r="A155" s="142" t="s">
        <v>156</v>
      </c>
      <c r="B155" s="185" t="s">
        <v>153</v>
      </c>
      <c r="C155" s="186" t="s">
        <v>154</v>
      </c>
      <c r="D155" s="185" t="s">
        <v>155</v>
      </c>
      <c r="F155" s="144"/>
    </row>
    <row r="156" spans="1:7" x14ac:dyDescent="0.3">
      <c r="A156" s="145"/>
      <c r="B156" s="124">
        <f>+'July 2015'!C156</f>
        <v>4255992</v>
      </c>
      <c r="C156" s="124">
        <v>4497625</v>
      </c>
      <c r="D156" s="144">
        <f>C156-B156</f>
        <v>241633</v>
      </c>
      <c r="E156" s="125"/>
      <c r="F156" s="144"/>
    </row>
    <row r="157" spans="1:7" x14ac:dyDescent="0.3">
      <c r="A157" s="145"/>
      <c r="B157" s="125"/>
      <c r="C157" s="84" t="s">
        <v>144</v>
      </c>
      <c r="D157" s="100">
        <f>D156</f>
        <v>241633</v>
      </c>
      <c r="E157" s="125"/>
      <c r="F157" s="144"/>
    </row>
    <row r="158" spans="1:7" x14ac:dyDescent="0.3">
      <c r="A158" s="142" t="s">
        <v>187</v>
      </c>
      <c r="B158" s="185" t="s">
        <v>153</v>
      </c>
      <c r="C158" s="186" t="s">
        <v>154</v>
      </c>
      <c r="D158" s="185" t="s">
        <v>155</v>
      </c>
      <c r="E158" s="125"/>
      <c r="F158" s="144"/>
    </row>
    <row r="159" spans="1:7" x14ac:dyDescent="0.3">
      <c r="A159" s="145"/>
      <c r="B159" s="124">
        <f>+'July 2015'!C159</f>
        <v>4606566.5</v>
      </c>
      <c r="C159" s="124">
        <v>5177100</v>
      </c>
      <c r="D159" s="144">
        <f>C159-B159</f>
        <v>570533.5</v>
      </c>
      <c r="E159" s="125"/>
      <c r="F159" s="144"/>
    </row>
    <row r="160" spans="1:7" x14ac:dyDescent="0.3">
      <c r="A160" s="145"/>
      <c r="B160" s="125"/>
      <c r="C160" s="84" t="s">
        <v>144</v>
      </c>
      <c r="D160" s="100">
        <f>D159</f>
        <v>570533.5</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380">
        <f>D157+D154+D160</f>
        <v>1837714.5</v>
      </c>
      <c r="C163" s="84" t="s">
        <v>144</v>
      </c>
      <c r="D163" s="125"/>
      <c r="F163" s="144"/>
    </row>
    <row r="164" spans="1:11" x14ac:dyDescent="0.3">
      <c r="F164" s="144"/>
    </row>
    <row r="165" spans="1:11" x14ac:dyDescent="0.3">
      <c r="A165" s="188" t="s">
        <v>158</v>
      </c>
      <c r="B165" s="200">
        <f>B145+B150+B163</f>
        <v>2529164.5</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11394000</v>
      </c>
      <c r="C170" s="88">
        <f>B170/1000</f>
        <v>11394</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C74" name="Month"/>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6" fitToHeight="2" orientation="portrait" r:id="rId1"/>
  <rowBreaks count="1" manualBreakCount="1">
    <brk id="78"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pageSetUpPr fitToPage="1"/>
  </sheetPr>
  <dimension ref="A1:K176"/>
  <sheetViews>
    <sheetView topLeftCell="A61" zoomScale="80" zoomScaleNormal="80" workbookViewId="0">
      <selection activeCell="B7" sqref="B7"/>
    </sheetView>
  </sheetViews>
  <sheetFormatPr defaultColWidth="8.88671875" defaultRowHeight="14.4" x14ac:dyDescent="0.3"/>
  <cols>
    <col min="1" max="1" width="23.33203125" style="84" customWidth="1"/>
    <col min="2" max="2" width="17.5546875" style="84" customWidth="1"/>
    <col min="3" max="3" width="17.6640625" style="84" customWidth="1"/>
    <col min="4" max="4" width="12.6640625" style="84" customWidth="1"/>
    <col min="5" max="5" width="13.5546875" style="84" customWidth="1"/>
    <col min="6" max="6" width="26" style="84" customWidth="1"/>
    <col min="7" max="7" width="13.88671875" style="84" customWidth="1"/>
    <col min="8" max="8" width="20.44140625" style="84" customWidth="1"/>
    <col min="9" max="9" width="12.88671875" style="84" bestFit="1" customWidth="1"/>
    <col min="10" max="10" width="9.332031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314</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6"/>
      <c r="E8" s="381">
        <f>+C47</f>
        <v>696</v>
      </c>
      <c r="F8" s="112" t="s">
        <v>174</v>
      </c>
      <c r="G8" s="33">
        <v>4000.64</v>
      </c>
      <c r="H8" s="113" t="s">
        <v>15</v>
      </c>
      <c r="I8" s="113"/>
      <c r="J8" s="114">
        <f>E8*0.9756</f>
        <v>679.01760000000002</v>
      </c>
    </row>
    <row r="9" spans="1:11" ht="15.6" x14ac:dyDescent="0.3">
      <c r="A9" s="153" t="s">
        <v>16</v>
      </c>
      <c r="B9" s="115" t="s">
        <v>17</v>
      </c>
      <c r="C9" s="115" t="s">
        <v>13</v>
      </c>
      <c r="D9" s="26"/>
      <c r="E9" s="382">
        <f>+C50</f>
        <v>0</v>
      </c>
      <c r="F9" s="113"/>
      <c r="G9" s="34">
        <v>1064.28</v>
      </c>
      <c r="H9" s="84" t="s">
        <v>18</v>
      </c>
    </row>
    <row r="10" spans="1:11" ht="15.6" x14ac:dyDescent="0.3">
      <c r="A10" s="153" t="s">
        <v>19</v>
      </c>
      <c r="B10" s="115" t="s">
        <v>17</v>
      </c>
      <c r="C10" s="115" t="s">
        <v>13</v>
      </c>
      <c r="D10" s="26"/>
      <c r="E10" s="382">
        <f>+C51</f>
        <v>38643</v>
      </c>
      <c r="F10" s="113"/>
      <c r="G10" s="34">
        <v>145740.19</v>
      </c>
      <c r="H10" s="84" t="s">
        <v>20</v>
      </c>
    </row>
    <row r="11" spans="1:11" ht="15.6" x14ac:dyDescent="0.3">
      <c r="A11" s="153" t="s">
        <v>21</v>
      </c>
      <c r="B11" s="115" t="s">
        <v>17</v>
      </c>
      <c r="C11" s="115" t="s">
        <v>13</v>
      </c>
      <c r="D11" s="26"/>
      <c r="E11" s="382">
        <f>+C52</f>
        <v>1818</v>
      </c>
      <c r="F11" s="113"/>
      <c r="G11" s="34">
        <v>7870.71</v>
      </c>
      <c r="H11" s="84" t="s">
        <v>22</v>
      </c>
    </row>
    <row r="12" spans="1:11" ht="15.6" x14ac:dyDescent="0.3">
      <c r="A12" s="153" t="s">
        <v>23</v>
      </c>
      <c r="B12" s="115" t="s">
        <v>17</v>
      </c>
      <c r="C12" s="115" t="s">
        <v>13</v>
      </c>
      <c r="D12" s="26"/>
      <c r="E12" s="381">
        <f>+C53</f>
        <v>40461</v>
      </c>
      <c r="F12" s="113" t="s">
        <v>24</v>
      </c>
      <c r="G12" s="2"/>
    </row>
    <row r="13" spans="1:11" ht="15.6" x14ac:dyDescent="0.3">
      <c r="A13" s="152" t="s">
        <v>25</v>
      </c>
      <c r="B13" s="112" t="s">
        <v>26</v>
      </c>
      <c r="C13" s="112" t="s">
        <v>27</v>
      </c>
      <c r="D13" s="26"/>
      <c r="E13" s="382">
        <f>+E63</f>
        <v>388160</v>
      </c>
      <c r="F13" s="113" t="s">
        <v>28</v>
      </c>
      <c r="G13" s="154"/>
      <c r="H13" s="19"/>
      <c r="I13" s="19"/>
      <c r="J13" s="20"/>
      <c r="K13" s="20"/>
    </row>
    <row r="14" spans="1:11" ht="15.6" x14ac:dyDescent="0.3">
      <c r="A14" s="152" t="s">
        <v>29</v>
      </c>
      <c r="B14" s="112" t="s">
        <v>26</v>
      </c>
      <c r="C14" s="112" t="s">
        <v>30</v>
      </c>
      <c r="D14" s="26"/>
      <c r="E14" s="382">
        <f>+B150</f>
        <v>0</v>
      </c>
      <c r="F14" s="113" t="s">
        <v>31</v>
      </c>
      <c r="G14" s="21"/>
      <c r="H14" s="113"/>
      <c r="I14" s="113"/>
      <c r="J14" s="116"/>
      <c r="K14" s="116"/>
    </row>
    <row r="15" spans="1:11" ht="15.6" x14ac:dyDescent="0.3">
      <c r="A15" s="152" t="s">
        <v>32</v>
      </c>
      <c r="B15" s="112" t="s">
        <v>26</v>
      </c>
      <c r="C15" s="112" t="s">
        <v>33</v>
      </c>
      <c r="D15" s="26"/>
      <c r="E15" s="382">
        <f>+B145</f>
        <v>1152835</v>
      </c>
      <c r="F15" s="113" t="s">
        <v>31</v>
      </c>
      <c r="G15" s="21"/>
      <c r="H15" s="113"/>
      <c r="I15" s="113"/>
      <c r="J15" s="116"/>
      <c r="K15" s="116"/>
    </row>
    <row r="16" spans="1:11" ht="15.6" x14ac:dyDescent="0.3">
      <c r="A16" s="152" t="s">
        <v>34</v>
      </c>
      <c r="B16" s="112" t="s">
        <v>26</v>
      </c>
      <c r="C16" s="112" t="s">
        <v>35</v>
      </c>
      <c r="D16" s="26"/>
      <c r="E16" s="382">
        <f>+C137</f>
        <v>8301</v>
      </c>
      <c r="F16" s="113" t="s">
        <v>36</v>
      </c>
      <c r="G16" s="23" t="s">
        <v>37</v>
      </c>
      <c r="H16" s="117"/>
      <c r="I16" s="113"/>
      <c r="J16" s="113"/>
      <c r="K16" s="113"/>
    </row>
    <row r="17" spans="1:11" ht="15.6" x14ac:dyDescent="0.3">
      <c r="A17" s="152" t="s">
        <v>38</v>
      </c>
      <c r="B17" s="112" t="s">
        <v>26</v>
      </c>
      <c r="C17" s="112" t="s">
        <v>27</v>
      </c>
      <c r="D17" s="26"/>
      <c r="E17" s="381">
        <f>+C60</f>
        <v>7354793</v>
      </c>
      <c r="F17" s="113"/>
      <c r="G17" s="155">
        <v>405995.21</v>
      </c>
      <c r="H17" s="113" t="s">
        <v>39</v>
      </c>
      <c r="I17" s="156"/>
      <c r="J17" s="156"/>
      <c r="K17" s="156"/>
    </row>
    <row r="18" spans="1:11" ht="15.6" x14ac:dyDescent="0.3">
      <c r="A18" s="152" t="s">
        <v>40</v>
      </c>
      <c r="B18" s="112" t="s">
        <v>41</v>
      </c>
      <c r="C18" s="112" t="s">
        <v>42</v>
      </c>
      <c r="D18" s="26"/>
      <c r="E18" s="381">
        <f>+C87</f>
        <v>107895</v>
      </c>
      <c r="F18" s="113" t="s">
        <v>43</v>
      </c>
      <c r="G18" s="33">
        <v>1983.57</v>
      </c>
      <c r="H18" s="113" t="s">
        <v>44</v>
      </c>
      <c r="I18" s="113"/>
      <c r="J18" s="113"/>
      <c r="K18" s="113"/>
    </row>
    <row r="19" spans="1:11" ht="15.6" x14ac:dyDescent="0.3">
      <c r="A19" s="84" t="s">
        <v>45</v>
      </c>
      <c r="B19" s="115" t="s">
        <v>41</v>
      </c>
      <c r="C19" s="115" t="s">
        <v>42</v>
      </c>
      <c r="D19" s="381">
        <f>+D91</f>
        <v>30231002</v>
      </c>
      <c r="E19" s="26"/>
      <c r="G19" s="2"/>
    </row>
    <row r="20" spans="1:11" ht="15.6" x14ac:dyDescent="0.3">
      <c r="A20" s="84" t="s">
        <v>46</v>
      </c>
      <c r="B20" s="115" t="s">
        <v>41</v>
      </c>
      <c r="C20" s="115" t="s">
        <v>42</v>
      </c>
      <c r="D20" s="26"/>
      <c r="E20" s="381">
        <f>+B107</f>
        <v>2688.23</v>
      </c>
      <c r="G20" s="2"/>
    </row>
    <row r="21" spans="1:11" ht="15.6" x14ac:dyDescent="0.3">
      <c r="A21" s="84" t="s">
        <v>47</v>
      </c>
      <c r="B21" s="115" t="s">
        <v>41</v>
      </c>
      <c r="C21" s="115" t="s">
        <v>42</v>
      </c>
      <c r="D21" s="26"/>
      <c r="E21" s="381">
        <f>+B108</f>
        <v>89.2</v>
      </c>
      <c r="G21" s="2"/>
    </row>
    <row r="22" spans="1:11" ht="15.6" x14ac:dyDescent="0.3">
      <c r="A22" s="152" t="s">
        <v>48</v>
      </c>
      <c r="B22" s="112" t="s">
        <v>49</v>
      </c>
      <c r="C22" s="112" t="s">
        <v>50</v>
      </c>
      <c r="D22" s="26"/>
      <c r="E22" s="381">
        <f>+C136</f>
        <v>0</v>
      </c>
      <c r="F22" s="113" t="s">
        <v>36</v>
      </c>
      <c r="G22" s="21" t="s">
        <v>51</v>
      </c>
      <c r="H22" s="113"/>
      <c r="I22" s="113"/>
      <c r="J22" s="113"/>
      <c r="K22" s="113"/>
    </row>
    <row r="23" spans="1:11" ht="15.6" x14ac:dyDescent="0.3">
      <c r="A23" s="152" t="s">
        <v>52</v>
      </c>
      <c r="B23" s="112" t="s">
        <v>49</v>
      </c>
      <c r="C23" s="112" t="s">
        <v>50</v>
      </c>
      <c r="D23" s="26"/>
      <c r="E23" s="381">
        <f>+C137</f>
        <v>8301</v>
      </c>
      <c r="F23" s="113" t="s">
        <v>36</v>
      </c>
      <c r="G23" s="21" t="s">
        <v>37</v>
      </c>
      <c r="H23" s="113"/>
      <c r="I23" s="113"/>
      <c r="J23" s="113"/>
      <c r="K23" s="113"/>
    </row>
    <row r="24" spans="1:11" ht="15.6" x14ac:dyDescent="0.3">
      <c r="A24" s="152" t="s">
        <v>53</v>
      </c>
      <c r="B24" s="112" t="s">
        <v>54</v>
      </c>
      <c r="C24" s="112" t="s">
        <v>55</v>
      </c>
      <c r="D24" s="26"/>
      <c r="E24" s="381">
        <f>+B165</f>
        <v>2421851.7999999998</v>
      </c>
      <c r="F24" s="113" t="s">
        <v>31</v>
      </c>
      <c r="G24" s="21"/>
      <c r="H24" s="113"/>
      <c r="I24" s="113"/>
      <c r="J24" s="113"/>
      <c r="K24" s="113"/>
    </row>
    <row r="25" spans="1:11" ht="15.6" x14ac:dyDescent="0.3">
      <c r="A25" s="152" t="s">
        <v>56</v>
      </c>
      <c r="B25" s="112" t="s">
        <v>57</v>
      </c>
      <c r="C25" s="112" t="s">
        <v>42</v>
      </c>
      <c r="D25" s="26"/>
      <c r="E25" s="381">
        <f>+C170</f>
        <v>10691</v>
      </c>
      <c r="F25" s="113" t="s">
        <v>58</v>
      </c>
      <c r="G25" s="33">
        <v>27605.84</v>
      </c>
      <c r="H25" s="113" t="s">
        <v>44</v>
      </c>
      <c r="I25" s="113"/>
      <c r="J25" s="113"/>
      <c r="K25" s="113"/>
    </row>
    <row r="26" spans="1:11" ht="15.6" x14ac:dyDescent="0.3">
      <c r="A26" s="152" t="s">
        <v>165</v>
      </c>
      <c r="B26" s="112" t="s">
        <v>57</v>
      </c>
      <c r="C26" s="112" t="s">
        <v>42</v>
      </c>
      <c r="D26" s="26"/>
      <c r="E26" s="381">
        <f>+B174</f>
        <v>2330</v>
      </c>
      <c r="G26" s="2" t="s">
        <v>183</v>
      </c>
    </row>
    <row r="27" spans="1:11" ht="15.6" x14ac:dyDescent="0.3">
      <c r="A27" s="152" t="s">
        <v>186</v>
      </c>
      <c r="B27" s="112" t="s">
        <v>26</v>
      </c>
      <c r="C27" s="112" t="s">
        <v>27</v>
      </c>
      <c r="D27" s="381">
        <f>+E76</f>
        <v>11060994.6</v>
      </c>
      <c r="E27" s="209"/>
      <c r="G27" s="2"/>
    </row>
    <row r="28" spans="1:11" ht="15.6" x14ac:dyDescent="0.3">
      <c r="A28" s="152" t="s">
        <v>302</v>
      </c>
      <c r="B28" s="112" t="s">
        <v>41</v>
      </c>
      <c r="C28" s="112" t="s">
        <v>303</v>
      </c>
      <c r="D28" s="381">
        <f>+C117</f>
        <v>52223</v>
      </c>
      <c r="E28" s="209"/>
      <c r="G28" s="2"/>
    </row>
    <row r="29" spans="1:11" ht="15.6" x14ac:dyDescent="0.3">
      <c r="A29" s="152" t="s">
        <v>125</v>
      </c>
      <c r="B29" s="112"/>
      <c r="C29" s="112" t="s">
        <v>310</v>
      </c>
      <c r="D29" s="381">
        <f>+C122</f>
        <v>30405.275430827394</v>
      </c>
      <c r="E29" s="209"/>
      <c r="G29" s="2"/>
    </row>
    <row r="30" spans="1:11" ht="15.6" x14ac:dyDescent="0.3">
      <c r="A30" s="152" t="s">
        <v>127</v>
      </c>
      <c r="B30" s="112"/>
      <c r="C30" s="112" t="s">
        <v>310</v>
      </c>
      <c r="D30" s="381">
        <f>+C123</f>
        <v>4707.4002312066823</v>
      </c>
      <c r="E30" s="209"/>
      <c r="G30" s="2"/>
    </row>
    <row r="31" spans="1:11" ht="15.6" x14ac:dyDescent="0.3">
      <c r="A31" s="152" t="s">
        <v>128</v>
      </c>
      <c r="B31" s="112"/>
      <c r="C31" s="112" t="s">
        <v>310</v>
      </c>
      <c r="D31" s="381">
        <f>+C124</f>
        <v>14508.137032305069</v>
      </c>
      <c r="E31" s="209"/>
      <c r="G31" s="2"/>
    </row>
    <row r="32" spans="1:11" ht="15.6" x14ac:dyDescent="0.3">
      <c r="A32" s="152"/>
      <c r="B32" s="112"/>
      <c r="C32" s="112"/>
      <c r="D32" s="210"/>
      <c r="E32" s="209"/>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154675.18</v>
      </c>
      <c r="F37" s="121"/>
    </row>
    <row r="38" spans="1:11" x14ac:dyDescent="0.3">
      <c r="A38" s="119" t="s">
        <v>63</v>
      </c>
      <c r="B38" s="119" t="s">
        <v>63</v>
      </c>
      <c r="C38" s="119"/>
      <c r="D38" s="119"/>
      <c r="E38" s="122">
        <f>+G8</f>
        <v>4000.64</v>
      </c>
      <c r="F38" s="121"/>
    </row>
    <row r="39" spans="1:11" x14ac:dyDescent="0.3">
      <c r="A39" s="119"/>
      <c r="B39" s="119" t="s">
        <v>64</v>
      </c>
      <c r="C39" s="119"/>
      <c r="D39" s="119"/>
      <c r="E39" s="120">
        <f>SUM(E37:E38)</f>
        <v>158675.82</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696</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38643</v>
      </c>
    </row>
    <row r="52" spans="1:11" x14ac:dyDescent="0.3">
      <c r="A52" s="2" t="s">
        <v>74</v>
      </c>
      <c r="B52" s="2" t="s">
        <v>13</v>
      </c>
      <c r="C52" s="45">
        <v>1818</v>
      </c>
    </row>
    <row r="53" spans="1:11" x14ac:dyDescent="0.3">
      <c r="A53" s="2"/>
      <c r="B53" s="2" t="s">
        <v>69</v>
      </c>
      <c r="C53" s="38">
        <f>SUM(C50:C52)</f>
        <v>40461</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ht="40.200000000000003" customHeight="1" x14ac:dyDescent="0.3">
      <c r="A58" s="146" t="s">
        <v>78</v>
      </c>
      <c r="B58" s="124">
        <f>+C58/1000</f>
        <v>3145.6239999999998</v>
      </c>
      <c r="C58" s="40">
        <v>3145624</v>
      </c>
      <c r="D58" s="84" t="s">
        <v>79</v>
      </c>
      <c r="E58" s="41"/>
      <c r="F58" s="458" t="s">
        <v>268</v>
      </c>
      <c r="G58" s="458"/>
      <c r="H58" s="458"/>
      <c r="I58" s="2">
        <f>47912304-44766680</f>
        <v>3145624</v>
      </c>
    </row>
    <row r="59" spans="1:11" x14ac:dyDescent="0.3">
      <c r="A59" s="146" t="s">
        <v>81</v>
      </c>
      <c r="B59" s="125"/>
      <c r="C59" s="34">
        <v>4209169</v>
      </c>
      <c r="D59" s="84" t="s">
        <v>79</v>
      </c>
      <c r="E59" s="41"/>
      <c r="F59" s="84" t="s">
        <v>82</v>
      </c>
    </row>
    <row r="60" spans="1:11" x14ac:dyDescent="0.3">
      <c r="A60" s="146" t="s">
        <v>83</v>
      </c>
      <c r="C60" s="40">
        <f>SUM(C58:C59)</f>
        <v>7354793</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v>279454304</v>
      </c>
      <c r="C63" s="126">
        <v>279842464</v>
      </c>
      <c r="D63" s="84" t="s">
        <v>79</v>
      </c>
      <c r="E63" s="160">
        <f>+C63-B63</f>
        <v>388160</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t="s">
        <v>189</v>
      </c>
      <c r="D68" s="125"/>
      <c r="E68" s="191">
        <v>10946459</v>
      </c>
    </row>
    <row r="69" spans="1:11" x14ac:dyDescent="0.3">
      <c r="A69" s="457" t="s">
        <v>167</v>
      </c>
      <c r="B69" s="457"/>
      <c r="C69" s="127" t="s">
        <v>231</v>
      </c>
      <c r="D69" s="125"/>
      <c r="E69" s="128">
        <v>11067067</v>
      </c>
      <c r="F69" s="84" t="s">
        <v>184</v>
      </c>
    </row>
    <row r="70" spans="1:11" x14ac:dyDescent="0.3">
      <c r="A70" s="457" t="s">
        <v>168</v>
      </c>
      <c r="B70" s="457"/>
      <c r="C70" s="127" t="s">
        <v>231</v>
      </c>
      <c r="D70" s="125"/>
      <c r="E70" s="162">
        <f>+E69-E68</f>
        <v>120608</v>
      </c>
    </row>
    <row r="71" spans="1:11" x14ac:dyDescent="0.3">
      <c r="A71" s="457" t="s">
        <v>169</v>
      </c>
      <c r="B71" s="457"/>
      <c r="C71" s="127" t="str">
        <f>+C68</f>
        <v>June</v>
      </c>
      <c r="D71" s="125"/>
      <c r="E71" s="192">
        <v>225902.5</v>
      </c>
    </row>
    <row r="72" spans="1:11" x14ac:dyDescent="0.3">
      <c r="A72" s="457" t="s">
        <v>170</v>
      </c>
      <c r="B72" s="457"/>
      <c r="C72" s="127" t="str">
        <f>+C69</f>
        <v>July</v>
      </c>
      <c r="D72" s="125"/>
      <c r="E72" s="128">
        <v>231974.9</v>
      </c>
      <c r="F72" s="84" t="s">
        <v>185</v>
      </c>
    </row>
    <row r="73" spans="1:11" x14ac:dyDescent="0.3">
      <c r="A73" s="457" t="s">
        <v>173</v>
      </c>
      <c r="B73" s="457"/>
      <c r="C73" s="127" t="str">
        <f>+C70</f>
        <v>July</v>
      </c>
      <c r="D73" s="125"/>
      <c r="E73" s="162">
        <f>+E72-E71</f>
        <v>6072.3999999999942</v>
      </c>
    </row>
    <row r="74" spans="1:11" x14ac:dyDescent="0.3">
      <c r="A74" s="448" t="s">
        <v>91</v>
      </c>
      <c r="B74" s="448"/>
      <c r="C74" s="127" t="str">
        <f>+C70</f>
        <v>July</v>
      </c>
      <c r="D74" s="125"/>
      <c r="E74" s="165">
        <f>+E70-E73</f>
        <v>114535.6</v>
      </c>
    </row>
    <row r="75" spans="1:11" x14ac:dyDescent="0.3">
      <c r="A75" s="127"/>
      <c r="B75" s="127"/>
      <c r="C75" s="127"/>
      <c r="D75" s="125"/>
      <c r="E75" s="125"/>
    </row>
    <row r="76" spans="1:11" x14ac:dyDescent="0.3">
      <c r="A76" s="449" t="s">
        <v>92</v>
      </c>
      <c r="B76" s="449"/>
      <c r="C76" s="166" t="str">
        <f>+C74</f>
        <v>July</v>
      </c>
      <c r="D76" s="167"/>
      <c r="E76" s="378">
        <f>+E68+E74</f>
        <v>11060994.6</v>
      </c>
      <c r="F76" s="189"/>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30" customHeight="1" x14ac:dyDescent="0.3">
      <c r="A81" s="84" t="s">
        <v>96</v>
      </c>
      <c r="B81" s="129"/>
      <c r="E81" s="458" t="s">
        <v>97</v>
      </c>
      <c r="F81" s="458"/>
      <c r="G81" s="458"/>
      <c r="H81" s="458"/>
      <c r="I81" s="458"/>
      <c r="J81" s="458"/>
    </row>
    <row r="82" spans="1:10" x14ac:dyDescent="0.3">
      <c r="A82" s="130" t="s">
        <v>98</v>
      </c>
      <c r="B82" s="131">
        <v>35502000</v>
      </c>
      <c r="C82" s="84">
        <f>B82/1000</f>
        <v>35502</v>
      </c>
    </row>
    <row r="83" spans="1:10" x14ac:dyDescent="0.3">
      <c r="A83" s="130" t="s">
        <v>99</v>
      </c>
      <c r="B83" s="131"/>
      <c r="C83" s="84">
        <f>B83/1000</f>
        <v>0</v>
      </c>
    </row>
    <row r="84" spans="1:10" x14ac:dyDescent="0.3">
      <c r="A84" s="130" t="s">
        <v>100</v>
      </c>
      <c r="B84" s="131"/>
      <c r="C84" s="84">
        <f>B84/1000</f>
        <v>0</v>
      </c>
      <c r="D84" s="84">
        <v>132044000</v>
      </c>
    </row>
    <row r="85" spans="1:10" x14ac:dyDescent="0.3">
      <c r="A85" s="130" t="s">
        <v>101</v>
      </c>
      <c r="B85" s="131">
        <v>71604000</v>
      </c>
      <c r="C85" s="84">
        <f>B85/1000</f>
        <v>71604</v>
      </c>
    </row>
    <row r="86" spans="1:10" x14ac:dyDescent="0.3">
      <c r="A86" s="84" t="s">
        <v>102</v>
      </c>
      <c r="B86" s="75">
        <v>789000</v>
      </c>
      <c r="C86" s="132">
        <f t="shared" ref="C86" si="0">B86/1000</f>
        <v>789</v>
      </c>
      <c r="F86" s="84" t="s">
        <v>103</v>
      </c>
    </row>
    <row r="87" spans="1:10" x14ac:dyDescent="0.3">
      <c r="A87" s="84" t="s">
        <v>104</v>
      </c>
      <c r="B87" s="170">
        <f>SUM(B82:B86)</f>
        <v>107895000</v>
      </c>
      <c r="C87" s="133">
        <f>SUM(C81:C86)</f>
        <v>107895</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171">
        <v>2609500</v>
      </c>
      <c r="C91" s="171">
        <v>27621502</v>
      </c>
      <c r="D91" s="100">
        <f>+C91+B91</f>
        <v>30231002</v>
      </c>
      <c r="E91" s="84" t="s">
        <v>108</v>
      </c>
    </row>
    <row r="92" spans="1:10" x14ac:dyDescent="0.3">
      <c r="A92" s="84" t="s">
        <v>109</v>
      </c>
      <c r="B92" s="172" t="s">
        <v>110</v>
      </c>
      <c r="C92" s="172" t="s">
        <v>111</v>
      </c>
      <c r="D92" s="173" t="s">
        <v>112</v>
      </c>
    </row>
    <row r="93" spans="1:10" x14ac:dyDescent="0.3">
      <c r="A93" s="84" t="s">
        <v>45</v>
      </c>
      <c r="B93" s="124">
        <v>8121682</v>
      </c>
      <c r="C93" s="124">
        <v>8382472</v>
      </c>
      <c r="D93" s="190">
        <f>+C93-B93</f>
        <v>260790</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v>9488852</v>
      </c>
      <c r="C96" s="77">
        <v>10929282</v>
      </c>
      <c r="D96" s="134">
        <f>C96-B96</f>
        <v>1440430</v>
      </c>
      <c r="E96" s="63"/>
    </row>
    <row r="97" spans="1:6" x14ac:dyDescent="0.3">
      <c r="A97" s="84" t="s">
        <v>117</v>
      </c>
      <c r="B97" s="78">
        <v>11135101</v>
      </c>
      <c r="C97" s="78">
        <v>12315131</v>
      </c>
      <c r="D97" s="134">
        <f t="shared" ref="D97:D99" si="1">C97-B97</f>
        <v>1180030</v>
      </c>
      <c r="E97" s="63"/>
      <c r="F97" s="86"/>
    </row>
    <row r="98" spans="1:6" x14ac:dyDescent="0.3">
      <c r="A98" s="84" t="s">
        <v>118</v>
      </c>
      <c r="B98" s="78">
        <v>7192449</v>
      </c>
      <c r="C98" s="78">
        <v>7237239</v>
      </c>
      <c r="D98" s="134">
        <f t="shared" si="1"/>
        <v>44790</v>
      </c>
      <c r="E98" s="63"/>
      <c r="F98" s="86"/>
    </row>
    <row r="99" spans="1:6" ht="15" thickBot="1" x14ac:dyDescent="0.35">
      <c r="A99" s="84" t="s">
        <v>119</v>
      </c>
      <c r="B99" s="79">
        <v>1434725</v>
      </c>
      <c r="C99" s="79">
        <v>1457705</v>
      </c>
      <c r="D99" s="134">
        <f t="shared" si="1"/>
        <v>22980</v>
      </c>
      <c r="E99" s="63"/>
      <c r="F99" s="86"/>
    </row>
    <row r="100" spans="1:6" x14ac:dyDescent="0.3">
      <c r="B100" s="134"/>
      <c r="C100" s="64"/>
      <c r="D100" s="174">
        <f>SUM(D96:D99)</f>
        <v>2688230</v>
      </c>
      <c r="E100" s="175"/>
      <c r="F100" s="158"/>
    </row>
    <row r="101" spans="1:6" ht="15" thickBot="1" x14ac:dyDescent="0.35">
      <c r="B101" s="146" t="s">
        <v>114</v>
      </c>
      <c r="C101" s="146" t="s">
        <v>115</v>
      </c>
      <c r="D101" s="134"/>
    </row>
    <row r="102" spans="1:6" x14ac:dyDescent="0.3">
      <c r="A102" s="84" t="s">
        <v>120</v>
      </c>
      <c r="B102" s="80">
        <v>20440680</v>
      </c>
      <c r="C102" s="80">
        <v>20529880</v>
      </c>
      <c r="D102" s="2">
        <f>C102-B102</f>
        <v>89200</v>
      </c>
    </row>
    <row r="103" spans="1:6" ht="15" thickBot="1" x14ac:dyDescent="0.35">
      <c r="A103" s="84" t="s">
        <v>121</v>
      </c>
      <c r="B103" s="81">
        <v>646401</v>
      </c>
      <c r="C103" s="81">
        <v>646401</v>
      </c>
      <c r="D103" s="2">
        <f>C103-B103</f>
        <v>0</v>
      </c>
    </row>
    <row r="104" spans="1:6" x14ac:dyDescent="0.3">
      <c r="D104" s="148">
        <f>SUM(D102:D103)</f>
        <v>89200</v>
      </c>
    </row>
    <row r="105" spans="1:6" x14ac:dyDescent="0.3">
      <c r="D105" s="2"/>
    </row>
    <row r="106" spans="1:6" x14ac:dyDescent="0.3">
      <c r="B106" s="84" t="s">
        <v>42</v>
      </c>
      <c r="D106" s="2"/>
    </row>
    <row r="107" spans="1:6" x14ac:dyDescent="0.3">
      <c r="A107" s="84" t="s">
        <v>46</v>
      </c>
      <c r="B107" s="135">
        <f>D100/1000</f>
        <v>2688.23</v>
      </c>
      <c r="D107" s="2"/>
    </row>
    <row r="108" spans="1:6" x14ac:dyDescent="0.3">
      <c r="A108" s="84" t="s">
        <v>47</v>
      </c>
      <c r="B108" s="431">
        <f>D104/1000</f>
        <v>89.2</v>
      </c>
      <c r="D108" s="2"/>
    </row>
    <row r="109" spans="1:6" x14ac:dyDescent="0.3">
      <c r="B109" s="136"/>
      <c r="D109" s="2"/>
    </row>
    <row r="110" spans="1:6" x14ac:dyDescent="0.3">
      <c r="A110" s="84" t="s">
        <v>293</v>
      </c>
      <c r="B110" s="136"/>
      <c r="C110" s="84">
        <v>51367</v>
      </c>
      <c r="D110" s="2" t="s">
        <v>301</v>
      </c>
    </row>
    <row r="111" spans="1:6" x14ac:dyDescent="0.3">
      <c r="A111" s="84" t="s">
        <v>294</v>
      </c>
      <c r="B111" s="136"/>
      <c r="C111" s="132">
        <v>54353</v>
      </c>
      <c r="D111" s="2" t="s">
        <v>301</v>
      </c>
    </row>
    <row r="112" spans="1:6" x14ac:dyDescent="0.3">
      <c r="A112" s="84" t="s">
        <v>295</v>
      </c>
      <c r="B112" s="136"/>
      <c r="C112" s="339">
        <f>+C111-C110</f>
        <v>2986</v>
      </c>
      <c r="D112" s="2"/>
    </row>
    <row r="113" spans="1:11" x14ac:dyDescent="0.3">
      <c r="A113" s="84" t="s">
        <v>296</v>
      </c>
      <c r="B113" s="136"/>
      <c r="C113" s="370">
        <v>46240</v>
      </c>
      <c r="D113" s="2" t="s">
        <v>301</v>
      </c>
    </row>
    <row r="114" spans="1:11" x14ac:dyDescent="0.3">
      <c r="A114" s="84" t="s">
        <v>297</v>
      </c>
      <c r="B114" s="136"/>
      <c r="C114" s="132">
        <v>48370</v>
      </c>
      <c r="D114" s="2" t="s">
        <v>301</v>
      </c>
    </row>
    <row r="115" spans="1:11" x14ac:dyDescent="0.3">
      <c r="A115" s="84" t="s">
        <v>309</v>
      </c>
      <c r="B115" s="136"/>
      <c r="C115" s="370">
        <f>+C114-C113</f>
        <v>2130</v>
      </c>
      <c r="D115" s="2"/>
    </row>
    <row r="116" spans="1:11" ht="15" thickBot="1" x14ac:dyDescent="0.35">
      <c r="A116" s="84" t="s">
        <v>299</v>
      </c>
      <c r="B116" s="136"/>
      <c r="C116" s="84">
        <f>+C112-C115</f>
        <v>856</v>
      </c>
      <c r="D116" s="2"/>
    </row>
    <row r="117" spans="1:11" ht="15" thickBot="1" x14ac:dyDescent="0.35">
      <c r="A117" s="84" t="s">
        <v>300</v>
      </c>
      <c r="B117" s="136"/>
      <c r="C117" s="418">
        <f>+C110+C116</f>
        <v>52223</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223">
        <f>$C$87*B122</f>
        <v>30405.275430827394</v>
      </c>
      <c r="D122" s="450" t="s">
        <v>176</v>
      </c>
      <c r="E122" s="451"/>
      <c r="F122" s="451"/>
      <c r="G122" s="451"/>
      <c r="H122" s="451"/>
      <c r="I122" s="452"/>
    </row>
    <row r="123" spans="1:11" x14ac:dyDescent="0.3">
      <c r="A123" s="124" t="s">
        <v>127</v>
      </c>
      <c r="B123" s="141">
        <v>4.3629456705191923E-2</v>
      </c>
      <c r="C123" s="224">
        <f>$C$87*B123</f>
        <v>4707.4002312066823</v>
      </c>
      <c r="D123" s="450"/>
      <c r="E123" s="451"/>
      <c r="F123" s="451"/>
      <c r="G123" s="451"/>
      <c r="H123" s="451"/>
      <c r="I123" s="452"/>
    </row>
    <row r="124" spans="1:11" ht="15" thickBot="1" x14ac:dyDescent="0.35">
      <c r="A124" s="124" t="s">
        <v>128</v>
      </c>
      <c r="B124" s="141">
        <v>0.13446533233518762</v>
      </c>
      <c r="C124" s="224">
        <f>$C$87*B124</f>
        <v>14508.137032305069</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6000</v>
      </c>
      <c r="E129" s="84" t="s">
        <v>80</v>
      </c>
    </row>
    <row r="130" spans="1:11" x14ac:dyDescent="0.3">
      <c r="A130" s="2" t="s">
        <v>132</v>
      </c>
      <c r="B130" s="2" t="s">
        <v>131</v>
      </c>
      <c r="C130" s="45">
        <v>126000</v>
      </c>
      <c r="E130" s="84" t="s">
        <v>80</v>
      </c>
    </row>
    <row r="131" spans="1:11" x14ac:dyDescent="0.3">
      <c r="A131" s="2" t="s">
        <v>133</v>
      </c>
      <c r="B131" s="2" t="s">
        <v>131</v>
      </c>
      <c r="C131" s="45">
        <v>1129000</v>
      </c>
      <c r="E131" s="84" t="s">
        <v>80</v>
      </c>
    </row>
    <row r="132" spans="1:11" x14ac:dyDescent="0.3">
      <c r="A132" s="2" t="s">
        <v>134</v>
      </c>
      <c r="B132" s="2" t="s">
        <v>131</v>
      </c>
      <c r="C132" s="45">
        <v>7040000</v>
      </c>
      <c r="E132" s="84" t="s">
        <v>80</v>
      </c>
    </row>
    <row r="133" spans="1:11" x14ac:dyDescent="0.3">
      <c r="A133" s="2"/>
      <c r="B133" s="148" t="s">
        <v>69</v>
      </c>
      <c r="C133" s="178">
        <f>SUM(C129:C132)</f>
        <v>8301000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8301000</v>
      </c>
      <c r="C137" s="88">
        <f>B137/1000</f>
        <v>8301</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631858</v>
      </c>
      <c r="C142" s="84" t="s">
        <v>144</v>
      </c>
      <c r="D142" s="125"/>
    </row>
    <row r="143" spans="1:11" x14ac:dyDescent="0.3">
      <c r="A143" s="142" t="s">
        <v>145</v>
      </c>
      <c r="B143" s="143">
        <v>505065</v>
      </c>
      <c r="C143" s="84" t="s">
        <v>144</v>
      </c>
      <c r="D143" s="125"/>
    </row>
    <row r="144" spans="1:11" x14ac:dyDescent="0.3">
      <c r="A144" s="142" t="s">
        <v>146</v>
      </c>
      <c r="B144" s="143">
        <v>15912</v>
      </c>
      <c r="C144" s="84" t="s">
        <v>144</v>
      </c>
      <c r="D144" s="125"/>
      <c r="F144" s="144"/>
    </row>
    <row r="145" spans="1:6" x14ac:dyDescent="0.3">
      <c r="A145" s="181" t="s">
        <v>147</v>
      </c>
      <c r="B145" s="182">
        <f>SUM(B142:B144)</f>
        <v>1152835</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t="s">
        <v>269</v>
      </c>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v>23605776</v>
      </c>
      <c r="C153" s="124">
        <v>24601726</v>
      </c>
      <c r="D153" s="144">
        <f>C153-B153</f>
        <v>995950</v>
      </c>
      <c r="E153" s="125"/>
      <c r="F153" s="144"/>
    </row>
    <row r="154" spans="1:6" x14ac:dyDescent="0.3">
      <c r="A154" s="145"/>
      <c r="B154" s="125"/>
      <c r="C154" s="84" t="s">
        <v>144</v>
      </c>
      <c r="D154" s="100">
        <f>SUM(D153)</f>
        <v>995950</v>
      </c>
      <c r="E154" s="125"/>
      <c r="F154" s="144"/>
    </row>
    <row r="155" spans="1:6" x14ac:dyDescent="0.3">
      <c r="A155" s="142" t="s">
        <v>156</v>
      </c>
      <c r="B155" s="185" t="s">
        <v>153</v>
      </c>
      <c r="C155" s="186" t="s">
        <v>154</v>
      </c>
      <c r="D155" s="185" t="s">
        <v>155</v>
      </c>
      <c r="F155" s="144"/>
    </row>
    <row r="156" spans="1:6" x14ac:dyDescent="0.3">
      <c r="A156" s="145"/>
      <c r="B156" s="124">
        <v>4008983.2</v>
      </c>
      <c r="C156" s="124">
        <v>4255992</v>
      </c>
      <c r="D156" s="144">
        <f>C156-B156</f>
        <v>247008.79999999981</v>
      </c>
      <c r="E156" s="125"/>
      <c r="F156" s="144"/>
    </row>
    <row r="157" spans="1:6" x14ac:dyDescent="0.3">
      <c r="A157" s="145"/>
      <c r="B157" s="125"/>
      <c r="C157" s="84" t="s">
        <v>144</v>
      </c>
      <c r="D157" s="100">
        <f>D156</f>
        <v>247008.79999999981</v>
      </c>
      <c r="E157" s="125"/>
      <c r="F157" s="144"/>
    </row>
    <row r="158" spans="1:6" x14ac:dyDescent="0.3">
      <c r="A158" s="142" t="s">
        <v>187</v>
      </c>
      <c r="B158" s="185" t="s">
        <v>153</v>
      </c>
      <c r="C158" s="186" t="s">
        <v>154</v>
      </c>
      <c r="D158" s="185" t="s">
        <v>155</v>
      </c>
      <c r="E158" s="125"/>
      <c r="F158" s="144"/>
    </row>
    <row r="159" spans="1:6" x14ac:dyDescent="0.3">
      <c r="A159" s="145"/>
      <c r="B159" s="124">
        <v>4580508.5</v>
      </c>
      <c r="C159" s="124">
        <v>4606566.5</v>
      </c>
      <c r="D159" s="144">
        <f>C159-B159</f>
        <v>26058</v>
      </c>
      <c r="E159" s="125"/>
      <c r="F159" s="144"/>
    </row>
    <row r="160" spans="1:6" x14ac:dyDescent="0.3">
      <c r="A160" s="145"/>
      <c r="B160" s="125"/>
      <c r="C160" s="84" t="s">
        <v>144</v>
      </c>
      <c r="D160" s="100">
        <f>D159</f>
        <v>26058</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187">
        <f>D157+D154+D160</f>
        <v>1269016.7999999998</v>
      </c>
      <c r="C163" s="84" t="s">
        <v>144</v>
      </c>
      <c r="D163" s="125"/>
      <c r="F163" s="144"/>
    </row>
    <row r="164" spans="1:11" x14ac:dyDescent="0.3">
      <c r="F164" s="144"/>
    </row>
    <row r="165" spans="1:11" x14ac:dyDescent="0.3">
      <c r="A165" s="188" t="s">
        <v>158</v>
      </c>
      <c r="B165" s="200">
        <f>B145+B150+B163</f>
        <v>2421851.7999999998</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10691000</v>
      </c>
      <c r="C170" s="88">
        <f>B170/1000</f>
        <v>10691</v>
      </c>
      <c r="D170" s="84" t="s">
        <v>163</v>
      </c>
    </row>
    <row r="173" spans="1:11" x14ac:dyDescent="0.3">
      <c r="A173" s="84" t="s">
        <v>164</v>
      </c>
    </row>
    <row r="174" spans="1:11" x14ac:dyDescent="0.3">
      <c r="A174" s="84" t="s">
        <v>165</v>
      </c>
      <c r="B174" s="379">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6" fitToHeight="2" orientation="portrait" r:id="rId1"/>
  <rowBreaks count="1" manualBreakCount="1">
    <brk id="78" max="1638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146" sqref="B146"/>
    </sheetView>
  </sheetViews>
  <sheetFormatPr defaultRowHeight="14.4" x14ac:dyDescent="0.3"/>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33CC"/>
  </sheetPr>
  <dimension ref="A1:AG45"/>
  <sheetViews>
    <sheetView zoomScale="90" zoomScaleNormal="90" workbookViewId="0">
      <selection activeCell="G3" sqref="G3"/>
    </sheetView>
  </sheetViews>
  <sheetFormatPr defaultColWidth="9.109375" defaultRowHeight="15.6" x14ac:dyDescent="0.3"/>
  <cols>
    <col min="1" max="1" width="17.88671875" style="230" customWidth="1"/>
    <col min="2" max="2" width="14.5546875" style="230" bestFit="1" customWidth="1"/>
    <col min="3" max="3" width="12.33203125" style="230" bestFit="1" customWidth="1"/>
    <col min="4" max="5" width="12.33203125" style="230" customWidth="1"/>
    <col min="6" max="6" width="12.6640625" style="230" bestFit="1" customWidth="1"/>
    <col min="7" max="8" width="14.33203125" style="230" bestFit="1" customWidth="1"/>
    <col min="9" max="10" width="14.33203125" style="230" customWidth="1"/>
    <col min="11" max="11" width="14.33203125" style="230" bestFit="1" customWidth="1"/>
    <col min="12" max="12" width="14.5546875" style="230" bestFit="1" customWidth="1"/>
    <col min="13" max="13" width="14.33203125" style="230" bestFit="1" customWidth="1"/>
    <col min="14" max="15" width="14.33203125" style="230" customWidth="1"/>
    <col min="16" max="16" width="14.33203125" style="230" bestFit="1" customWidth="1"/>
    <col min="17" max="17" width="16.109375" style="230" customWidth="1"/>
    <col min="18" max="21" width="15.33203125" style="230" customWidth="1"/>
    <col min="22" max="30" width="13.33203125" style="230" customWidth="1"/>
    <col min="31" max="32" width="11.5546875" style="230" customWidth="1"/>
    <col min="33" max="33" width="11" style="230" customWidth="1"/>
    <col min="34" max="16384" width="9.109375" style="230"/>
  </cols>
  <sheetData>
    <row r="1" spans="1:33" x14ac:dyDescent="0.3">
      <c r="A1" s="234" t="s">
        <v>0</v>
      </c>
    </row>
    <row r="2" spans="1:33" x14ac:dyDescent="0.3">
      <c r="A2" s="234" t="s">
        <v>247</v>
      </c>
    </row>
    <row r="3" spans="1:33" x14ac:dyDescent="0.3">
      <c r="A3" s="234" t="s">
        <v>288</v>
      </c>
    </row>
    <row r="4" spans="1:33" x14ac:dyDescent="0.3">
      <c r="A4" s="234" t="s">
        <v>289</v>
      </c>
      <c r="B4" s="430">
        <f ca="1">TODAY()</f>
        <v>42578</v>
      </c>
    </row>
    <row r="7" spans="1:33" s="228" customFormat="1" x14ac:dyDescent="0.3">
      <c r="A7" s="226" t="s">
        <v>290</v>
      </c>
      <c r="B7" s="226"/>
      <c r="C7" s="227"/>
      <c r="D7" s="227"/>
      <c r="E7" s="227"/>
      <c r="F7" s="227"/>
      <c r="G7" s="226"/>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row>
    <row r="8" spans="1:33" x14ac:dyDescent="0.3">
      <c r="A8" s="236"/>
      <c r="B8" s="476" t="s">
        <v>190</v>
      </c>
      <c r="C8" s="477"/>
      <c r="D8" s="477"/>
      <c r="E8" s="477"/>
      <c r="F8" s="477"/>
      <c r="G8" s="477"/>
      <c r="H8" s="477"/>
      <c r="I8" s="477"/>
      <c r="J8" s="477"/>
      <c r="K8" s="477"/>
      <c r="L8" s="477"/>
      <c r="M8" s="477"/>
      <c r="N8" s="477"/>
      <c r="O8" s="477"/>
      <c r="P8" s="478"/>
      <c r="Q8" s="479" t="s">
        <v>191</v>
      </c>
      <c r="R8" s="480"/>
      <c r="S8" s="480"/>
      <c r="T8" s="480"/>
      <c r="U8" s="480"/>
      <c r="V8" s="480"/>
      <c r="W8" s="480"/>
      <c r="X8" s="480"/>
      <c r="Y8" s="480"/>
      <c r="Z8" s="480"/>
      <c r="AA8" s="480"/>
      <c r="AB8" s="480"/>
      <c r="AC8" s="480"/>
      <c r="AD8" s="480"/>
      <c r="AE8" s="480"/>
      <c r="AF8" s="481"/>
      <c r="AG8" s="229"/>
    </row>
    <row r="9" spans="1:33" s="232" customFormat="1" ht="19.5" customHeight="1" x14ac:dyDescent="0.3">
      <c r="A9" s="231"/>
      <c r="B9" s="482" t="s">
        <v>194</v>
      </c>
      <c r="C9" s="483"/>
      <c r="D9" s="483"/>
      <c r="E9" s="483"/>
      <c r="F9" s="484"/>
      <c r="G9" s="485" t="s">
        <v>195</v>
      </c>
      <c r="H9" s="486"/>
      <c r="I9" s="486"/>
      <c r="J9" s="486"/>
      <c r="K9" s="487"/>
      <c r="L9" s="488" t="s">
        <v>196</v>
      </c>
      <c r="M9" s="489"/>
      <c r="N9" s="489"/>
      <c r="O9" s="489"/>
      <c r="P9" s="490"/>
      <c r="Q9" s="491" t="s">
        <v>197</v>
      </c>
      <c r="R9" s="492"/>
      <c r="S9" s="492"/>
      <c r="T9" s="492"/>
      <c r="U9" s="493"/>
      <c r="V9" s="473" t="s">
        <v>198</v>
      </c>
      <c r="W9" s="474"/>
      <c r="X9" s="474"/>
      <c r="Y9" s="474"/>
      <c r="Z9" s="475"/>
      <c r="AA9" s="473" t="s">
        <v>199</v>
      </c>
      <c r="AB9" s="474"/>
      <c r="AC9" s="474"/>
      <c r="AD9" s="474"/>
      <c r="AE9" s="475"/>
      <c r="AF9" s="254" t="s">
        <v>308</v>
      </c>
    </row>
    <row r="10" spans="1:33" s="232" customFormat="1" x14ac:dyDescent="0.3">
      <c r="A10" s="231"/>
      <c r="B10" s="473" t="s">
        <v>13</v>
      </c>
      <c r="C10" s="474"/>
      <c r="D10" s="474"/>
      <c r="E10" s="474"/>
      <c r="F10" s="475"/>
      <c r="G10" s="473" t="s">
        <v>13</v>
      </c>
      <c r="H10" s="474"/>
      <c r="I10" s="474"/>
      <c r="J10" s="474"/>
      <c r="K10" s="475"/>
      <c r="L10" s="473" t="s">
        <v>200</v>
      </c>
      <c r="M10" s="474"/>
      <c r="N10" s="474"/>
      <c r="O10" s="474"/>
      <c r="P10" s="475"/>
      <c r="Q10" s="473" t="s">
        <v>200</v>
      </c>
      <c r="R10" s="474"/>
      <c r="S10" s="474"/>
      <c r="T10" s="474"/>
      <c r="U10" s="475"/>
      <c r="V10" s="473" t="s">
        <v>201</v>
      </c>
      <c r="W10" s="474"/>
      <c r="X10" s="474"/>
      <c r="Y10" s="474"/>
      <c r="Z10" s="475"/>
      <c r="AA10" s="473" t="s">
        <v>201</v>
      </c>
      <c r="AB10" s="474"/>
      <c r="AC10" s="474"/>
      <c r="AD10" s="474"/>
      <c r="AE10" s="475"/>
      <c r="AF10" s="240" t="s">
        <v>201</v>
      </c>
    </row>
    <row r="11" spans="1:33" ht="16.2" customHeight="1" x14ac:dyDescent="0.3">
      <c r="A11" s="236"/>
      <c r="B11" s="240" t="s">
        <v>192</v>
      </c>
      <c r="C11" s="240" t="s">
        <v>193</v>
      </c>
      <c r="D11" s="240" t="s">
        <v>222</v>
      </c>
      <c r="E11" s="240" t="s">
        <v>284</v>
      </c>
      <c r="F11" s="240" t="s">
        <v>307</v>
      </c>
      <c r="G11" s="240" t="s">
        <v>192</v>
      </c>
      <c r="H11" s="240" t="s">
        <v>193</v>
      </c>
      <c r="I11" s="240" t="s">
        <v>222</v>
      </c>
      <c r="J11" s="240" t="s">
        <v>284</v>
      </c>
      <c r="K11" s="240" t="s">
        <v>307</v>
      </c>
      <c r="L11" s="240" t="s">
        <v>192</v>
      </c>
      <c r="M11" s="240" t="s">
        <v>193</v>
      </c>
      <c r="N11" s="240" t="s">
        <v>222</v>
      </c>
      <c r="O11" s="240" t="s">
        <v>284</v>
      </c>
      <c r="P11" s="240" t="s">
        <v>307</v>
      </c>
      <c r="Q11" s="246" t="s">
        <v>192</v>
      </c>
      <c r="R11" s="246" t="s">
        <v>193</v>
      </c>
      <c r="S11" s="240" t="s">
        <v>222</v>
      </c>
      <c r="T11" s="240" t="s">
        <v>284</v>
      </c>
      <c r="U11" s="240" t="s">
        <v>307</v>
      </c>
      <c r="V11" s="239" t="s">
        <v>192</v>
      </c>
      <c r="W11" s="239" t="s">
        <v>193</v>
      </c>
      <c r="X11" s="240" t="s">
        <v>222</v>
      </c>
      <c r="Y11" s="240" t="s">
        <v>284</v>
      </c>
      <c r="Z11" s="240" t="s">
        <v>307</v>
      </c>
      <c r="AA11" s="239" t="s">
        <v>192</v>
      </c>
      <c r="AB11" s="239" t="s">
        <v>193</v>
      </c>
      <c r="AC11" s="240" t="s">
        <v>222</v>
      </c>
      <c r="AD11" s="240" t="s">
        <v>284</v>
      </c>
      <c r="AE11" s="240" t="s">
        <v>307</v>
      </c>
      <c r="AF11" s="240"/>
    </row>
    <row r="12" spans="1:33" ht="16.5" customHeight="1" x14ac:dyDescent="0.3">
      <c r="A12" s="238" t="s">
        <v>202</v>
      </c>
      <c r="B12" s="424">
        <v>741</v>
      </c>
      <c r="C12" s="424">
        <v>796</v>
      </c>
      <c r="D12" s="424">
        <v>754</v>
      </c>
      <c r="E12" s="424">
        <v>712</v>
      </c>
      <c r="F12" s="424">
        <f>+'July 2015'!$C$47</f>
        <v>696</v>
      </c>
      <c r="G12" s="424">
        <v>41321</v>
      </c>
      <c r="H12" s="424">
        <v>39548</v>
      </c>
      <c r="I12" s="424">
        <v>33997</v>
      </c>
      <c r="J12" s="424">
        <v>40969</v>
      </c>
      <c r="K12" s="424">
        <f>+'July 2015'!$C$53</f>
        <v>40461</v>
      </c>
      <c r="L12" s="424">
        <v>4955466</v>
      </c>
      <c r="M12" s="424">
        <v>4716787</v>
      </c>
      <c r="N12" s="424">
        <v>5362522</v>
      </c>
      <c r="O12" s="424">
        <v>4138865</v>
      </c>
      <c r="P12" s="424">
        <f>+'July 2015'!$C$59</f>
        <v>4209169</v>
      </c>
      <c r="Q12" s="424">
        <v>3190000</v>
      </c>
      <c r="R12" s="424">
        <v>3092000</v>
      </c>
      <c r="S12" s="424">
        <v>2942000</v>
      </c>
      <c r="T12" s="424">
        <f>+'[1]July 2014'!$C$54</f>
        <v>3090752.5</v>
      </c>
      <c r="U12" s="424">
        <f>+'July 2015'!$C$58</f>
        <v>3145624</v>
      </c>
      <c r="V12" s="424">
        <v>15353</v>
      </c>
      <c r="W12" s="424">
        <v>7625</v>
      </c>
      <c r="X12" s="424">
        <v>8758</v>
      </c>
      <c r="Y12" s="424">
        <v>14428</v>
      </c>
      <c r="Z12" s="424">
        <f>+'July 2015'!C132/1000</f>
        <v>7040</v>
      </c>
      <c r="AA12" s="424">
        <v>3325</v>
      </c>
      <c r="AB12" s="424">
        <v>9661</v>
      </c>
      <c r="AC12" s="424">
        <v>156</v>
      </c>
      <c r="AD12" s="424">
        <v>2770</v>
      </c>
      <c r="AE12" s="424">
        <f>SUM('July 2015'!$C$129:$C$131)/1000</f>
        <v>1261</v>
      </c>
      <c r="AF12" s="424">
        <f>+Z12+AE12</f>
        <v>8301</v>
      </c>
    </row>
    <row r="13" spans="1:33" x14ac:dyDescent="0.3">
      <c r="A13" s="238" t="s">
        <v>203</v>
      </c>
      <c r="B13" s="424">
        <v>786</v>
      </c>
      <c r="C13" s="424">
        <v>863</v>
      </c>
      <c r="D13" s="424">
        <v>840</v>
      </c>
      <c r="E13" s="424">
        <v>963</v>
      </c>
      <c r="F13" s="424">
        <f>+'Aug 2015'!$C$47</f>
        <v>799</v>
      </c>
      <c r="G13" s="424">
        <v>46188</v>
      </c>
      <c r="H13" s="424">
        <v>44140</v>
      </c>
      <c r="I13" s="424">
        <v>40879</v>
      </c>
      <c r="J13" s="424">
        <v>45854</v>
      </c>
      <c r="K13" s="424">
        <f>+'Aug 2015'!$C$53</f>
        <v>43241</v>
      </c>
      <c r="L13" s="424">
        <v>4570131</v>
      </c>
      <c r="M13" s="424">
        <v>4701120</v>
      </c>
      <c r="N13" s="424">
        <v>5128464</v>
      </c>
      <c r="O13" s="424">
        <v>4199804</v>
      </c>
      <c r="P13" s="424">
        <f>+'Aug 2015'!$C$59</f>
        <v>4690772</v>
      </c>
      <c r="Q13" s="424">
        <v>3241000</v>
      </c>
      <c r="R13" s="424">
        <v>2935000</v>
      </c>
      <c r="S13" s="424">
        <v>3307000</v>
      </c>
      <c r="T13" s="424">
        <f>+'[1]Aug 2014'!$C$54</f>
        <v>3132435</v>
      </c>
      <c r="U13" s="424">
        <f>+'Aug 2015'!$C$58</f>
        <v>3150940</v>
      </c>
      <c r="V13" s="424">
        <v>15807</v>
      </c>
      <c r="W13" s="424">
        <v>13264</v>
      </c>
      <c r="X13" s="424">
        <v>9458</v>
      </c>
      <c r="Y13" s="424">
        <v>15200</v>
      </c>
      <c r="Z13" s="424">
        <f>+'Aug 2015'!C132/1000</f>
        <v>12298</v>
      </c>
      <c r="AA13" s="424">
        <v>3713</v>
      </c>
      <c r="AB13" s="424">
        <v>4324</v>
      </c>
      <c r="AC13" s="424">
        <v>0</v>
      </c>
      <c r="AD13" s="424">
        <v>2797</v>
      </c>
      <c r="AE13" s="424">
        <f>SUM('Aug 2015'!C129:C131)/1000</f>
        <v>940</v>
      </c>
      <c r="AF13" s="424">
        <f t="shared" ref="AF13:AF23" si="0">+Z13+AE13</f>
        <v>13238</v>
      </c>
    </row>
    <row r="14" spans="1:33" x14ac:dyDescent="0.3">
      <c r="A14" s="238" t="s">
        <v>204</v>
      </c>
      <c r="B14" s="424">
        <v>1161</v>
      </c>
      <c r="C14" s="424">
        <v>1104</v>
      </c>
      <c r="D14" s="424">
        <v>1119</v>
      </c>
      <c r="E14" s="424">
        <v>1060</v>
      </c>
      <c r="F14" s="424">
        <f>+'Sept 2015'!$C$47</f>
        <v>1078</v>
      </c>
      <c r="G14" s="424">
        <v>46422</v>
      </c>
      <c r="H14" s="424">
        <v>41505</v>
      </c>
      <c r="I14" s="424">
        <v>40671</v>
      </c>
      <c r="J14" s="424">
        <v>40604</v>
      </c>
      <c r="K14" s="424">
        <f>+'Sept 2015'!$C$53</f>
        <v>36962</v>
      </c>
      <c r="L14" s="424">
        <v>5434197</v>
      </c>
      <c r="M14" s="424">
        <v>4843539</v>
      </c>
      <c r="N14" s="424">
        <v>4762429</v>
      </c>
      <c r="O14" s="424">
        <v>4781534</v>
      </c>
      <c r="P14" s="424">
        <f>+'Sept 2015'!$C$59</f>
        <v>4808147</v>
      </c>
      <c r="Q14" s="424">
        <v>3152000</v>
      </c>
      <c r="R14" s="424">
        <v>2774000</v>
      </c>
      <c r="S14" s="424">
        <v>3158000</v>
      </c>
      <c r="T14" s="424">
        <f>+'[1]Sept 2014'!$C$54</f>
        <v>3006321</v>
      </c>
      <c r="U14" s="424">
        <f>+'Sept 2015'!$C$58</f>
        <v>2896416</v>
      </c>
      <c r="V14" s="424">
        <v>15326</v>
      </c>
      <c r="W14" s="424">
        <v>13720</v>
      </c>
      <c r="X14" s="424">
        <v>10570</v>
      </c>
      <c r="Y14" s="424">
        <v>9163</v>
      </c>
      <c r="Z14" s="424">
        <f>+'Sept 2015'!C132/1000</f>
        <v>6736</v>
      </c>
      <c r="AA14" s="424">
        <v>4762</v>
      </c>
      <c r="AB14" s="424">
        <v>6190</v>
      </c>
      <c r="AC14" s="424">
        <v>119</v>
      </c>
      <c r="AD14" s="424">
        <v>4030</v>
      </c>
      <c r="AE14" s="424">
        <f>SUM('Sept 2015'!C129:C131)/1000</f>
        <v>2022</v>
      </c>
      <c r="AF14" s="424">
        <f t="shared" si="0"/>
        <v>8758</v>
      </c>
    </row>
    <row r="15" spans="1:33" x14ac:dyDescent="0.3">
      <c r="A15" s="238" t="s">
        <v>205</v>
      </c>
      <c r="B15" s="424">
        <v>1644</v>
      </c>
      <c r="C15" s="424">
        <v>1592</v>
      </c>
      <c r="D15" s="424">
        <v>1926</v>
      </c>
      <c r="E15" s="424">
        <v>1588</v>
      </c>
      <c r="F15" s="424">
        <f>+'Oct 2015'!$C$47</f>
        <v>1453</v>
      </c>
      <c r="G15" s="424">
        <v>50717</v>
      </c>
      <c r="H15" s="424">
        <v>49179</v>
      </c>
      <c r="I15" s="424">
        <v>41350</v>
      </c>
      <c r="J15" s="424">
        <v>45050</v>
      </c>
      <c r="K15" s="424">
        <f>+'Oct 2015'!$C$53</f>
        <v>44122</v>
      </c>
      <c r="L15" s="424">
        <v>3961264</v>
      </c>
      <c r="M15" s="424">
        <v>4680081</v>
      </c>
      <c r="N15" s="424">
        <v>3939925</v>
      </c>
      <c r="O15" s="424">
        <v>3725561</v>
      </c>
      <c r="P15" s="424">
        <f>+'Oct 2015'!$C$59</f>
        <v>3287538</v>
      </c>
      <c r="Q15" s="424">
        <v>3358000</v>
      </c>
      <c r="R15" s="424">
        <v>3187000</v>
      </c>
      <c r="S15" s="424">
        <v>3345000</v>
      </c>
      <c r="T15" s="424">
        <f>+'[1]Oct 2014'!$C$54</f>
        <v>3171498</v>
      </c>
      <c r="U15" s="424">
        <f>+'Oct 2015'!$C$58</f>
        <v>3207660</v>
      </c>
      <c r="V15" s="424">
        <v>16101</v>
      </c>
      <c r="W15" s="424">
        <v>10192</v>
      </c>
      <c r="X15" s="424">
        <v>15267</v>
      </c>
      <c r="Y15" s="424">
        <v>7682</v>
      </c>
      <c r="Z15" s="424">
        <f>+'Oct 2015'!C132/1000</f>
        <v>8805</v>
      </c>
      <c r="AA15" s="424">
        <v>8868</v>
      </c>
      <c r="AB15" s="424">
        <v>6215</v>
      </c>
      <c r="AC15" s="424">
        <v>1669</v>
      </c>
      <c r="AD15" s="424">
        <v>6035</v>
      </c>
      <c r="AE15" s="424">
        <f>SUM('Oct 2015'!C129:C131)/1000</f>
        <v>4532</v>
      </c>
      <c r="AF15" s="424">
        <f t="shared" si="0"/>
        <v>13337</v>
      </c>
    </row>
    <row r="16" spans="1:33" x14ac:dyDescent="0.3">
      <c r="A16" s="238" t="s">
        <v>206</v>
      </c>
      <c r="B16" s="424">
        <v>4573</v>
      </c>
      <c r="C16" s="424">
        <v>5671</v>
      </c>
      <c r="D16" s="424">
        <v>3858</v>
      </c>
      <c r="E16" s="424">
        <v>4226</v>
      </c>
      <c r="F16" s="424">
        <f>+'Nov 2015'!$C$47</f>
        <v>4030</v>
      </c>
      <c r="G16" s="424">
        <v>54874</v>
      </c>
      <c r="H16" s="424">
        <v>51090</v>
      </c>
      <c r="I16" s="424">
        <v>43258</v>
      </c>
      <c r="J16" s="424">
        <v>45991</v>
      </c>
      <c r="K16" s="424">
        <f>+'Nov 2015'!$C$53</f>
        <v>45704</v>
      </c>
      <c r="L16" s="424">
        <v>3107539</v>
      </c>
      <c r="M16" s="424">
        <v>3660453</v>
      </c>
      <c r="N16" s="424">
        <v>3310702</v>
      </c>
      <c r="O16" s="424">
        <v>3153893</v>
      </c>
      <c r="P16" s="424">
        <f>+'Nov 2015'!$C$59</f>
        <v>2764959</v>
      </c>
      <c r="Q16" s="424">
        <v>3245000</v>
      </c>
      <c r="R16" s="424">
        <v>2899000</v>
      </c>
      <c r="S16" s="424">
        <v>3181000</v>
      </c>
      <c r="T16" s="424">
        <f>+'[1]Nov 2014'!$C$54</f>
        <v>3102096</v>
      </c>
      <c r="U16" s="424">
        <f>+'Nov 2015'!$C$58</f>
        <v>3051796</v>
      </c>
      <c r="V16" s="424">
        <v>15364</v>
      </c>
      <c r="W16" s="424">
        <v>13027</v>
      </c>
      <c r="X16" s="424">
        <v>15246</v>
      </c>
      <c r="Y16" s="424">
        <v>13161</v>
      </c>
      <c r="Z16" s="424">
        <f>+'Nov 2015'!C132/1000</f>
        <v>12805</v>
      </c>
      <c r="AA16" s="424">
        <v>16929</v>
      </c>
      <c r="AB16" s="424">
        <v>6422</v>
      </c>
      <c r="AC16" s="424">
        <v>8027</v>
      </c>
      <c r="AD16" s="424">
        <v>8534</v>
      </c>
      <c r="AE16" s="424">
        <f>SUM('Nov 2015'!C129:C131)/1000</f>
        <v>8589</v>
      </c>
      <c r="AF16" s="424">
        <f t="shared" si="0"/>
        <v>21394</v>
      </c>
    </row>
    <row r="17" spans="1:33" x14ac:dyDescent="0.3">
      <c r="A17" s="238" t="s">
        <v>207</v>
      </c>
      <c r="B17" s="424">
        <v>11029</v>
      </c>
      <c r="C17" s="424">
        <v>8600</v>
      </c>
      <c r="D17" s="424">
        <v>9303</v>
      </c>
      <c r="E17" s="424">
        <v>7378</v>
      </c>
      <c r="F17" s="424">
        <f>+'Dec 2015'!$C$47</f>
        <v>8911</v>
      </c>
      <c r="G17" s="424">
        <v>64401</v>
      </c>
      <c r="H17" s="424">
        <v>46426</v>
      </c>
      <c r="I17" s="424">
        <v>50637</v>
      </c>
      <c r="J17" s="424">
        <v>49890</v>
      </c>
      <c r="K17" s="424">
        <f>+'Dec 2015'!$C$53</f>
        <v>59666</v>
      </c>
      <c r="L17" s="424">
        <v>2965682</v>
      </c>
      <c r="M17" s="424">
        <v>3789364</v>
      </c>
      <c r="N17" s="424">
        <v>2900695</v>
      </c>
      <c r="O17" s="424">
        <v>2439500</v>
      </c>
      <c r="P17" s="424">
        <f>+'Dec 2015'!$C$59</f>
        <v>2060240</v>
      </c>
      <c r="Q17" s="424">
        <v>3350000</v>
      </c>
      <c r="R17" s="424">
        <v>2784000</v>
      </c>
      <c r="S17" s="424">
        <v>3094000</v>
      </c>
      <c r="T17" s="424">
        <f>+'[1]Dec 2014'!$C$54</f>
        <v>3252814</v>
      </c>
      <c r="U17" s="424">
        <f>+'Dec 2015'!$C$58</f>
        <v>3284216</v>
      </c>
      <c r="V17" s="424">
        <v>15982</v>
      </c>
      <c r="W17" s="424">
        <v>13636</v>
      </c>
      <c r="X17" s="424">
        <v>15089</v>
      </c>
      <c r="Y17" s="424">
        <v>15934</v>
      </c>
      <c r="Z17" s="424">
        <f>+'Dec 2015'!C132/1000</f>
        <v>9900</v>
      </c>
      <c r="AA17" s="424">
        <v>16694</v>
      </c>
      <c r="AB17" s="424">
        <v>12368</v>
      </c>
      <c r="AC17" s="424">
        <v>13906</v>
      </c>
      <c r="AD17" s="424">
        <v>8260</v>
      </c>
      <c r="AE17" s="424">
        <f>SUM('Dec 2015'!C129:C131)/1000</f>
        <v>17963</v>
      </c>
      <c r="AF17" s="424">
        <f t="shared" si="0"/>
        <v>27863</v>
      </c>
    </row>
    <row r="18" spans="1:33" x14ac:dyDescent="0.3">
      <c r="A18" s="238" t="s">
        <v>208</v>
      </c>
      <c r="B18" s="424">
        <v>10756</v>
      </c>
      <c r="C18" s="424">
        <v>12362</v>
      </c>
      <c r="D18" s="424">
        <v>11561</v>
      </c>
      <c r="E18" s="424">
        <v>11816</v>
      </c>
      <c r="F18" s="424">
        <f>+'Jan 2016'!$C$47</f>
        <v>10451</v>
      </c>
      <c r="G18" s="424">
        <v>58812</v>
      </c>
      <c r="H18" s="424">
        <v>54677</v>
      </c>
      <c r="I18" s="424">
        <v>61541</v>
      </c>
      <c r="J18" s="424">
        <v>58106</v>
      </c>
      <c r="K18" s="424">
        <f>+'Jan 2016'!$C$53</f>
        <v>64404</v>
      </c>
      <c r="L18" s="424">
        <v>2696385</v>
      </c>
      <c r="M18" s="424">
        <v>2579575</v>
      </c>
      <c r="N18" s="424">
        <v>2221331</v>
      </c>
      <c r="O18" s="424">
        <v>2433860</v>
      </c>
      <c r="P18" s="424">
        <f>+'Jan 2016'!$C$59</f>
        <v>1649302</v>
      </c>
      <c r="Q18" s="424">
        <v>3303000</v>
      </c>
      <c r="R18" s="424">
        <v>3330000</v>
      </c>
      <c r="S18" s="424">
        <v>3271000</v>
      </c>
      <c r="T18" s="424">
        <f>+'[1]Jan 2015'!$C$54</f>
        <v>3158410</v>
      </c>
      <c r="U18" s="424">
        <f>+'Jan 2016'!$C$58</f>
        <v>3261684</v>
      </c>
      <c r="V18" s="424">
        <v>15981</v>
      </c>
      <c r="W18" s="424">
        <v>16102</v>
      </c>
      <c r="X18" s="424">
        <v>16258</v>
      </c>
      <c r="Y18" s="424">
        <v>15346</v>
      </c>
      <c r="Z18" s="424">
        <f>+'Jan 2016'!C132/1000</f>
        <v>12336</v>
      </c>
      <c r="AA18" s="424">
        <v>11229</v>
      </c>
      <c r="AB18" s="424">
        <v>15248</v>
      </c>
      <c r="AC18" s="424">
        <v>11521</v>
      </c>
      <c r="AD18" s="424">
        <v>12930</v>
      </c>
      <c r="AE18" s="424">
        <f>SUM('Jan 2016'!C129:C131)/1000</f>
        <v>17084</v>
      </c>
      <c r="AF18" s="424">
        <f t="shared" si="0"/>
        <v>29420</v>
      </c>
    </row>
    <row r="19" spans="1:33" x14ac:dyDescent="0.3">
      <c r="A19" s="238" t="s">
        <v>209</v>
      </c>
      <c r="B19" s="424">
        <v>8942</v>
      </c>
      <c r="C19" s="424">
        <v>9370</v>
      </c>
      <c r="D19" s="424">
        <v>7733</v>
      </c>
      <c r="E19" s="424">
        <v>7561</v>
      </c>
      <c r="F19" s="424">
        <f>+'Feb 2016'!$C$47</f>
        <v>7743</v>
      </c>
      <c r="G19" s="424">
        <v>57328</v>
      </c>
      <c r="H19" s="424">
        <v>52880</v>
      </c>
      <c r="I19" s="424">
        <v>48796</v>
      </c>
      <c r="J19" s="424">
        <v>49581</v>
      </c>
      <c r="K19" s="424">
        <f>+'Feb 2016'!$C$53</f>
        <v>52923</v>
      </c>
      <c r="L19" s="424">
        <v>3315028</v>
      </c>
      <c r="M19" s="424">
        <v>3178669</v>
      </c>
      <c r="N19" s="424">
        <v>2843068</v>
      </c>
      <c r="O19" s="424">
        <v>2671292</v>
      </c>
      <c r="P19" s="424">
        <f>+'Feb 2016'!$C$59</f>
        <v>2375140</v>
      </c>
      <c r="Q19" s="424">
        <v>2997000</v>
      </c>
      <c r="R19" s="424">
        <v>3060000</v>
      </c>
      <c r="S19" s="424">
        <v>2911752</v>
      </c>
      <c r="T19" s="424">
        <f>+'[1]Feb 2015'!$C$54</f>
        <v>2894926</v>
      </c>
      <c r="U19" s="424">
        <f>+'Feb 2016'!$C$58</f>
        <v>2995464</v>
      </c>
      <c r="V19" s="424">
        <v>13946</v>
      </c>
      <c r="W19" s="424">
        <v>15049</v>
      </c>
      <c r="X19" s="424">
        <v>14480</v>
      </c>
      <c r="Y19" s="424">
        <v>14126</v>
      </c>
      <c r="Z19" s="424">
        <f>+'Feb 2016'!C132/1000</f>
        <v>13395</v>
      </c>
      <c r="AA19" s="424">
        <v>14239</v>
      </c>
      <c r="AB19" s="424">
        <v>10909</v>
      </c>
      <c r="AC19" s="424">
        <v>7262</v>
      </c>
      <c r="AD19" s="424">
        <v>6090</v>
      </c>
      <c r="AE19" s="424">
        <f>SUM('Feb 2016'!C129:C131)/1000</f>
        <v>8790</v>
      </c>
      <c r="AF19" s="424">
        <f t="shared" si="0"/>
        <v>22185</v>
      </c>
    </row>
    <row r="20" spans="1:33" x14ac:dyDescent="0.3">
      <c r="A20" s="238" t="s">
        <v>210</v>
      </c>
      <c r="B20" s="424">
        <v>6048</v>
      </c>
      <c r="C20" s="424">
        <v>5834</v>
      </c>
      <c r="D20" s="424">
        <v>4594</v>
      </c>
      <c r="E20" s="424">
        <v>5680</v>
      </c>
      <c r="F20" s="424">
        <f>+'Mar 2016'!$C$47</f>
        <v>3889</v>
      </c>
      <c r="G20" s="424">
        <v>48288</v>
      </c>
      <c r="H20" s="424">
        <v>44755</v>
      </c>
      <c r="I20" s="424">
        <v>46901</v>
      </c>
      <c r="J20" s="424">
        <v>43195</v>
      </c>
      <c r="K20" s="424">
        <f>+'Mar 2016'!$C$53</f>
        <v>45819</v>
      </c>
      <c r="L20" s="424">
        <v>4028474</v>
      </c>
      <c r="M20" s="424">
        <v>3294129</v>
      </c>
      <c r="N20" s="424">
        <v>3105115</v>
      </c>
      <c r="O20" s="424">
        <v>2693684</v>
      </c>
      <c r="P20" s="424">
        <f>+'Mar 2016'!$C$59</f>
        <v>2052879</v>
      </c>
      <c r="Q20" s="424">
        <v>2727000</v>
      </c>
      <c r="R20" s="424">
        <v>3098000</v>
      </c>
      <c r="S20" s="424">
        <v>2392600</v>
      </c>
      <c r="T20" s="424">
        <f>+'[1]Mar 2015'!$C$54</f>
        <v>3062870</v>
      </c>
      <c r="U20" s="424">
        <f>+'Mar 2016'!$C$58</f>
        <v>3225144</v>
      </c>
      <c r="V20" s="424">
        <v>12946</v>
      </c>
      <c r="W20" s="424">
        <v>15049</v>
      </c>
      <c r="X20" s="424">
        <v>11871</v>
      </c>
      <c r="Y20" s="424">
        <v>12202</v>
      </c>
      <c r="Z20" s="424">
        <f>+'Mar 2016'!C132/1000</f>
        <v>11623</v>
      </c>
      <c r="AA20" s="424">
        <v>9666</v>
      </c>
      <c r="AB20" s="424">
        <v>5245</v>
      </c>
      <c r="AC20" s="424">
        <v>10340</v>
      </c>
      <c r="AD20" s="424">
        <v>6288</v>
      </c>
      <c r="AE20" s="424">
        <f>SUM('Mar 2016'!C129:C131)/1000</f>
        <v>5794</v>
      </c>
      <c r="AF20" s="424">
        <f t="shared" si="0"/>
        <v>17417</v>
      </c>
    </row>
    <row r="21" spans="1:33" x14ac:dyDescent="0.3">
      <c r="A21" s="238" t="s">
        <v>211</v>
      </c>
      <c r="B21" s="424">
        <v>2488</v>
      </c>
      <c r="C21" s="424">
        <v>2988</v>
      </c>
      <c r="D21" s="424">
        <v>2777</v>
      </c>
      <c r="E21" s="424">
        <v>2879</v>
      </c>
      <c r="F21" s="424">
        <f>+'Apr 2016'!$C$47</f>
        <v>2405</v>
      </c>
      <c r="G21" s="424">
        <v>41112</v>
      </c>
      <c r="H21" s="424">
        <v>41715</v>
      </c>
      <c r="I21" s="424">
        <v>33410</v>
      </c>
      <c r="J21" s="424">
        <v>46645</v>
      </c>
      <c r="K21" s="424">
        <f>+'Apr 2016'!$C$53</f>
        <v>45739</v>
      </c>
      <c r="L21" s="424">
        <v>4206595</v>
      </c>
      <c r="M21" s="424">
        <v>4352645</v>
      </c>
      <c r="N21" s="424">
        <v>5458274</v>
      </c>
      <c r="O21" s="424">
        <v>3203749</v>
      </c>
      <c r="P21" s="424">
        <f>+'Apr 2016'!$C$59</f>
        <v>2684667</v>
      </c>
      <c r="Q21" s="424">
        <v>2893000</v>
      </c>
      <c r="R21" s="424">
        <v>3027000</v>
      </c>
      <c r="S21" s="424">
        <v>1423376</v>
      </c>
      <c r="T21" s="424">
        <f>+'[1]Apr 2015'!$C$54</f>
        <v>2980820</v>
      </c>
      <c r="U21" s="424">
        <f>+'Apr 2016'!$C$58</f>
        <v>2968440</v>
      </c>
      <c r="V21" s="424">
        <v>12297</v>
      </c>
      <c r="W21" s="424">
        <v>14119</v>
      </c>
      <c r="X21" s="424">
        <v>4065</v>
      </c>
      <c r="Y21" s="424">
        <v>6893</v>
      </c>
      <c r="Z21" s="424">
        <f>+'Apr 2016'!C132/1000</f>
        <v>7352</v>
      </c>
      <c r="AA21" s="424">
        <v>1428</v>
      </c>
      <c r="AB21" s="424">
        <v>1938</v>
      </c>
      <c r="AC21" s="424">
        <v>18358</v>
      </c>
      <c r="AD21" s="424">
        <v>7379</v>
      </c>
      <c r="AE21" s="424">
        <f>SUM('Apr 2016'!C129:C131)/1000</f>
        <v>7803</v>
      </c>
      <c r="AF21" s="424">
        <f t="shared" si="0"/>
        <v>15155</v>
      </c>
    </row>
    <row r="22" spans="1:33" x14ac:dyDescent="0.3">
      <c r="A22" s="238" t="s">
        <v>212</v>
      </c>
      <c r="B22" s="424">
        <v>1438</v>
      </c>
      <c r="C22" s="424">
        <v>1738</v>
      </c>
      <c r="D22" s="424">
        <v>1604</v>
      </c>
      <c r="E22" s="424">
        <v>1695</v>
      </c>
      <c r="F22" s="424">
        <f>+'May 2016'!$C$47</f>
        <v>1568</v>
      </c>
      <c r="G22" s="424">
        <v>42340</v>
      </c>
      <c r="H22" s="424">
        <v>40523</v>
      </c>
      <c r="I22" s="424">
        <v>44739</v>
      </c>
      <c r="J22" s="424">
        <v>44626</v>
      </c>
      <c r="K22" s="424">
        <f>+'May 2016'!$C$53</f>
        <v>49732</v>
      </c>
      <c r="L22" s="424">
        <v>3846677</v>
      </c>
      <c r="M22" s="424">
        <v>3557325</v>
      </c>
      <c r="N22" s="424">
        <v>3219387</v>
      </c>
      <c r="O22" s="424">
        <v>3073155</v>
      </c>
      <c r="P22" s="424">
        <f>+'May 2016'!$C$59</f>
        <v>2313159</v>
      </c>
      <c r="Q22" s="424">
        <v>3002000</v>
      </c>
      <c r="R22" s="424">
        <v>3347000</v>
      </c>
      <c r="S22" s="424">
        <v>3050121</v>
      </c>
      <c r="T22" s="424">
        <f>+'[1]May 2015'!$C$54</f>
        <v>3212188</v>
      </c>
      <c r="U22" s="424">
        <f>+'May 2016'!$C$58</f>
        <v>3273232</v>
      </c>
      <c r="V22" s="424">
        <v>13253</v>
      </c>
      <c r="W22" s="424">
        <v>12948</v>
      </c>
      <c r="X22" s="424">
        <v>12986</v>
      </c>
      <c r="Y22" s="424">
        <v>7161</v>
      </c>
      <c r="Z22" s="424">
        <f>+'May 2016'!C132/1000</f>
        <v>6785</v>
      </c>
      <c r="AA22" s="424">
        <v>7135</v>
      </c>
      <c r="AB22" s="424">
        <v>447</v>
      </c>
      <c r="AC22" s="424">
        <v>4191</v>
      </c>
      <c r="AD22" s="424">
        <v>4678</v>
      </c>
      <c r="AE22" s="424">
        <f>SUM('May 2016'!C129:C131)/1000</f>
        <v>6957</v>
      </c>
      <c r="AF22" s="424">
        <f t="shared" si="0"/>
        <v>13742</v>
      </c>
    </row>
    <row r="23" spans="1:33" x14ac:dyDescent="0.3">
      <c r="A23" s="238" t="s">
        <v>213</v>
      </c>
      <c r="B23" s="424">
        <v>792</v>
      </c>
      <c r="C23" s="424">
        <v>895</v>
      </c>
      <c r="D23" s="424">
        <v>923</v>
      </c>
      <c r="E23" s="424">
        <v>1022</v>
      </c>
      <c r="F23" s="424">
        <f>+'June 2016'!$C$47</f>
        <v>850</v>
      </c>
      <c r="G23" s="424">
        <v>38957</v>
      </c>
      <c r="H23" s="424">
        <v>42354</v>
      </c>
      <c r="I23" s="424">
        <v>43908</v>
      </c>
      <c r="J23" s="424">
        <v>44253</v>
      </c>
      <c r="K23" s="424">
        <f>+'June 2016'!$C$53</f>
        <v>51885</v>
      </c>
      <c r="L23" s="424">
        <v>4005665</v>
      </c>
      <c r="M23" s="424">
        <v>4524867</v>
      </c>
      <c r="N23" s="424">
        <v>3969745</v>
      </c>
      <c r="O23" s="424">
        <v>3930148</v>
      </c>
      <c r="P23" s="424">
        <f>+'June 2016'!$C$59</f>
        <v>2628500</v>
      </c>
      <c r="Q23" s="424">
        <v>3097000</v>
      </c>
      <c r="R23" s="424">
        <v>3253000</v>
      </c>
      <c r="S23" s="424">
        <v>3142968</v>
      </c>
      <c r="T23" s="424">
        <f>+'[1]June 2015'!$C$54</f>
        <v>3067232</v>
      </c>
      <c r="U23" s="424">
        <f>+'June 2016'!$C$58</f>
        <v>3138656</v>
      </c>
      <c r="V23" s="424">
        <v>8656</v>
      </c>
      <c r="W23" s="424">
        <v>9302</v>
      </c>
      <c r="X23" s="424">
        <v>15083</v>
      </c>
      <c r="Y23" s="424">
        <v>6891</v>
      </c>
      <c r="Z23" s="424">
        <f>+'June 2016'!C132/1000</f>
        <v>6971</v>
      </c>
      <c r="AA23" s="424">
        <v>1502</v>
      </c>
      <c r="AB23" s="424">
        <v>0</v>
      </c>
      <c r="AC23" s="424">
        <v>2173</v>
      </c>
      <c r="AD23" s="424">
        <v>1268</v>
      </c>
      <c r="AE23" s="424">
        <f>SUM('June 2016'!C129:C131)/1000</f>
        <v>9045</v>
      </c>
      <c r="AF23" s="424">
        <f t="shared" si="0"/>
        <v>16016</v>
      </c>
    </row>
    <row r="24" spans="1:33" s="251" customFormat="1" x14ac:dyDescent="0.3">
      <c r="A24" s="241" t="s">
        <v>214</v>
      </c>
      <c r="B24" s="242">
        <f>SUM(B12:B23)</f>
        <v>50398</v>
      </c>
      <c r="C24" s="242">
        <f>SUM(C12:C23)</f>
        <v>51813</v>
      </c>
      <c r="D24" s="242">
        <f>SUM(D12:D23)</f>
        <v>46992</v>
      </c>
      <c r="E24" s="242">
        <f>SUM(E12:E23)</f>
        <v>46580</v>
      </c>
      <c r="F24" s="250">
        <f>SUM(F12:F23)</f>
        <v>43873</v>
      </c>
      <c r="G24" s="242">
        <f t="shared" ref="G24:AF24" si="1">SUM(G12:G23)</f>
        <v>590760</v>
      </c>
      <c r="H24" s="242">
        <f>SUM(H12:H23)</f>
        <v>548792</v>
      </c>
      <c r="I24" s="242">
        <f>SUM(I12:I23)</f>
        <v>530087</v>
      </c>
      <c r="J24" s="242">
        <f>SUM(J12:J23)</f>
        <v>554764</v>
      </c>
      <c r="K24" s="250">
        <f>SUM(K12:K23)</f>
        <v>580658</v>
      </c>
      <c r="L24" s="242">
        <f t="shared" si="1"/>
        <v>47093103</v>
      </c>
      <c r="M24" s="242">
        <f>SUM(M12:M23)</f>
        <v>47878554</v>
      </c>
      <c r="N24" s="242">
        <f>SUM(N12:N23)</f>
        <v>46221657</v>
      </c>
      <c r="O24" s="242">
        <f>SUM(O12:O23)</f>
        <v>40445045</v>
      </c>
      <c r="P24" s="248">
        <f>SUM(P12:P23)</f>
        <v>35524472</v>
      </c>
      <c r="Q24" s="242">
        <f t="shared" si="1"/>
        <v>37555000</v>
      </c>
      <c r="R24" s="242">
        <f t="shared" si="1"/>
        <v>36786000</v>
      </c>
      <c r="S24" s="242">
        <f t="shared" si="1"/>
        <v>35218817</v>
      </c>
      <c r="T24" s="242">
        <f t="shared" si="1"/>
        <v>37132362.5</v>
      </c>
      <c r="U24" s="248">
        <f t="shared" si="1"/>
        <v>37599272</v>
      </c>
      <c r="V24" s="242">
        <f t="shared" si="1"/>
        <v>171012</v>
      </c>
      <c r="W24" s="242">
        <f t="shared" si="1"/>
        <v>154033</v>
      </c>
      <c r="X24" s="242">
        <f t="shared" si="1"/>
        <v>149131</v>
      </c>
      <c r="Y24" s="242">
        <f t="shared" si="1"/>
        <v>138187</v>
      </c>
      <c r="Z24" s="242">
        <f t="shared" si="1"/>
        <v>116046</v>
      </c>
      <c r="AA24" s="242">
        <f t="shared" si="1"/>
        <v>99490</v>
      </c>
      <c r="AB24" s="242">
        <f t="shared" si="1"/>
        <v>78967</v>
      </c>
      <c r="AC24" s="242">
        <f t="shared" si="1"/>
        <v>77722</v>
      </c>
      <c r="AD24" s="242">
        <f t="shared" si="1"/>
        <v>71059</v>
      </c>
      <c r="AE24" s="242">
        <f t="shared" si="1"/>
        <v>90780</v>
      </c>
      <c r="AF24" s="255">
        <f t="shared" si="1"/>
        <v>206826</v>
      </c>
    </row>
    <row r="25" spans="1:33" x14ac:dyDescent="0.3">
      <c r="A25" s="237" t="s">
        <v>291</v>
      </c>
      <c r="B25" s="249">
        <f>+F24+K24</f>
        <v>624531</v>
      </c>
      <c r="C25" s="243"/>
      <c r="D25" s="243"/>
      <c r="E25" s="243"/>
      <c r="F25" s="243"/>
      <c r="G25" s="243"/>
      <c r="H25" s="243"/>
      <c r="I25" s="243"/>
      <c r="J25" s="243"/>
      <c r="K25" s="244"/>
      <c r="L25" s="247">
        <f>+P24+U24</f>
        <v>73123744</v>
      </c>
      <c r="M25" s="243"/>
      <c r="N25" s="243"/>
      <c r="O25" s="243"/>
      <c r="P25" s="243"/>
      <c r="Q25" s="244"/>
      <c r="R25" s="245"/>
      <c r="S25" s="245"/>
      <c r="T25" s="245"/>
      <c r="U25" s="245"/>
      <c r="V25" s="252"/>
      <c r="W25" s="253"/>
      <c r="X25" s="253"/>
      <c r="Y25" s="253"/>
      <c r="Z25" s="253"/>
      <c r="AA25" s="253"/>
      <c r="AB25" s="253"/>
      <c r="AC25" s="253"/>
      <c r="AD25" s="253"/>
      <c r="AE25" s="253"/>
      <c r="AF25" s="256">
        <f>+AF24</f>
        <v>206826</v>
      </c>
    </row>
    <row r="26" spans="1:33" x14ac:dyDescent="0.3">
      <c r="A26" s="237"/>
      <c r="B26" s="257"/>
      <c r="C26" s="258"/>
      <c r="D26" s="258"/>
      <c r="E26" s="258"/>
      <c r="F26" s="258"/>
      <c r="G26" s="258"/>
      <c r="H26" s="258"/>
      <c r="I26" s="258"/>
      <c r="J26" s="258"/>
      <c r="K26" s="258"/>
      <c r="L26" s="259"/>
      <c r="M26" s="258"/>
      <c r="N26" s="258"/>
      <c r="O26" s="258"/>
      <c r="P26" s="258"/>
      <c r="Q26" s="258"/>
      <c r="R26" s="260"/>
      <c r="S26" s="260"/>
      <c r="T26" s="260"/>
      <c r="U26" s="260"/>
      <c r="V26" s="261"/>
      <c r="W26" s="261"/>
      <c r="X26" s="261"/>
      <c r="Y26" s="261"/>
      <c r="Z26" s="261"/>
      <c r="AA26" s="261"/>
      <c r="AB26" s="261"/>
      <c r="AC26" s="261"/>
      <c r="AD26" s="261"/>
      <c r="AE26" s="261"/>
      <c r="AF26" s="262"/>
    </row>
    <row r="27" spans="1:33" x14ac:dyDescent="0.3">
      <c r="A27" s="229"/>
      <c r="B27" s="229"/>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row>
    <row r="28" spans="1:33" x14ac:dyDescent="0.3">
      <c r="A28" s="226" t="s">
        <v>292</v>
      </c>
      <c r="B28" s="229"/>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row>
    <row r="29" spans="1:33" x14ac:dyDescent="0.3">
      <c r="A29" s="236"/>
      <c r="B29" s="476" t="s">
        <v>190</v>
      </c>
      <c r="C29" s="477"/>
      <c r="D29" s="477"/>
      <c r="E29" s="477"/>
      <c r="F29" s="477"/>
      <c r="G29" s="477"/>
      <c r="H29" s="477"/>
      <c r="I29" s="477"/>
      <c r="J29" s="477"/>
      <c r="K29" s="477"/>
      <c r="L29" s="477"/>
      <c r="M29" s="477"/>
      <c r="N29" s="477"/>
      <c r="O29" s="477"/>
      <c r="P29" s="478"/>
      <c r="Q29" s="229"/>
      <c r="R29" s="229"/>
      <c r="S29" s="229"/>
      <c r="T29" s="229"/>
      <c r="U29" s="229"/>
      <c r="V29" s="229"/>
      <c r="W29" s="229"/>
      <c r="X29" s="229"/>
      <c r="Y29" s="229"/>
      <c r="Z29" s="229"/>
      <c r="AA29" s="229"/>
      <c r="AB29" s="229"/>
      <c r="AC29" s="229"/>
      <c r="AD29" s="229"/>
      <c r="AE29" s="229"/>
      <c r="AF29" s="229"/>
      <c r="AG29" s="229"/>
    </row>
    <row r="30" spans="1:33" x14ac:dyDescent="0.3">
      <c r="A30" s="231"/>
      <c r="B30" s="482" t="s">
        <v>194</v>
      </c>
      <c r="C30" s="483"/>
      <c r="D30" s="483"/>
      <c r="E30" s="483"/>
      <c r="F30" s="484"/>
      <c r="G30" s="485" t="s">
        <v>195</v>
      </c>
      <c r="H30" s="486"/>
      <c r="I30" s="486"/>
      <c r="J30" s="486"/>
      <c r="K30" s="487"/>
      <c r="L30" s="488" t="s">
        <v>196</v>
      </c>
      <c r="M30" s="489"/>
      <c r="N30" s="489"/>
      <c r="O30" s="489"/>
      <c r="P30" s="490"/>
      <c r="Q30" s="229"/>
      <c r="R30" s="229"/>
      <c r="S30" s="229"/>
      <c r="T30" s="229"/>
      <c r="U30" s="229"/>
      <c r="V30" s="229"/>
      <c r="W30" s="229"/>
      <c r="X30" s="229"/>
      <c r="Y30" s="229"/>
      <c r="Z30" s="229"/>
      <c r="AA30" s="229"/>
      <c r="AB30" s="229"/>
      <c r="AC30" s="229"/>
      <c r="AD30" s="229"/>
      <c r="AE30" s="229"/>
      <c r="AF30" s="229"/>
      <c r="AG30" s="229"/>
    </row>
    <row r="31" spans="1:33" x14ac:dyDescent="0.3">
      <c r="A31" s="231"/>
      <c r="B31" s="473"/>
      <c r="C31" s="474"/>
      <c r="D31" s="474"/>
      <c r="E31" s="474"/>
      <c r="F31" s="475"/>
      <c r="G31" s="473"/>
      <c r="H31" s="474"/>
      <c r="I31" s="474"/>
      <c r="J31" s="474"/>
      <c r="K31" s="475"/>
      <c r="L31" s="473"/>
      <c r="M31" s="474"/>
      <c r="N31" s="474"/>
      <c r="O31" s="474"/>
      <c r="P31" s="475"/>
      <c r="Q31" s="233"/>
      <c r="R31" s="229"/>
      <c r="S31" s="229"/>
      <c r="T31" s="229"/>
      <c r="U31" s="229"/>
      <c r="V31" s="229"/>
      <c r="W31" s="229"/>
      <c r="X31" s="229"/>
      <c r="Y31" s="229"/>
      <c r="Z31" s="229"/>
      <c r="AA31" s="229"/>
      <c r="AB31" s="229"/>
      <c r="AC31" s="229"/>
      <c r="AD31" s="229"/>
      <c r="AE31" s="229"/>
      <c r="AF31" s="229"/>
      <c r="AG31" s="229"/>
    </row>
    <row r="32" spans="1:33" x14ac:dyDescent="0.3">
      <c r="A32" s="236"/>
      <c r="B32" s="240" t="s">
        <v>192</v>
      </c>
      <c r="C32" s="240" t="s">
        <v>193</v>
      </c>
      <c r="D32" s="240" t="s">
        <v>222</v>
      </c>
      <c r="E32" s="240" t="s">
        <v>284</v>
      </c>
      <c r="F32" s="240" t="s">
        <v>307</v>
      </c>
      <c r="G32" s="240" t="s">
        <v>192</v>
      </c>
      <c r="H32" s="240" t="s">
        <v>193</v>
      </c>
      <c r="I32" s="240" t="s">
        <v>222</v>
      </c>
      <c r="J32" s="240" t="s">
        <v>284</v>
      </c>
      <c r="K32" s="240" t="s">
        <v>307</v>
      </c>
      <c r="L32" s="240" t="s">
        <v>192</v>
      </c>
      <c r="M32" s="240" t="s">
        <v>193</v>
      </c>
      <c r="N32" s="240" t="s">
        <v>222</v>
      </c>
      <c r="O32" s="240" t="s">
        <v>284</v>
      </c>
      <c r="P32" s="240" t="s">
        <v>307</v>
      </c>
      <c r="Q32" s="229"/>
      <c r="R32" s="229"/>
      <c r="S32" s="229"/>
      <c r="T32" s="229"/>
      <c r="U32" s="229"/>
      <c r="V32" s="229"/>
      <c r="W32" s="229"/>
      <c r="X32" s="229"/>
      <c r="Y32" s="229"/>
      <c r="Z32" s="229"/>
      <c r="AA32" s="229"/>
      <c r="AB32" s="229"/>
      <c r="AC32" s="229"/>
      <c r="AD32" s="229"/>
      <c r="AE32" s="229"/>
      <c r="AF32" s="229"/>
      <c r="AG32" s="229"/>
    </row>
    <row r="33" spans="1:16" x14ac:dyDescent="0.3">
      <c r="A33" s="238" t="s">
        <v>202</v>
      </c>
      <c r="B33" s="425">
        <v>5817.85</v>
      </c>
      <c r="C33" s="425">
        <v>5548.37</v>
      </c>
      <c r="D33" s="425">
        <v>4869.8500000000004</v>
      </c>
      <c r="E33" s="425">
        <v>5340.32</v>
      </c>
      <c r="F33" s="425">
        <f>+'July 2015'!E38</f>
        <v>4000.64</v>
      </c>
      <c r="G33" s="425">
        <v>249878.08</v>
      </c>
      <c r="H33" s="425">
        <v>207616.47</v>
      </c>
      <c r="I33" s="425">
        <v>157865.85999999999</v>
      </c>
      <c r="J33" s="425">
        <v>229531.25</v>
      </c>
      <c r="K33" s="425">
        <f>+'July 2015'!E$37</f>
        <v>154675.18</v>
      </c>
      <c r="L33" s="425">
        <v>526676.06999999995</v>
      </c>
      <c r="M33" s="425">
        <v>465248.36</v>
      </c>
      <c r="N33" s="425">
        <v>573283.62</v>
      </c>
      <c r="O33" s="425">
        <v>467027.38</v>
      </c>
      <c r="P33" s="425">
        <f>+'July 2015'!G$17</f>
        <v>405995.21</v>
      </c>
    </row>
    <row r="34" spans="1:16" x14ac:dyDescent="0.3">
      <c r="A34" s="238" t="s">
        <v>203</v>
      </c>
      <c r="B34" s="265">
        <v>5895.72</v>
      </c>
      <c r="C34" s="425">
        <v>5855.35</v>
      </c>
      <c r="D34" s="425">
        <v>5237.74</v>
      </c>
      <c r="E34" s="425">
        <v>6361.56</v>
      </c>
      <c r="F34" s="425">
        <f>+'Aug 2015'!E$38</f>
        <v>4530.03</v>
      </c>
      <c r="G34" s="425">
        <v>226341.05</v>
      </c>
      <c r="H34" s="425">
        <v>226875.55000000002</v>
      </c>
      <c r="I34" s="425">
        <v>184914.88</v>
      </c>
      <c r="J34" s="425">
        <v>230219.66</v>
      </c>
      <c r="K34" s="425">
        <f>+'Aug 2015'!E$37</f>
        <v>168713.15999999997</v>
      </c>
      <c r="L34" s="425">
        <v>518760.58</v>
      </c>
      <c r="M34" s="425">
        <v>472001.39</v>
      </c>
      <c r="N34" s="425">
        <v>500966.89</v>
      </c>
      <c r="O34" s="425">
        <v>449159</v>
      </c>
      <c r="P34" s="425">
        <f>+'Aug 2015'!G$17</f>
        <v>435387.75</v>
      </c>
    </row>
    <row r="35" spans="1:16" x14ac:dyDescent="0.3">
      <c r="A35" s="238" t="s">
        <v>204</v>
      </c>
      <c r="B35" s="425">
        <v>7277.08</v>
      </c>
      <c r="C35" s="425">
        <v>5531.1</v>
      </c>
      <c r="D35" s="425">
        <v>6616.17</v>
      </c>
      <c r="E35" s="425">
        <v>7097.96</v>
      </c>
      <c r="F35" s="425">
        <f>+'Sept 2015'!E$38</f>
        <v>5579.67</v>
      </c>
      <c r="G35" s="425">
        <v>226311.79</v>
      </c>
      <c r="H35" s="425">
        <v>148877.27000000002</v>
      </c>
      <c r="I35" s="425">
        <v>181517.77</v>
      </c>
      <c r="J35" s="425">
        <v>211271.36</v>
      </c>
      <c r="K35" s="425">
        <f>+'Sept 2015'!E$37</f>
        <v>143746.88</v>
      </c>
      <c r="L35" s="425">
        <v>540927.32999999996</v>
      </c>
      <c r="M35" s="425">
        <v>485357.92</v>
      </c>
      <c r="N35" s="425">
        <v>438550.29</v>
      </c>
      <c r="O35" s="425">
        <v>461417.89</v>
      </c>
      <c r="P35" s="425">
        <f>+'Sept 2015'!G$17</f>
        <v>431740.59</v>
      </c>
    </row>
    <row r="36" spans="1:16" x14ac:dyDescent="0.3">
      <c r="A36" s="238" t="s">
        <v>205</v>
      </c>
      <c r="B36" s="425">
        <v>10504.86</v>
      </c>
      <c r="C36" s="425">
        <v>8127.08</v>
      </c>
      <c r="D36" s="425">
        <v>10695.11</v>
      </c>
      <c r="E36" s="425">
        <v>9912.6200000000008</v>
      </c>
      <c r="F36" s="425">
        <f>+'Oct 2015'!E$38</f>
        <v>7047.78</v>
      </c>
      <c r="G36" s="425">
        <v>264171.75</v>
      </c>
      <c r="H36" s="425">
        <v>190550.08000000002</v>
      </c>
      <c r="I36" s="425">
        <v>183200.05</v>
      </c>
      <c r="J36" s="425">
        <v>225990.86</v>
      </c>
      <c r="K36" s="425">
        <f>+'Oct 2015'!E$37</f>
        <v>157733.59</v>
      </c>
      <c r="L36" s="425">
        <v>307853.26</v>
      </c>
      <c r="M36" s="425">
        <v>343798.88</v>
      </c>
      <c r="N36" s="425">
        <v>270730.38</v>
      </c>
      <c r="O36" s="425">
        <v>283506.24</v>
      </c>
      <c r="P36" s="425">
        <f>+'Oct 2015'!G$17</f>
        <v>236858.7</v>
      </c>
    </row>
    <row r="37" spans="1:16" x14ac:dyDescent="0.3">
      <c r="A37" s="238" t="s">
        <v>206</v>
      </c>
      <c r="B37" s="425">
        <v>27488.38</v>
      </c>
      <c r="C37" s="425">
        <v>29960.7</v>
      </c>
      <c r="D37" s="425">
        <v>21147.82</v>
      </c>
      <c r="E37" s="425">
        <v>23462.46</v>
      </c>
      <c r="F37" s="425">
        <f>+'Nov 2015'!E$38</f>
        <v>16183.27</v>
      </c>
      <c r="G37" s="425">
        <v>283155.53999999998</v>
      </c>
      <c r="H37" s="425">
        <v>227169.35</v>
      </c>
      <c r="I37" s="425">
        <v>198274.57</v>
      </c>
      <c r="J37" s="425">
        <v>214746.56999999998</v>
      </c>
      <c r="K37" s="425">
        <f>+'Nov 2015'!E$37</f>
        <v>142753.38</v>
      </c>
      <c r="L37" s="425">
        <v>191143.84</v>
      </c>
      <c r="M37" s="425">
        <v>191077.36</v>
      </c>
      <c r="N37" s="425">
        <v>198519.04000000001</v>
      </c>
      <c r="O37" s="425">
        <v>182111.63</v>
      </c>
      <c r="P37" s="425">
        <f>+'Nov 2015'!G$17</f>
        <v>170146.15</v>
      </c>
    </row>
    <row r="38" spans="1:16" x14ac:dyDescent="0.3">
      <c r="A38" s="238" t="s">
        <v>207</v>
      </c>
      <c r="B38" s="425">
        <v>63751.35</v>
      </c>
      <c r="C38" s="425">
        <v>47227</v>
      </c>
      <c r="D38" s="425">
        <v>50817.55</v>
      </c>
      <c r="E38" s="425">
        <v>47024.87</v>
      </c>
      <c r="F38" s="425">
        <f>+'Dec 2015'!E$38</f>
        <v>36490.01</v>
      </c>
      <c r="G38" s="425">
        <v>324001.39</v>
      </c>
      <c r="H38" s="425">
        <v>218840.59</v>
      </c>
      <c r="I38" s="425">
        <v>237321.11</v>
      </c>
      <c r="J38" s="425">
        <v>278098.90999999997</v>
      </c>
      <c r="K38" s="425">
        <f>+'Dec 2015'!E$37</f>
        <v>197334.07</v>
      </c>
      <c r="L38" s="425">
        <v>200667.12</v>
      </c>
      <c r="M38" s="425">
        <v>239678.45</v>
      </c>
      <c r="N38" s="425">
        <v>175945.06</v>
      </c>
      <c r="O38" s="425">
        <v>185112.44</v>
      </c>
      <c r="P38" s="425">
        <f>+'Dec 2015'!G$17</f>
        <v>140912.75</v>
      </c>
    </row>
    <row r="39" spans="1:16" x14ac:dyDescent="0.3">
      <c r="A39" s="238" t="s">
        <v>208</v>
      </c>
      <c r="B39" s="425">
        <v>63305.96</v>
      </c>
      <c r="C39" s="425">
        <v>62736.3</v>
      </c>
      <c r="D39" s="425">
        <v>72262.009999999995</v>
      </c>
      <c r="E39" s="425">
        <v>58516.85</v>
      </c>
      <c r="F39" s="425">
        <f>+'Jan 2016'!E$38</f>
        <v>41164.04</v>
      </c>
      <c r="G39" s="425">
        <v>302231.59000000003</v>
      </c>
      <c r="H39" s="425">
        <v>236085.03</v>
      </c>
      <c r="I39" s="425">
        <v>337364.89</v>
      </c>
      <c r="J39" s="425">
        <v>243376.89</v>
      </c>
      <c r="K39" s="425">
        <f>+'Jan 2016'!E$37</f>
        <v>203507.69</v>
      </c>
      <c r="L39" s="425">
        <v>177649.98</v>
      </c>
      <c r="M39" s="425">
        <v>167002.54</v>
      </c>
      <c r="N39" s="425">
        <v>157351.84</v>
      </c>
      <c r="O39" s="425">
        <v>158897.03</v>
      </c>
      <c r="P39" s="425">
        <f>+'Jan 2016'!G$17</f>
        <v>120612.6</v>
      </c>
    </row>
    <row r="40" spans="1:16" x14ac:dyDescent="0.3">
      <c r="A40" s="238" t="s">
        <v>209</v>
      </c>
      <c r="B40" s="425">
        <v>52148.66</v>
      </c>
      <c r="C40" s="425">
        <v>47764.26</v>
      </c>
      <c r="D40" s="425">
        <v>53008.54</v>
      </c>
      <c r="E40" s="425">
        <v>34735.589999999997</v>
      </c>
      <c r="F40" s="425">
        <f>+'Feb 2016'!E$38</f>
        <v>30563.11</v>
      </c>
      <c r="G40" s="425">
        <v>290673.02</v>
      </c>
      <c r="H40" s="425">
        <v>228430.85</v>
      </c>
      <c r="I40" s="425">
        <v>295816.88</v>
      </c>
      <c r="J40" s="425">
        <v>188303.8</v>
      </c>
      <c r="K40" s="425">
        <f>+'Feb 2016'!E$37</f>
        <v>166691.89000000001</v>
      </c>
      <c r="L40" s="425">
        <v>210091.84</v>
      </c>
      <c r="M40" s="425">
        <v>209384.85</v>
      </c>
      <c r="N40" s="425">
        <v>218500.43</v>
      </c>
      <c r="O40" s="425">
        <v>194384.01</v>
      </c>
      <c r="P40" s="425">
        <f>+'Feb 2016'!G$17</f>
        <v>154907.47</v>
      </c>
    </row>
    <row r="41" spans="1:16" x14ac:dyDescent="0.3">
      <c r="A41" s="238" t="s">
        <v>210</v>
      </c>
      <c r="B41" s="425">
        <v>35388.959999999999</v>
      </c>
      <c r="C41" s="425">
        <v>30070.07</v>
      </c>
      <c r="D41" s="425">
        <v>33197.03</v>
      </c>
      <c r="E41" s="425">
        <v>26252.6</v>
      </c>
      <c r="F41" s="425">
        <f>+'Mar 2016'!E$38</f>
        <v>13715.51</v>
      </c>
      <c r="G41" s="425">
        <v>244050.07</v>
      </c>
      <c r="H41" s="425">
        <v>193823.1</v>
      </c>
      <c r="I41" s="425">
        <v>298235.21000000002</v>
      </c>
      <c r="J41" s="425">
        <v>164007.82999999999</v>
      </c>
      <c r="K41" s="425">
        <f>+'Mar 2016'!E$37</f>
        <v>120339.75</v>
      </c>
      <c r="L41" s="425">
        <v>235677.97</v>
      </c>
      <c r="M41" s="425">
        <v>210802.55</v>
      </c>
      <c r="N41" s="425">
        <v>223299.54</v>
      </c>
      <c r="O41" s="425">
        <v>177942.78</v>
      </c>
      <c r="P41" s="425">
        <f>+'Mar 2016'!G$17</f>
        <v>150944.26999999999</v>
      </c>
    </row>
    <row r="42" spans="1:16" x14ac:dyDescent="0.3">
      <c r="A42" s="238" t="s">
        <v>211</v>
      </c>
      <c r="B42" s="425">
        <v>14942.49</v>
      </c>
      <c r="C42" s="425">
        <v>17480.22</v>
      </c>
      <c r="D42" s="425">
        <v>17907.27</v>
      </c>
      <c r="E42" s="425">
        <v>12923.65</v>
      </c>
      <c r="F42" s="425">
        <f>+'Apr 2016'!E$38</f>
        <v>8816.33</v>
      </c>
      <c r="G42" s="425">
        <v>206238.71</v>
      </c>
      <c r="H42" s="425">
        <v>203931.91</v>
      </c>
      <c r="I42" s="425">
        <v>183210.93</v>
      </c>
      <c r="J42" s="425">
        <v>163644.53</v>
      </c>
      <c r="K42" s="425">
        <f>+'Apr 2016'!E$37</f>
        <v>120135.2</v>
      </c>
      <c r="L42" s="425">
        <v>242141.69</v>
      </c>
      <c r="M42" s="425">
        <v>252361.24</v>
      </c>
      <c r="N42" s="425">
        <v>348296.94</v>
      </c>
      <c r="O42" s="425">
        <v>198450.27</v>
      </c>
      <c r="P42" s="425">
        <f>+'Apr 2016'!G$17</f>
        <v>171667.95</v>
      </c>
    </row>
    <row r="43" spans="1:16" x14ac:dyDescent="0.3">
      <c r="A43" s="238" t="s">
        <v>212</v>
      </c>
      <c r="B43" s="425">
        <v>8970.92</v>
      </c>
      <c r="C43" s="425">
        <v>10824.29</v>
      </c>
      <c r="D43" s="425">
        <v>11109.49</v>
      </c>
      <c r="E43" s="425">
        <v>7791.71</v>
      </c>
      <c r="F43" s="425">
        <f>+'May 2016'!E$38</f>
        <v>6511.65</v>
      </c>
      <c r="G43" s="425">
        <v>211476.3</v>
      </c>
      <c r="H43" s="425">
        <v>204957.99</v>
      </c>
      <c r="I43" s="425">
        <v>255296.65</v>
      </c>
      <c r="J43" s="425">
        <v>152024.74</v>
      </c>
      <c r="K43" s="425">
        <f>+'May 2016'!E$37</f>
        <v>143823.28</v>
      </c>
      <c r="L43" s="425">
        <v>213244.9</v>
      </c>
      <c r="M43" s="425">
        <v>232840.24</v>
      </c>
      <c r="N43" s="425">
        <v>246881.94</v>
      </c>
      <c r="O43" s="425">
        <v>177435.12</v>
      </c>
      <c r="P43" s="425">
        <f>+'May 2016'!G$17</f>
        <v>157682.98000000001</v>
      </c>
    </row>
    <row r="44" spans="1:16" x14ac:dyDescent="0.3">
      <c r="A44" s="238" t="s">
        <v>213</v>
      </c>
      <c r="B44" s="425">
        <v>5533.45</v>
      </c>
      <c r="C44" s="425">
        <v>6017.99</v>
      </c>
      <c r="D44" s="425">
        <v>6517.76</v>
      </c>
      <c r="E44" s="425">
        <v>5399.68</v>
      </c>
      <c r="F44" s="425">
        <f>+'June 2016'!E$38</f>
        <v>3940.18</v>
      </c>
      <c r="G44" s="425">
        <v>204985.85</v>
      </c>
      <c r="H44" s="425">
        <v>214960.21</v>
      </c>
      <c r="I44" s="425">
        <v>238853.12</v>
      </c>
      <c r="J44" s="425">
        <v>166091.59</v>
      </c>
      <c r="K44" s="425">
        <f>+'June 2016'!E$37</f>
        <v>151523.16999999998</v>
      </c>
      <c r="L44" s="425">
        <v>325237.69</v>
      </c>
      <c r="M44" s="425">
        <v>423134.41</v>
      </c>
      <c r="N44" s="425">
        <v>402792.87</v>
      </c>
      <c r="O44" s="425">
        <v>342829.35</v>
      </c>
      <c r="P44" s="425">
        <f>+'June 2016'!G$17</f>
        <v>245565.17</v>
      </c>
    </row>
    <row r="45" spans="1:16" s="264" customFormat="1" x14ac:dyDescent="0.3">
      <c r="A45" s="237" t="s">
        <v>291</v>
      </c>
      <c r="B45" s="263">
        <f>SUM(B33:B44)</f>
        <v>301025.68</v>
      </c>
      <c r="C45" s="263">
        <f>SUM(C33:C44)</f>
        <v>277142.73000000004</v>
      </c>
      <c r="D45" s="263">
        <f>SUM(D33:D44)</f>
        <v>293386.34000000003</v>
      </c>
      <c r="E45" s="263">
        <f>SUM(E33:E44)</f>
        <v>244819.87</v>
      </c>
      <c r="F45" s="442">
        <f>SUM(F33:F44)</f>
        <v>178542.21999999997</v>
      </c>
      <c r="G45" s="263">
        <f t="shared" ref="G45" si="2">SUM(G33:G44)</f>
        <v>3033515.1399999997</v>
      </c>
      <c r="H45" s="263">
        <f>SUM(H33:H44)</f>
        <v>2502118.4000000004</v>
      </c>
      <c r="I45" s="263">
        <f>SUM(I33:I44)</f>
        <v>2751871.9200000004</v>
      </c>
      <c r="J45" s="263">
        <f>SUM(J33:J44)</f>
        <v>2467307.9900000002</v>
      </c>
      <c r="K45" s="266">
        <f>SUM(K33:K44)</f>
        <v>1870977.2399999998</v>
      </c>
      <c r="L45" s="263">
        <f t="shared" ref="L45" si="3">SUM(L33:L44)</f>
        <v>3690072.27</v>
      </c>
      <c r="M45" s="263">
        <f>SUM(M33:M44)</f>
        <v>3692688.1900000004</v>
      </c>
      <c r="N45" s="263">
        <f>SUM(N33:N44)</f>
        <v>3755118.8400000003</v>
      </c>
      <c r="O45" s="263">
        <f>SUM(O33:O44)</f>
        <v>3278273.14</v>
      </c>
      <c r="P45" s="266">
        <f>SUM(P33:P44)</f>
        <v>2822421.59</v>
      </c>
    </row>
  </sheetData>
  <mergeCells count="21">
    <mergeCell ref="B29:P29"/>
    <mergeCell ref="B30:F30"/>
    <mergeCell ref="G30:K30"/>
    <mergeCell ref="L30:P30"/>
    <mergeCell ref="B31:F31"/>
    <mergeCell ref="G31:K31"/>
    <mergeCell ref="L31:P31"/>
    <mergeCell ref="AA10:AE10"/>
    <mergeCell ref="B8:P8"/>
    <mergeCell ref="Q8:AF8"/>
    <mergeCell ref="B9:F9"/>
    <mergeCell ref="G9:K9"/>
    <mergeCell ref="L9:P9"/>
    <mergeCell ref="Q9:U9"/>
    <mergeCell ref="V9:Z9"/>
    <mergeCell ref="AA9:AE9"/>
    <mergeCell ref="B10:F10"/>
    <mergeCell ref="G10:K10"/>
    <mergeCell ref="L10:P10"/>
    <mergeCell ref="Q10:U10"/>
    <mergeCell ref="V10:Z10"/>
  </mergeCells>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33"/>
    <pageSetUpPr fitToPage="1"/>
  </sheetPr>
  <dimension ref="A1:P102"/>
  <sheetViews>
    <sheetView zoomScaleNormal="100" workbookViewId="0">
      <selection activeCell="P11" sqref="P11"/>
    </sheetView>
  </sheetViews>
  <sheetFormatPr defaultColWidth="8.88671875" defaultRowHeight="14.4" x14ac:dyDescent="0.3"/>
  <cols>
    <col min="1" max="1" width="12.44140625" style="333" customWidth="1"/>
    <col min="2" max="2" width="9.5546875" style="333" customWidth="1"/>
    <col min="3" max="3" width="11.6640625" style="333" customWidth="1"/>
    <col min="4" max="4" width="12.109375" style="333" bestFit="1" customWidth="1"/>
    <col min="5" max="5" width="11.6640625" style="333" customWidth="1"/>
    <col min="6" max="6" width="13.6640625" style="333" bestFit="1" customWidth="1"/>
    <col min="7" max="7" width="11.6640625" style="333" customWidth="1"/>
    <col min="8" max="8" width="13.6640625" style="333" bestFit="1" customWidth="1"/>
    <col min="9" max="9" width="11.6640625" style="333" customWidth="1"/>
    <col min="10" max="10" width="12.109375" style="333" bestFit="1" customWidth="1"/>
    <col min="11" max="11" width="11.6640625" style="333" customWidth="1"/>
    <col min="12" max="12" width="13.6640625" style="333" bestFit="1" customWidth="1"/>
    <col min="13" max="13" width="11.6640625" style="333" customWidth="1"/>
    <col min="14" max="14" width="13.6640625" style="333" bestFit="1" customWidth="1"/>
    <col min="15" max="16384" width="8.88671875" style="333"/>
  </cols>
  <sheetData>
    <row r="1" spans="1:16" x14ac:dyDescent="0.3">
      <c r="A1" s="334" t="s">
        <v>0</v>
      </c>
      <c r="B1" s="334"/>
    </row>
    <row r="2" spans="1:16" x14ac:dyDescent="0.3">
      <c r="A2" s="334" t="s">
        <v>247</v>
      </c>
      <c r="B2" s="334"/>
    </row>
    <row r="3" spans="1:16" x14ac:dyDescent="0.3">
      <c r="A3" s="334" t="s">
        <v>249</v>
      </c>
      <c r="B3" s="334"/>
    </row>
    <row r="4" spans="1:16" x14ac:dyDescent="0.3">
      <c r="A4" s="334" t="s">
        <v>304</v>
      </c>
      <c r="B4" s="336">
        <f ca="1">TODAY()</f>
        <v>42578</v>
      </c>
    </row>
    <row r="7" spans="1:16" x14ac:dyDescent="0.3">
      <c r="A7" s="270" t="s">
        <v>307</v>
      </c>
      <c r="B7" s="270"/>
      <c r="C7" s="498" t="s">
        <v>223</v>
      </c>
      <c r="D7" s="498"/>
      <c r="E7" s="499" t="s">
        <v>224</v>
      </c>
      <c r="F7" s="499"/>
      <c r="G7" s="499"/>
      <c r="H7" s="499"/>
      <c r="I7" s="499"/>
      <c r="J7" s="499"/>
      <c r="K7" s="499"/>
      <c r="L7" s="499"/>
      <c r="M7" s="279"/>
      <c r="N7" s="279"/>
      <c r="O7" s="441" t="s">
        <v>63</v>
      </c>
      <c r="P7" s="441" t="s">
        <v>61</v>
      </c>
    </row>
    <row r="8" spans="1:16" x14ac:dyDescent="0.3">
      <c r="A8" s="271" t="s">
        <v>225</v>
      </c>
      <c r="B8" s="443"/>
      <c r="C8" s="275"/>
      <c r="D8" s="275"/>
      <c r="E8" s="500" t="s">
        <v>325</v>
      </c>
      <c r="F8" s="500"/>
      <c r="G8" s="500" t="s">
        <v>326</v>
      </c>
      <c r="H8" s="500"/>
      <c r="I8" s="500" t="s">
        <v>226</v>
      </c>
      <c r="J8" s="500"/>
      <c r="K8" s="501" t="s">
        <v>227</v>
      </c>
      <c r="L8" s="501" t="s">
        <v>228</v>
      </c>
      <c r="M8" s="494" t="s">
        <v>229</v>
      </c>
      <c r="N8" s="494" t="s">
        <v>215</v>
      </c>
      <c r="O8" s="496" t="s">
        <v>240</v>
      </c>
      <c r="P8" s="496" t="s">
        <v>241</v>
      </c>
    </row>
    <row r="9" spans="1:16" ht="28.8" x14ac:dyDescent="0.3">
      <c r="A9" s="271"/>
      <c r="B9" s="444" t="s">
        <v>327</v>
      </c>
      <c r="C9" s="441" t="s">
        <v>13</v>
      </c>
      <c r="D9" s="441" t="s">
        <v>230</v>
      </c>
      <c r="E9" s="441" t="s">
        <v>13</v>
      </c>
      <c r="F9" s="441" t="s">
        <v>230</v>
      </c>
      <c r="G9" s="441" t="s">
        <v>13</v>
      </c>
      <c r="H9" s="441" t="s">
        <v>230</v>
      </c>
      <c r="I9" s="441" t="s">
        <v>13</v>
      </c>
      <c r="J9" s="441" t="s">
        <v>230</v>
      </c>
      <c r="K9" s="501"/>
      <c r="L9" s="501"/>
      <c r="M9" s="495"/>
      <c r="N9" s="495"/>
      <c r="O9" s="497"/>
      <c r="P9" s="497"/>
    </row>
    <row r="10" spans="1:16" x14ac:dyDescent="0.3">
      <c r="A10" s="272" t="s">
        <v>231</v>
      </c>
      <c r="B10" s="303">
        <v>3.3805000000000001</v>
      </c>
      <c r="C10" s="267">
        <v>696</v>
      </c>
      <c r="D10" s="277">
        <v>4000.64</v>
      </c>
      <c r="E10" s="267">
        <v>0</v>
      </c>
      <c r="F10" s="277">
        <v>1064.28</v>
      </c>
      <c r="G10" s="267">
        <v>38643</v>
      </c>
      <c r="H10" s="277">
        <v>145740.19</v>
      </c>
      <c r="I10" s="267">
        <v>1818</v>
      </c>
      <c r="J10" s="277">
        <v>7870.71</v>
      </c>
      <c r="K10" s="276">
        <f t="shared" ref="K10:L21" si="0">+E10+G10+I10</f>
        <v>40461</v>
      </c>
      <c r="L10" s="278">
        <f t="shared" si="0"/>
        <v>154675.18</v>
      </c>
      <c r="M10" s="279">
        <f t="shared" ref="M10:N21" si="1">+C10+E10+G10+I10</f>
        <v>41157</v>
      </c>
      <c r="N10" s="280">
        <f t="shared" si="1"/>
        <v>158675.82</v>
      </c>
      <c r="O10" s="269">
        <f>+D10/C10</f>
        <v>5.7480459770114942</v>
      </c>
      <c r="P10" s="269">
        <f>+L10/K10</f>
        <v>3.822821482415165</v>
      </c>
    </row>
    <row r="11" spans="1:16" x14ac:dyDescent="0.3">
      <c r="A11" s="272" t="s">
        <v>232</v>
      </c>
      <c r="B11" s="303">
        <v>3.4628000000000001</v>
      </c>
      <c r="C11" s="267">
        <v>799</v>
      </c>
      <c r="D11" s="277">
        <v>4530.03</v>
      </c>
      <c r="E11" s="267">
        <v>0</v>
      </c>
      <c r="F11" s="277">
        <v>1064.28</v>
      </c>
      <c r="G11" s="267">
        <v>41805</v>
      </c>
      <c r="H11" s="277">
        <v>161087.79999999999</v>
      </c>
      <c r="I11" s="267">
        <v>1436</v>
      </c>
      <c r="J11" s="277">
        <v>6561.08</v>
      </c>
      <c r="K11" s="276">
        <f t="shared" si="0"/>
        <v>43241</v>
      </c>
      <c r="L11" s="278">
        <f t="shared" si="0"/>
        <v>168713.15999999997</v>
      </c>
      <c r="M11" s="279">
        <f t="shared" si="1"/>
        <v>44040</v>
      </c>
      <c r="N11" s="280">
        <f t="shared" si="1"/>
        <v>173243.18999999997</v>
      </c>
      <c r="O11" s="269">
        <f t="shared" ref="O11:O21" si="2">+D11/C11</f>
        <v>5.6696245306633291</v>
      </c>
      <c r="P11" s="269">
        <f t="shared" ref="P11:P21" si="3">+L11/K11</f>
        <v>3.9016942253879412</v>
      </c>
    </row>
    <row r="12" spans="1:16" x14ac:dyDescent="0.3">
      <c r="A12" s="273" t="s">
        <v>233</v>
      </c>
      <c r="B12" s="303">
        <v>3.2572000000000001</v>
      </c>
      <c r="C12" s="267">
        <v>1078</v>
      </c>
      <c r="D12" s="277">
        <v>5579.67</v>
      </c>
      <c r="E12" s="267">
        <v>0</v>
      </c>
      <c r="F12" s="277">
        <v>1064.28</v>
      </c>
      <c r="G12" s="267">
        <v>36769</v>
      </c>
      <c r="H12" s="277">
        <v>134099.82</v>
      </c>
      <c r="I12" s="267">
        <v>2078</v>
      </c>
      <c r="J12" s="277">
        <v>8582.7800000000007</v>
      </c>
      <c r="K12" s="276">
        <f t="shared" si="0"/>
        <v>38847</v>
      </c>
      <c r="L12" s="278">
        <f t="shared" si="0"/>
        <v>143746.88</v>
      </c>
      <c r="M12" s="279">
        <f t="shared" si="1"/>
        <v>39925</v>
      </c>
      <c r="N12" s="280">
        <f t="shared" si="1"/>
        <v>149326.55000000002</v>
      </c>
      <c r="O12" s="269">
        <f t="shared" si="2"/>
        <v>5.1759461966604823</v>
      </c>
      <c r="P12" s="269">
        <f t="shared" si="3"/>
        <v>3.7003341313357532</v>
      </c>
    </row>
    <row r="13" spans="1:16" x14ac:dyDescent="0.3">
      <c r="A13" s="273" t="s">
        <v>234</v>
      </c>
      <c r="B13" s="303">
        <v>3.1438999999999999</v>
      </c>
      <c r="C13" s="267">
        <v>1453</v>
      </c>
      <c r="D13" s="277">
        <v>7047.78</v>
      </c>
      <c r="E13" s="267">
        <v>0</v>
      </c>
      <c r="F13" s="277">
        <v>1064.28</v>
      </c>
      <c r="G13" s="267">
        <v>39526</v>
      </c>
      <c r="H13" s="277">
        <v>139507.18</v>
      </c>
      <c r="I13" s="267">
        <v>4596</v>
      </c>
      <c r="J13" s="277">
        <v>17162.13</v>
      </c>
      <c r="K13" s="276">
        <f t="shared" si="0"/>
        <v>44122</v>
      </c>
      <c r="L13" s="278">
        <f t="shared" si="0"/>
        <v>157733.59</v>
      </c>
      <c r="M13" s="279">
        <f t="shared" si="1"/>
        <v>45575</v>
      </c>
      <c r="N13" s="280">
        <f t="shared" si="1"/>
        <v>164781.37</v>
      </c>
      <c r="O13" s="269">
        <f t="shared" si="2"/>
        <v>4.8505024088093593</v>
      </c>
      <c r="P13" s="269">
        <f t="shared" si="3"/>
        <v>3.5749419790580661</v>
      </c>
    </row>
    <row r="14" spans="1:16" x14ac:dyDescent="0.3">
      <c r="A14" s="273" t="s">
        <v>235</v>
      </c>
      <c r="B14" s="303">
        <v>2.7037</v>
      </c>
      <c r="C14" s="267">
        <v>4030</v>
      </c>
      <c r="D14" s="277">
        <v>16183.27</v>
      </c>
      <c r="E14" s="267">
        <v>0</v>
      </c>
      <c r="F14" s="277">
        <v>1064.28</v>
      </c>
      <c r="G14" s="267">
        <v>36846</v>
      </c>
      <c r="H14" s="277">
        <v>113576.27</v>
      </c>
      <c r="I14" s="267">
        <v>8858</v>
      </c>
      <c r="J14" s="277">
        <v>28112.83</v>
      </c>
      <c r="K14" s="276">
        <f t="shared" si="0"/>
        <v>45704</v>
      </c>
      <c r="L14" s="278">
        <f t="shared" si="0"/>
        <v>142753.38</v>
      </c>
      <c r="M14" s="279">
        <f t="shared" si="1"/>
        <v>49734</v>
      </c>
      <c r="N14" s="280">
        <f t="shared" si="1"/>
        <v>158936.65000000002</v>
      </c>
      <c r="O14" s="269">
        <f t="shared" si="2"/>
        <v>4.0156997518610424</v>
      </c>
      <c r="P14" s="269">
        <f t="shared" si="3"/>
        <v>3.1234329599159811</v>
      </c>
    </row>
    <row r="15" spans="1:16" x14ac:dyDescent="0.3">
      <c r="A15" s="273" t="s">
        <v>236</v>
      </c>
      <c r="B15" s="303">
        <v>2.8982000000000001</v>
      </c>
      <c r="C15" s="267">
        <v>8911</v>
      </c>
      <c r="D15" s="277">
        <v>36490.01</v>
      </c>
      <c r="E15" s="267">
        <v>0</v>
      </c>
      <c r="F15" s="277">
        <v>1064.28</v>
      </c>
      <c r="G15" s="267">
        <v>42500</v>
      </c>
      <c r="H15" s="277">
        <v>139350.78</v>
      </c>
      <c r="I15" s="267">
        <v>17166</v>
      </c>
      <c r="J15" s="277">
        <v>56919.01</v>
      </c>
      <c r="K15" s="276">
        <f t="shared" si="0"/>
        <v>59666</v>
      </c>
      <c r="L15" s="278">
        <f t="shared" si="0"/>
        <v>197334.07</v>
      </c>
      <c r="M15" s="279">
        <f t="shared" si="1"/>
        <v>68577</v>
      </c>
      <c r="N15" s="280">
        <f t="shared" si="1"/>
        <v>233824.08000000002</v>
      </c>
      <c r="O15" s="269">
        <f t="shared" si="2"/>
        <v>4.0949399618449114</v>
      </c>
      <c r="P15" s="269">
        <f t="shared" si="3"/>
        <v>3.3073118694063623</v>
      </c>
    </row>
    <row r="16" spans="1:16" x14ac:dyDescent="0.3">
      <c r="A16" s="273" t="s">
        <v>178</v>
      </c>
      <c r="B16" s="303">
        <v>2.7593000000000001</v>
      </c>
      <c r="C16" s="267">
        <v>10451</v>
      </c>
      <c r="D16" s="277">
        <v>41164.04</v>
      </c>
      <c r="E16" s="267">
        <v>0</v>
      </c>
      <c r="F16" s="277">
        <v>1064.28</v>
      </c>
      <c r="G16" s="267">
        <v>41239</v>
      </c>
      <c r="H16" s="277">
        <v>129329.36</v>
      </c>
      <c r="I16" s="267">
        <v>23165</v>
      </c>
      <c r="J16" s="277">
        <v>73114.05</v>
      </c>
      <c r="K16" s="276">
        <f>+E16+G16+I16</f>
        <v>64404</v>
      </c>
      <c r="L16" s="278">
        <f t="shared" si="0"/>
        <v>203507.69</v>
      </c>
      <c r="M16" s="279">
        <f t="shared" si="1"/>
        <v>74855</v>
      </c>
      <c r="N16" s="280">
        <f t="shared" si="1"/>
        <v>244671.72999999998</v>
      </c>
      <c r="O16" s="269">
        <f t="shared" si="2"/>
        <v>3.9387656683570951</v>
      </c>
      <c r="P16" s="269">
        <f t="shared" si="3"/>
        <v>3.1598610334761816</v>
      </c>
    </row>
    <row r="17" spans="1:16" x14ac:dyDescent="0.3">
      <c r="A17" s="273" t="s">
        <v>179</v>
      </c>
      <c r="B17" s="303">
        <v>2.7387999999999999</v>
      </c>
      <c r="C17" s="267">
        <v>7743</v>
      </c>
      <c r="D17" s="277">
        <v>30563.11</v>
      </c>
      <c r="E17" s="267">
        <v>0</v>
      </c>
      <c r="F17" s="277">
        <v>1064.28</v>
      </c>
      <c r="G17" s="267">
        <v>40687</v>
      </c>
      <c r="H17" s="277">
        <v>126761.72</v>
      </c>
      <c r="I17" s="267">
        <v>12236</v>
      </c>
      <c r="J17" s="277">
        <v>38865.89</v>
      </c>
      <c r="K17" s="276">
        <f t="shared" si="0"/>
        <v>52923</v>
      </c>
      <c r="L17" s="278">
        <f t="shared" si="0"/>
        <v>166691.89000000001</v>
      </c>
      <c r="M17" s="279">
        <f t="shared" si="1"/>
        <v>60666</v>
      </c>
      <c r="N17" s="280">
        <f t="shared" si="1"/>
        <v>197255</v>
      </c>
      <c r="O17" s="269">
        <f t="shared" si="2"/>
        <v>3.9471923027250422</v>
      </c>
      <c r="P17" s="269">
        <f t="shared" si="3"/>
        <v>3.14970598794475</v>
      </c>
    </row>
    <row r="18" spans="1:16" x14ac:dyDescent="0.3">
      <c r="A18" s="273" t="s">
        <v>181</v>
      </c>
      <c r="B18" s="303">
        <v>2.2166000000000001</v>
      </c>
      <c r="C18" s="267">
        <v>3889</v>
      </c>
      <c r="D18" s="277">
        <v>13715.51</v>
      </c>
      <c r="E18" s="267">
        <v>0</v>
      </c>
      <c r="F18" s="277">
        <v>1064.28</v>
      </c>
      <c r="G18" s="267">
        <v>39572</v>
      </c>
      <c r="H18" s="277">
        <v>102239.29</v>
      </c>
      <c r="I18" s="267">
        <v>6247</v>
      </c>
      <c r="J18" s="277">
        <v>17036.18</v>
      </c>
      <c r="K18" s="276">
        <f t="shared" si="0"/>
        <v>45819</v>
      </c>
      <c r="L18" s="278">
        <f t="shared" si="0"/>
        <v>120339.75</v>
      </c>
      <c r="M18" s="279">
        <f t="shared" si="1"/>
        <v>49708</v>
      </c>
      <c r="N18" s="280">
        <f t="shared" si="1"/>
        <v>134055.25999999998</v>
      </c>
      <c r="O18" s="269">
        <f t="shared" si="2"/>
        <v>3.526744664438159</v>
      </c>
      <c r="P18" s="269">
        <f t="shared" si="3"/>
        <v>2.6264158973351668</v>
      </c>
    </row>
    <row r="19" spans="1:16" x14ac:dyDescent="0.3">
      <c r="A19" s="273" t="s">
        <v>237</v>
      </c>
      <c r="B19" s="303"/>
      <c r="C19" s="267"/>
      <c r="D19" s="277"/>
      <c r="E19" s="267"/>
      <c r="F19" s="277"/>
      <c r="G19" s="267"/>
      <c r="H19" s="277"/>
      <c r="I19" s="267"/>
      <c r="J19" s="277"/>
      <c r="K19" s="276">
        <f t="shared" si="0"/>
        <v>0</v>
      </c>
      <c r="L19" s="278">
        <f t="shared" si="0"/>
        <v>0</v>
      </c>
      <c r="M19" s="279">
        <f t="shared" si="1"/>
        <v>0</v>
      </c>
      <c r="N19" s="280">
        <f t="shared" si="1"/>
        <v>0</v>
      </c>
      <c r="O19" s="269" t="e">
        <f t="shared" si="2"/>
        <v>#DIV/0!</v>
      </c>
      <c r="P19" s="269" t="e">
        <f t="shared" si="3"/>
        <v>#DIV/0!</v>
      </c>
    </row>
    <row r="20" spans="1:16" x14ac:dyDescent="0.3">
      <c r="A20" s="273" t="s">
        <v>188</v>
      </c>
      <c r="B20" s="303"/>
      <c r="C20" s="267"/>
      <c r="D20" s="277"/>
      <c r="E20" s="267"/>
      <c r="F20" s="277"/>
      <c r="G20" s="267"/>
      <c r="H20" s="277"/>
      <c r="I20" s="287"/>
      <c r="J20" s="277"/>
      <c r="K20" s="276">
        <f t="shared" si="0"/>
        <v>0</v>
      </c>
      <c r="L20" s="278">
        <f t="shared" si="0"/>
        <v>0</v>
      </c>
      <c r="M20" s="279">
        <f t="shared" si="1"/>
        <v>0</v>
      </c>
      <c r="N20" s="280">
        <f t="shared" si="1"/>
        <v>0</v>
      </c>
      <c r="O20" s="269" t="e">
        <f t="shared" si="2"/>
        <v>#DIV/0!</v>
      </c>
      <c r="P20" s="269" t="e">
        <f t="shared" si="3"/>
        <v>#DIV/0!</v>
      </c>
    </row>
    <row r="21" spans="1:16" x14ac:dyDescent="0.3">
      <c r="A21" s="273" t="s">
        <v>189</v>
      </c>
      <c r="B21" s="303"/>
      <c r="C21" s="267"/>
      <c r="D21" s="277"/>
      <c r="E21" s="267"/>
      <c r="F21" s="277"/>
      <c r="G21" s="267"/>
      <c r="H21" s="277"/>
      <c r="I21" s="267"/>
      <c r="J21" s="277"/>
      <c r="K21" s="276">
        <f t="shared" si="0"/>
        <v>0</v>
      </c>
      <c r="L21" s="278">
        <f t="shared" si="0"/>
        <v>0</v>
      </c>
      <c r="M21" s="279">
        <f t="shared" si="1"/>
        <v>0</v>
      </c>
      <c r="N21" s="280">
        <f t="shared" si="1"/>
        <v>0</v>
      </c>
      <c r="O21" s="269" t="e">
        <f t="shared" si="2"/>
        <v>#DIV/0!</v>
      </c>
      <c r="P21" s="269" t="e">
        <f t="shared" si="3"/>
        <v>#DIV/0!</v>
      </c>
    </row>
    <row r="22" spans="1:16" x14ac:dyDescent="0.3">
      <c r="A22" s="288" t="s">
        <v>221</v>
      </c>
      <c r="B22" s="295"/>
      <c r="C22" s="285">
        <f t="shared" ref="C22:N22" si="4">SUM(C10:C21)</f>
        <v>39050</v>
      </c>
      <c r="D22" s="286">
        <f t="shared" si="4"/>
        <v>159274.06</v>
      </c>
      <c r="E22" s="285">
        <f t="shared" si="4"/>
        <v>0</v>
      </c>
      <c r="F22" s="286">
        <f t="shared" si="4"/>
        <v>9578.52</v>
      </c>
      <c r="G22" s="285">
        <f t="shared" si="4"/>
        <v>357587</v>
      </c>
      <c r="H22" s="286">
        <f t="shared" si="4"/>
        <v>1191692.4100000001</v>
      </c>
      <c r="I22" s="285">
        <f t="shared" si="4"/>
        <v>77600</v>
      </c>
      <c r="J22" s="286">
        <f t="shared" si="4"/>
        <v>254224.66000000003</v>
      </c>
      <c r="K22" s="299">
        <f t="shared" si="4"/>
        <v>435187</v>
      </c>
      <c r="L22" s="282">
        <f t="shared" si="4"/>
        <v>1455495.5899999999</v>
      </c>
      <c r="M22" s="283">
        <f t="shared" si="4"/>
        <v>474237</v>
      </c>
      <c r="N22" s="284">
        <f t="shared" si="4"/>
        <v>1614769.6500000001</v>
      </c>
      <c r="O22" s="267"/>
      <c r="P22" s="267"/>
    </row>
    <row r="23" spans="1:16" x14ac:dyDescent="0.3">
      <c r="A23" s="288" t="s">
        <v>328</v>
      </c>
      <c r="B23" s="295">
        <f>AVERAGE(B10:B21)</f>
        <v>2.9512222222222224</v>
      </c>
      <c r="C23" s="285"/>
      <c r="D23" s="286"/>
      <c r="E23" s="285"/>
      <c r="F23" s="286"/>
      <c r="G23" s="285"/>
      <c r="H23" s="286"/>
      <c r="I23" s="285"/>
      <c r="J23" s="286"/>
      <c r="K23" s="285"/>
      <c r="L23" s="286"/>
      <c r="M23" s="285"/>
      <c r="N23" s="286"/>
      <c r="O23" s="268" t="e">
        <f>AVERAGE(O10:O21)</f>
        <v>#DIV/0!</v>
      </c>
      <c r="P23" s="268" t="e">
        <f>AVERAGE(P10:P21)</f>
        <v>#DIV/0!</v>
      </c>
    </row>
    <row r="27" spans="1:16" x14ac:dyDescent="0.3">
      <c r="A27" s="270" t="s">
        <v>284</v>
      </c>
      <c r="B27" s="270"/>
      <c r="C27" s="498" t="s">
        <v>223</v>
      </c>
      <c r="D27" s="498"/>
      <c r="E27" s="499" t="s">
        <v>224</v>
      </c>
      <c r="F27" s="499"/>
      <c r="G27" s="499"/>
      <c r="H27" s="499"/>
      <c r="I27" s="499"/>
      <c r="J27" s="499"/>
      <c r="K27" s="499"/>
      <c r="L27" s="499"/>
      <c r="M27" s="502"/>
      <c r="N27" s="503"/>
      <c r="O27" s="423" t="s">
        <v>63</v>
      </c>
      <c r="P27" s="423" t="s">
        <v>61</v>
      </c>
    </row>
    <row r="28" spans="1:16" ht="18.600000000000001" customHeight="1" x14ac:dyDescent="0.3">
      <c r="A28" s="271" t="s">
        <v>225</v>
      </c>
      <c r="B28" s="504" t="s">
        <v>243</v>
      </c>
      <c r="C28" s="275"/>
      <c r="D28" s="275"/>
      <c r="E28" s="500" t="s">
        <v>238</v>
      </c>
      <c r="F28" s="500"/>
      <c r="G28" s="500" t="s">
        <v>239</v>
      </c>
      <c r="H28" s="500"/>
      <c r="I28" s="500" t="s">
        <v>226</v>
      </c>
      <c r="J28" s="500"/>
      <c r="K28" s="501" t="s">
        <v>227</v>
      </c>
      <c r="L28" s="501" t="s">
        <v>228</v>
      </c>
      <c r="M28" s="494" t="s">
        <v>229</v>
      </c>
      <c r="N28" s="494" t="s">
        <v>215</v>
      </c>
      <c r="O28" s="496" t="s">
        <v>240</v>
      </c>
      <c r="P28" s="496" t="s">
        <v>241</v>
      </c>
    </row>
    <row r="29" spans="1:16" ht="23.4" customHeight="1" x14ac:dyDescent="0.3">
      <c r="A29" s="271"/>
      <c r="B29" s="505"/>
      <c r="C29" s="423" t="s">
        <v>13</v>
      </c>
      <c r="D29" s="423" t="s">
        <v>230</v>
      </c>
      <c r="E29" s="423" t="s">
        <v>13</v>
      </c>
      <c r="F29" s="423" t="s">
        <v>230</v>
      </c>
      <c r="G29" s="423" t="s">
        <v>13</v>
      </c>
      <c r="H29" s="423" t="s">
        <v>230</v>
      </c>
      <c r="I29" s="423" t="s">
        <v>13</v>
      </c>
      <c r="J29" s="423" t="s">
        <v>230</v>
      </c>
      <c r="K29" s="501"/>
      <c r="L29" s="501"/>
      <c r="M29" s="495"/>
      <c r="N29" s="495"/>
      <c r="O29" s="497"/>
      <c r="P29" s="497"/>
    </row>
    <row r="30" spans="1:16" x14ac:dyDescent="0.3">
      <c r="A30" s="272" t="s">
        <v>231</v>
      </c>
      <c r="B30" s="303">
        <v>5.1262999999999996</v>
      </c>
      <c r="C30" s="267">
        <v>712</v>
      </c>
      <c r="D30" s="277">
        <v>5340.32</v>
      </c>
      <c r="E30" s="267">
        <v>0</v>
      </c>
      <c r="F30" s="277">
        <v>1064.28</v>
      </c>
      <c r="G30" s="267">
        <v>37631</v>
      </c>
      <c r="H30" s="277">
        <v>208961.49</v>
      </c>
      <c r="I30" s="267">
        <v>3338</v>
      </c>
      <c r="J30" s="277">
        <v>19505.48</v>
      </c>
      <c r="K30" s="276">
        <f t="shared" ref="K30:L41" si="5">+E30+G30+I30</f>
        <v>40969</v>
      </c>
      <c r="L30" s="278">
        <f t="shared" si="5"/>
        <v>229531.25</v>
      </c>
      <c r="M30" s="279">
        <f t="shared" ref="M30:N41" si="6">+C30+E30+G30+I30</f>
        <v>41681</v>
      </c>
      <c r="N30" s="280">
        <f t="shared" si="6"/>
        <v>234871.57</v>
      </c>
      <c r="O30" s="269">
        <f>+D30/C30</f>
        <v>7.5004494382022466</v>
      </c>
      <c r="P30" s="269">
        <f>+L30/K30</f>
        <v>5.6025592521174543</v>
      </c>
    </row>
    <row r="31" spans="1:16" x14ac:dyDescent="0.3">
      <c r="A31" s="272" t="s">
        <v>232</v>
      </c>
      <c r="B31" s="303">
        <v>4.5640000000000001</v>
      </c>
      <c r="C31" s="267">
        <v>963</v>
      </c>
      <c r="D31" s="277">
        <v>6361.56</v>
      </c>
      <c r="E31" s="267">
        <v>0</v>
      </c>
      <c r="F31" s="277">
        <v>1064.28</v>
      </c>
      <c r="G31" s="267">
        <v>42499</v>
      </c>
      <c r="H31" s="277">
        <v>211480.23</v>
      </c>
      <c r="I31" s="267">
        <v>3355</v>
      </c>
      <c r="J31" s="277">
        <v>17675.150000000001</v>
      </c>
      <c r="K31" s="276">
        <f t="shared" si="5"/>
        <v>45854</v>
      </c>
      <c r="L31" s="278">
        <f t="shared" si="5"/>
        <v>230219.66</v>
      </c>
      <c r="M31" s="279">
        <f t="shared" si="6"/>
        <v>46817</v>
      </c>
      <c r="N31" s="280">
        <f t="shared" si="6"/>
        <v>236581.22</v>
      </c>
      <c r="O31" s="269">
        <f t="shared" ref="O31:O41" si="7">+D31/C31</f>
        <v>6.6059813084112156</v>
      </c>
      <c r="P31" s="269">
        <f t="shared" ref="P31:P41" si="8">+L31/K31</f>
        <v>5.0207105159855194</v>
      </c>
    </row>
    <row r="32" spans="1:16" x14ac:dyDescent="0.3">
      <c r="A32" s="273" t="s">
        <v>233</v>
      </c>
      <c r="B32" s="303">
        <v>4.7340999999999998</v>
      </c>
      <c r="C32" s="267">
        <v>1060</v>
      </c>
      <c r="D32" s="277">
        <v>7097.96</v>
      </c>
      <c r="E32" s="267">
        <v>0</v>
      </c>
      <c r="F32" s="277">
        <v>1064.28</v>
      </c>
      <c r="G32" s="267">
        <v>36203</v>
      </c>
      <c r="H32" s="277">
        <v>186589.52</v>
      </c>
      <c r="I32" s="267">
        <v>4401</v>
      </c>
      <c r="J32" s="277">
        <v>23617.56</v>
      </c>
      <c r="K32" s="276">
        <f t="shared" si="5"/>
        <v>40604</v>
      </c>
      <c r="L32" s="278">
        <f t="shared" si="5"/>
        <v>211271.36</v>
      </c>
      <c r="M32" s="279">
        <f t="shared" si="6"/>
        <v>41664</v>
      </c>
      <c r="N32" s="280">
        <f t="shared" si="6"/>
        <v>218369.31999999998</v>
      </c>
      <c r="O32" s="269">
        <f t="shared" si="7"/>
        <v>6.6961886792452834</v>
      </c>
      <c r="P32" s="269">
        <f t="shared" si="8"/>
        <v>5.2032154467540144</v>
      </c>
    </row>
    <row r="33" spans="1:16" x14ac:dyDescent="0.3">
      <c r="A33" s="273" t="s">
        <v>234</v>
      </c>
      <c r="B33" s="303">
        <v>4.5586000000000002</v>
      </c>
      <c r="C33" s="267">
        <v>1588</v>
      </c>
      <c r="D33" s="277">
        <v>9912.6200000000008</v>
      </c>
      <c r="E33" s="267">
        <v>0</v>
      </c>
      <c r="F33" s="277">
        <v>1064.28</v>
      </c>
      <c r="G33" s="267">
        <v>39333</v>
      </c>
      <c r="H33" s="277">
        <v>195588.46</v>
      </c>
      <c r="I33" s="267">
        <v>5717</v>
      </c>
      <c r="J33" s="277">
        <v>29338.12</v>
      </c>
      <c r="K33" s="276">
        <f t="shared" si="5"/>
        <v>45050</v>
      </c>
      <c r="L33" s="278">
        <f t="shared" si="5"/>
        <v>225990.86</v>
      </c>
      <c r="M33" s="279">
        <f t="shared" si="6"/>
        <v>46638</v>
      </c>
      <c r="N33" s="280">
        <f t="shared" si="6"/>
        <v>235903.47999999998</v>
      </c>
      <c r="O33" s="269">
        <f t="shared" si="7"/>
        <v>6.2422040302267003</v>
      </c>
      <c r="P33" s="269">
        <f t="shared" si="8"/>
        <v>5.0164452830188679</v>
      </c>
    </row>
    <row r="34" spans="1:16" x14ac:dyDescent="0.3">
      <c r="A34" s="273" t="s">
        <v>235</v>
      </c>
      <c r="B34" s="303">
        <v>4.2196999999999996</v>
      </c>
      <c r="C34" s="267">
        <v>4226</v>
      </c>
      <c r="D34" s="277">
        <v>23462.46</v>
      </c>
      <c r="E34" s="267">
        <v>0</v>
      </c>
      <c r="F34" s="277">
        <v>1064.28</v>
      </c>
      <c r="G34" s="267">
        <v>36567</v>
      </c>
      <c r="H34" s="277">
        <v>169268.61</v>
      </c>
      <c r="I34" s="267">
        <v>9424</v>
      </c>
      <c r="J34" s="277">
        <v>44413.68</v>
      </c>
      <c r="K34" s="276">
        <f t="shared" si="5"/>
        <v>45991</v>
      </c>
      <c r="L34" s="278">
        <f t="shared" si="5"/>
        <v>214746.56999999998</v>
      </c>
      <c r="M34" s="279">
        <f t="shared" si="6"/>
        <v>50217</v>
      </c>
      <c r="N34" s="280">
        <f t="shared" si="6"/>
        <v>238209.02999999997</v>
      </c>
      <c r="O34" s="269">
        <f t="shared" si="7"/>
        <v>5.5519309039280644</v>
      </c>
      <c r="P34" s="269">
        <f t="shared" si="8"/>
        <v>4.6693172577243365</v>
      </c>
    </row>
    <row r="35" spans="1:16" x14ac:dyDescent="0.3">
      <c r="A35" s="273" t="s">
        <v>236</v>
      </c>
      <c r="B35" s="303">
        <v>5.1121999999999996</v>
      </c>
      <c r="C35" s="267">
        <v>7378</v>
      </c>
      <c r="D35" s="277">
        <v>47024.87</v>
      </c>
      <c r="E35" s="267">
        <v>0</v>
      </c>
      <c r="F35" s="277">
        <v>1064.28</v>
      </c>
      <c r="G35" s="267">
        <v>41114</v>
      </c>
      <c r="H35" s="277">
        <v>227612.45</v>
      </c>
      <c r="I35" s="267">
        <v>8776</v>
      </c>
      <c r="J35" s="277">
        <v>49422.18</v>
      </c>
      <c r="K35" s="276">
        <f t="shared" si="5"/>
        <v>49890</v>
      </c>
      <c r="L35" s="278">
        <f t="shared" si="5"/>
        <v>278098.91000000003</v>
      </c>
      <c r="M35" s="279">
        <f t="shared" si="6"/>
        <v>57268</v>
      </c>
      <c r="N35" s="280">
        <f t="shared" si="6"/>
        <v>325123.78000000003</v>
      </c>
      <c r="O35" s="269">
        <f t="shared" si="7"/>
        <v>6.3736608837083226</v>
      </c>
      <c r="P35" s="269">
        <f t="shared" si="8"/>
        <v>5.5742415313690126</v>
      </c>
    </row>
    <row r="36" spans="1:16" x14ac:dyDescent="0.3">
      <c r="A36" s="273" t="s">
        <v>178</v>
      </c>
      <c r="B36" s="303">
        <v>3.7625000000000002</v>
      </c>
      <c r="C36" s="267">
        <v>11816</v>
      </c>
      <c r="D36" s="277">
        <v>58516.85</v>
      </c>
      <c r="E36" s="267">
        <v>0</v>
      </c>
      <c r="F36" s="277">
        <v>1064.28</v>
      </c>
      <c r="G36" s="267">
        <v>42373</v>
      </c>
      <c r="H36" s="277">
        <v>176215.19</v>
      </c>
      <c r="I36" s="267">
        <v>15733</v>
      </c>
      <c r="J36" s="277">
        <v>66097.42</v>
      </c>
      <c r="K36" s="276">
        <f t="shared" si="5"/>
        <v>58106</v>
      </c>
      <c r="L36" s="278">
        <f t="shared" si="5"/>
        <v>243376.89</v>
      </c>
      <c r="M36" s="279">
        <f t="shared" si="6"/>
        <v>69922</v>
      </c>
      <c r="N36" s="280">
        <f t="shared" si="6"/>
        <v>301893.74</v>
      </c>
      <c r="O36" s="269">
        <f t="shared" si="7"/>
        <v>4.9523400473933652</v>
      </c>
      <c r="P36" s="269">
        <f t="shared" si="8"/>
        <v>4.1884984338966715</v>
      </c>
    </row>
    <row r="37" spans="1:16" x14ac:dyDescent="0.3">
      <c r="A37" s="273" t="s">
        <v>179</v>
      </c>
      <c r="B37" s="303">
        <v>3.3702999999999999</v>
      </c>
      <c r="C37" s="267">
        <v>7561</v>
      </c>
      <c r="D37" s="277">
        <v>34735.589999999997</v>
      </c>
      <c r="E37" s="267">
        <v>0</v>
      </c>
      <c r="F37" s="277">
        <v>1064.28</v>
      </c>
      <c r="G37" s="267">
        <v>40979</v>
      </c>
      <c r="H37" s="277">
        <v>154059.62</v>
      </c>
      <c r="I37" s="267">
        <v>8602</v>
      </c>
      <c r="J37" s="277">
        <v>33179.9</v>
      </c>
      <c r="K37" s="276">
        <f t="shared" si="5"/>
        <v>49581</v>
      </c>
      <c r="L37" s="278">
        <f t="shared" si="5"/>
        <v>188303.8</v>
      </c>
      <c r="M37" s="279">
        <f t="shared" si="6"/>
        <v>57142</v>
      </c>
      <c r="N37" s="280">
        <f t="shared" si="6"/>
        <v>223039.38999999998</v>
      </c>
      <c r="O37" s="269">
        <f t="shared" si="7"/>
        <v>4.5940470837190839</v>
      </c>
      <c r="P37" s="269">
        <f t="shared" si="8"/>
        <v>3.7979024222988644</v>
      </c>
    </row>
    <row r="38" spans="1:16" x14ac:dyDescent="0.3">
      <c r="A38" s="273" t="s">
        <v>181</v>
      </c>
      <c r="B38" s="303">
        <v>3.36</v>
      </c>
      <c r="C38" s="267">
        <v>5680</v>
      </c>
      <c r="D38" s="277">
        <v>26252.6</v>
      </c>
      <c r="E38" s="267">
        <v>0</v>
      </c>
      <c r="F38" s="277">
        <v>1064.28</v>
      </c>
      <c r="G38" s="267">
        <v>35404</v>
      </c>
      <c r="H38" s="277">
        <v>132873.37</v>
      </c>
      <c r="I38" s="267">
        <v>7791</v>
      </c>
      <c r="J38" s="277">
        <v>30070.18</v>
      </c>
      <c r="K38" s="276">
        <f t="shared" si="5"/>
        <v>43195</v>
      </c>
      <c r="L38" s="278">
        <f t="shared" si="5"/>
        <v>164007.82999999999</v>
      </c>
      <c r="M38" s="279">
        <f t="shared" si="6"/>
        <v>48875</v>
      </c>
      <c r="N38" s="280">
        <f t="shared" si="6"/>
        <v>190260.43</v>
      </c>
      <c r="O38" s="269">
        <f t="shared" si="7"/>
        <v>4.6219366197183094</v>
      </c>
      <c r="P38" s="269">
        <f t="shared" si="8"/>
        <v>3.796917004282903</v>
      </c>
    </row>
    <row r="39" spans="1:16" x14ac:dyDescent="0.3">
      <c r="A39" s="273" t="s">
        <v>237</v>
      </c>
      <c r="B39" s="303">
        <v>3.0823999999999998</v>
      </c>
      <c r="C39" s="267">
        <v>2879</v>
      </c>
      <c r="D39" s="277">
        <v>12923.65</v>
      </c>
      <c r="E39" s="267">
        <v>0</v>
      </c>
      <c r="F39" s="277">
        <v>1064.28</v>
      </c>
      <c r="G39" s="267">
        <v>38706</v>
      </c>
      <c r="H39" s="277">
        <v>134207.03</v>
      </c>
      <c r="I39" s="267">
        <v>7939</v>
      </c>
      <c r="J39" s="277">
        <v>28373.22</v>
      </c>
      <c r="K39" s="276">
        <f t="shared" si="5"/>
        <v>46645</v>
      </c>
      <c r="L39" s="278">
        <f t="shared" si="5"/>
        <v>163644.53</v>
      </c>
      <c r="M39" s="279">
        <f t="shared" si="6"/>
        <v>49524</v>
      </c>
      <c r="N39" s="280">
        <f t="shared" si="6"/>
        <v>176568.18</v>
      </c>
      <c r="O39" s="269">
        <f t="shared" si="7"/>
        <v>4.488937130948246</v>
      </c>
      <c r="P39" s="269">
        <f t="shared" si="8"/>
        <v>3.5082973523421588</v>
      </c>
    </row>
    <row r="40" spans="1:16" x14ac:dyDescent="0.3">
      <c r="A40" s="273" t="s">
        <v>188</v>
      </c>
      <c r="B40" s="303">
        <v>2.9796999999999998</v>
      </c>
      <c r="C40" s="267">
        <v>1695</v>
      </c>
      <c r="D40" s="277">
        <v>7791.71</v>
      </c>
      <c r="E40" s="267">
        <v>0</v>
      </c>
      <c r="F40" s="277">
        <v>1064.28</v>
      </c>
      <c r="G40" s="267">
        <v>38237</v>
      </c>
      <c r="H40" s="277">
        <v>128588.27</v>
      </c>
      <c r="I40" s="287">
        <v>6389</v>
      </c>
      <c r="J40" s="277">
        <v>22372.19</v>
      </c>
      <c r="K40" s="276">
        <f t="shared" si="5"/>
        <v>44626</v>
      </c>
      <c r="L40" s="278">
        <f t="shared" si="5"/>
        <v>152024.74</v>
      </c>
      <c r="M40" s="279">
        <f t="shared" si="6"/>
        <v>46321</v>
      </c>
      <c r="N40" s="280">
        <f t="shared" si="6"/>
        <v>159816.45000000001</v>
      </c>
      <c r="O40" s="269">
        <f t="shared" si="7"/>
        <v>4.5968790560471975</v>
      </c>
      <c r="P40" s="269">
        <f t="shared" si="8"/>
        <v>3.4066405234616588</v>
      </c>
    </row>
    <row r="41" spans="1:16" x14ac:dyDescent="0.3">
      <c r="A41" s="273" t="s">
        <v>189</v>
      </c>
      <c r="B41" s="303">
        <v>3.3189000000000002</v>
      </c>
      <c r="C41" s="267">
        <v>1022</v>
      </c>
      <c r="D41" s="277">
        <v>5399.68</v>
      </c>
      <c r="E41" s="267">
        <v>0</v>
      </c>
      <c r="F41" s="277">
        <v>1064.28</v>
      </c>
      <c r="G41" s="267">
        <v>41538</v>
      </c>
      <c r="H41" s="277">
        <v>153968.9</v>
      </c>
      <c r="I41" s="267">
        <v>2715</v>
      </c>
      <c r="J41" s="277">
        <v>11058.41</v>
      </c>
      <c r="K41" s="276">
        <f t="shared" si="5"/>
        <v>44253</v>
      </c>
      <c r="L41" s="278">
        <f t="shared" si="5"/>
        <v>166091.59</v>
      </c>
      <c r="M41" s="279">
        <f t="shared" si="6"/>
        <v>45275</v>
      </c>
      <c r="N41" s="280">
        <f t="shared" si="6"/>
        <v>171491.27</v>
      </c>
      <c r="O41" s="269">
        <f t="shared" si="7"/>
        <v>5.2834442270058712</v>
      </c>
      <c r="P41" s="269">
        <f t="shared" si="8"/>
        <v>3.7532278037647164</v>
      </c>
    </row>
    <row r="42" spans="1:16" x14ac:dyDescent="0.3">
      <c r="A42" s="288" t="s">
        <v>221</v>
      </c>
      <c r="B42" s="295"/>
      <c r="C42" s="285">
        <f t="shared" ref="C42:N42" si="9">SUM(C30:C41)</f>
        <v>46580</v>
      </c>
      <c r="D42" s="286">
        <f t="shared" si="9"/>
        <v>244819.87</v>
      </c>
      <c r="E42" s="285">
        <f t="shared" si="9"/>
        <v>0</v>
      </c>
      <c r="F42" s="286">
        <f t="shared" si="9"/>
        <v>12771.360000000002</v>
      </c>
      <c r="G42" s="285">
        <f t="shared" si="9"/>
        <v>470584</v>
      </c>
      <c r="H42" s="286">
        <f t="shared" si="9"/>
        <v>2079413.14</v>
      </c>
      <c r="I42" s="285">
        <f t="shared" si="9"/>
        <v>84180</v>
      </c>
      <c r="J42" s="286">
        <f t="shared" si="9"/>
        <v>375123.49</v>
      </c>
      <c r="K42" s="299">
        <f t="shared" si="9"/>
        <v>554764</v>
      </c>
      <c r="L42" s="282">
        <f t="shared" si="9"/>
        <v>2467307.9900000002</v>
      </c>
      <c r="M42" s="283">
        <f t="shared" si="9"/>
        <v>601344</v>
      </c>
      <c r="N42" s="284">
        <f t="shared" si="9"/>
        <v>2712127.8600000003</v>
      </c>
      <c r="O42" s="267"/>
      <c r="P42" s="267"/>
    </row>
    <row r="43" spans="1:16" x14ac:dyDescent="0.3">
      <c r="A43" s="288"/>
      <c r="B43" s="295"/>
      <c r="C43" s="285"/>
      <c r="D43" s="286"/>
      <c r="E43" s="285"/>
      <c r="F43" s="286"/>
      <c r="G43" s="285"/>
      <c r="H43" s="286"/>
      <c r="I43" s="285"/>
      <c r="J43" s="286"/>
      <c r="K43" s="285"/>
      <c r="L43" s="286"/>
      <c r="M43" s="285"/>
      <c r="N43" s="302" t="s">
        <v>242</v>
      </c>
      <c r="O43" s="268">
        <f>AVERAGE(O30:O41)</f>
        <v>5.6256666173794931</v>
      </c>
      <c r="P43" s="268">
        <f>AVERAGE(P30:P41)</f>
        <v>4.4614977355846817</v>
      </c>
    </row>
    <row r="47" spans="1:16" x14ac:dyDescent="0.3">
      <c r="A47" s="270" t="s">
        <v>222</v>
      </c>
      <c r="B47" s="270"/>
      <c r="C47" s="498" t="s">
        <v>223</v>
      </c>
      <c r="D47" s="498"/>
      <c r="E47" s="499" t="s">
        <v>224</v>
      </c>
      <c r="F47" s="499"/>
      <c r="G47" s="499"/>
      <c r="H47" s="499"/>
      <c r="I47" s="499"/>
      <c r="J47" s="499"/>
      <c r="K47" s="499"/>
      <c r="L47" s="499"/>
      <c r="M47" s="502"/>
      <c r="N47" s="503"/>
      <c r="O47" s="423" t="s">
        <v>63</v>
      </c>
      <c r="P47" s="423" t="s">
        <v>61</v>
      </c>
    </row>
    <row r="48" spans="1:16" ht="18.600000000000001" customHeight="1" x14ac:dyDescent="0.3">
      <c r="A48" s="271" t="s">
        <v>225</v>
      </c>
      <c r="B48" s="504" t="s">
        <v>243</v>
      </c>
      <c r="C48" s="275"/>
      <c r="D48" s="275"/>
      <c r="E48" s="500" t="s">
        <v>238</v>
      </c>
      <c r="F48" s="500"/>
      <c r="G48" s="500" t="s">
        <v>239</v>
      </c>
      <c r="H48" s="500"/>
      <c r="I48" s="500" t="s">
        <v>226</v>
      </c>
      <c r="J48" s="500"/>
      <c r="K48" s="501" t="s">
        <v>227</v>
      </c>
      <c r="L48" s="501" t="s">
        <v>228</v>
      </c>
      <c r="M48" s="494" t="s">
        <v>229</v>
      </c>
      <c r="N48" s="494" t="s">
        <v>215</v>
      </c>
      <c r="O48" s="496" t="s">
        <v>240</v>
      </c>
      <c r="P48" s="496" t="s">
        <v>241</v>
      </c>
    </row>
    <row r="49" spans="1:16" ht="23.4" customHeight="1" x14ac:dyDescent="0.3">
      <c r="A49" s="271"/>
      <c r="B49" s="505"/>
      <c r="C49" s="423" t="s">
        <v>13</v>
      </c>
      <c r="D49" s="423" t="s">
        <v>230</v>
      </c>
      <c r="E49" s="423" t="s">
        <v>13</v>
      </c>
      <c r="F49" s="423" t="s">
        <v>230</v>
      </c>
      <c r="G49" s="423" t="s">
        <v>13</v>
      </c>
      <c r="H49" s="423" t="s">
        <v>230</v>
      </c>
      <c r="I49" s="423" t="s">
        <v>13</v>
      </c>
      <c r="J49" s="423" t="s">
        <v>230</v>
      </c>
      <c r="K49" s="501"/>
      <c r="L49" s="501"/>
      <c r="M49" s="495"/>
      <c r="N49" s="495"/>
      <c r="O49" s="497"/>
      <c r="P49" s="497"/>
    </row>
    <row r="50" spans="1:16" x14ac:dyDescent="0.3">
      <c r="A50" s="272" t="s">
        <v>231</v>
      </c>
      <c r="B50" s="303">
        <v>4.1722000000000001</v>
      </c>
      <c r="C50" s="267">
        <v>754</v>
      </c>
      <c r="D50" s="277">
        <v>4869.8500000000004</v>
      </c>
      <c r="E50" s="267">
        <v>13354</v>
      </c>
      <c r="F50" s="277">
        <v>61819.74</v>
      </c>
      <c r="G50" s="267">
        <v>20469</v>
      </c>
      <c r="H50" s="277">
        <v>94190.21</v>
      </c>
      <c r="I50" s="267">
        <v>174</v>
      </c>
      <c r="J50" s="277">
        <v>1855.91</v>
      </c>
      <c r="K50" s="276">
        <f t="shared" ref="K50:L61" si="10">+E50+G50+I50</f>
        <v>33997</v>
      </c>
      <c r="L50" s="278">
        <f t="shared" si="10"/>
        <v>157865.86000000002</v>
      </c>
      <c r="M50" s="279">
        <f t="shared" ref="M50:N61" si="11">+C50+E50+G50+I50</f>
        <v>34751</v>
      </c>
      <c r="N50" s="280">
        <f t="shared" si="11"/>
        <v>162735.71</v>
      </c>
      <c r="O50" s="269">
        <f>+D50/C50</f>
        <v>6.4586870026525203</v>
      </c>
      <c r="P50" s="269">
        <f>+L50/K50</f>
        <v>4.6435232520516525</v>
      </c>
    </row>
    <row r="51" spans="1:16" x14ac:dyDescent="0.3">
      <c r="A51" s="272" t="s">
        <v>232</v>
      </c>
      <c r="B51" s="303">
        <v>4.07</v>
      </c>
      <c r="C51" s="267">
        <v>840</v>
      </c>
      <c r="D51" s="277">
        <v>5237.74</v>
      </c>
      <c r="E51" s="267">
        <v>0</v>
      </c>
      <c r="F51" s="277">
        <v>1064.28</v>
      </c>
      <c r="G51" s="267">
        <v>40869</v>
      </c>
      <c r="H51" s="277">
        <v>182741.87</v>
      </c>
      <c r="I51" s="267">
        <v>10</v>
      </c>
      <c r="J51" s="277">
        <v>1108.73</v>
      </c>
      <c r="K51" s="276">
        <f t="shared" si="10"/>
        <v>40879</v>
      </c>
      <c r="L51" s="278">
        <f t="shared" si="10"/>
        <v>184914.88</v>
      </c>
      <c r="M51" s="279">
        <f t="shared" si="11"/>
        <v>41719</v>
      </c>
      <c r="N51" s="280">
        <f t="shared" si="11"/>
        <v>190152.62</v>
      </c>
      <c r="O51" s="269">
        <f t="shared" ref="O51:O61" si="12">+D51/C51</f>
        <v>6.2354047619047615</v>
      </c>
      <c r="P51" s="269">
        <f t="shared" ref="P51:P61" si="13">+L51/K51</f>
        <v>4.5234687736979868</v>
      </c>
    </row>
    <row r="52" spans="1:16" x14ac:dyDescent="0.3">
      <c r="A52" s="273" t="s">
        <v>233</v>
      </c>
      <c r="B52" s="303">
        <v>4.0086000000000004</v>
      </c>
      <c r="C52" s="267">
        <v>1119</v>
      </c>
      <c r="D52" s="277">
        <v>6616.17</v>
      </c>
      <c r="E52" s="267">
        <v>0</v>
      </c>
      <c r="F52" s="277">
        <v>1064.28</v>
      </c>
      <c r="G52" s="267">
        <v>40572</v>
      </c>
      <c r="H52" s="277">
        <v>178955.14</v>
      </c>
      <c r="I52" s="267">
        <v>99</v>
      </c>
      <c r="J52" s="277">
        <v>1498.35</v>
      </c>
      <c r="K52" s="276">
        <f t="shared" si="10"/>
        <v>40671</v>
      </c>
      <c r="L52" s="278">
        <f t="shared" si="10"/>
        <v>181517.77000000002</v>
      </c>
      <c r="M52" s="279">
        <f t="shared" si="11"/>
        <v>41790</v>
      </c>
      <c r="N52" s="280">
        <f t="shared" si="11"/>
        <v>188133.94000000003</v>
      </c>
      <c r="O52" s="269">
        <f t="shared" si="12"/>
        <v>5.912573726541555</v>
      </c>
      <c r="P52" s="269">
        <f t="shared" si="13"/>
        <v>4.4630761476236147</v>
      </c>
    </row>
    <row r="53" spans="1:16" x14ac:dyDescent="0.3">
      <c r="A53" s="273" t="s">
        <v>234</v>
      </c>
      <c r="B53" s="303">
        <v>3.9779</v>
      </c>
      <c r="C53" s="267">
        <v>1926</v>
      </c>
      <c r="D53" s="277">
        <v>10695.11</v>
      </c>
      <c r="E53" s="267">
        <v>0</v>
      </c>
      <c r="F53" s="277">
        <v>1064.28</v>
      </c>
      <c r="G53" s="267">
        <v>39974</v>
      </c>
      <c r="H53" s="277">
        <v>175081.41</v>
      </c>
      <c r="I53" s="267">
        <v>1376</v>
      </c>
      <c r="J53" s="277">
        <v>7054.36</v>
      </c>
      <c r="K53" s="276">
        <f t="shared" si="10"/>
        <v>41350</v>
      </c>
      <c r="L53" s="278">
        <f t="shared" si="10"/>
        <v>183200.05</v>
      </c>
      <c r="M53" s="279">
        <f t="shared" si="11"/>
        <v>43276</v>
      </c>
      <c r="N53" s="280">
        <f t="shared" si="11"/>
        <v>193895.16</v>
      </c>
      <c r="O53" s="269">
        <f t="shared" si="12"/>
        <v>5.5530166147455873</v>
      </c>
      <c r="P53" s="269">
        <f t="shared" si="13"/>
        <v>4.430472793228537</v>
      </c>
    </row>
    <row r="54" spans="1:16" x14ac:dyDescent="0.3">
      <c r="A54" s="273" t="s">
        <v>235</v>
      </c>
      <c r="B54" s="303">
        <v>4.1313000000000004</v>
      </c>
      <c r="C54" s="267">
        <v>3858</v>
      </c>
      <c r="D54" s="277">
        <v>21147.82</v>
      </c>
      <c r="E54" s="267">
        <v>0</v>
      </c>
      <c r="F54" s="277">
        <v>1064.28</v>
      </c>
      <c r="G54" s="267">
        <v>37677</v>
      </c>
      <c r="H54" s="277">
        <v>170977.22</v>
      </c>
      <c r="I54" s="267">
        <v>5581</v>
      </c>
      <c r="J54" s="277">
        <v>26233.07</v>
      </c>
      <c r="K54" s="276">
        <f t="shared" si="10"/>
        <v>43258</v>
      </c>
      <c r="L54" s="278">
        <f t="shared" si="10"/>
        <v>198274.57</v>
      </c>
      <c r="M54" s="279">
        <f t="shared" si="11"/>
        <v>47116</v>
      </c>
      <c r="N54" s="280">
        <f t="shared" si="11"/>
        <v>219422.39</v>
      </c>
      <c r="O54" s="269">
        <f t="shared" si="12"/>
        <v>5.4815500259201659</v>
      </c>
      <c r="P54" s="269">
        <f t="shared" si="13"/>
        <v>4.5835352998289336</v>
      </c>
    </row>
    <row r="55" spans="1:16" x14ac:dyDescent="0.3">
      <c r="A55" s="273" t="s">
        <v>236</v>
      </c>
      <c r="B55" s="303">
        <v>4.2430000000000003</v>
      </c>
      <c r="C55" s="267">
        <v>9303</v>
      </c>
      <c r="D55" s="277">
        <v>50817.55</v>
      </c>
      <c r="E55" s="267">
        <v>0</v>
      </c>
      <c r="F55" s="277">
        <v>1064.28</v>
      </c>
      <c r="G55" s="267">
        <v>34989</v>
      </c>
      <c r="H55" s="277">
        <v>162841.51999999999</v>
      </c>
      <c r="I55" s="267">
        <v>15648</v>
      </c>
      <c r="J55" s="277">
        <v>73415.31</v>
      </c>
      <c r="K55" s="276">
        <f t="shared" si="10"/>
        <v>50637</v>
      </c>
      <c r="L55" s="278">
        <f t="shared" si="10"/>
        <v>237321.11</v>
      </c>
      <c r="M55" s="279">
        <f t="shared" si="11"/>
        <v>59940</v>
      </c>
      <c r="N55" s="280">
        <f t="shared" si="11"/>
        <v>288138.65999999997</v>
      </c>
      <c r="O55" s="269">
        <f t="shared" si="12"/>
        <v>5.4624905944319044</v>
      </c>
      <c r="P55" s="269">
        <f t="shared" si="13"/>
        <v>4.6867134703872662</v>
      </c>
    </row>
    <row r="56" spans="1:16" x14ac:dyDescent="0.3">
      <c r="A56" s="273" t="s">
        <v>178</v>
      </c>
      <c r="B56" s="303">
        <v>5.0335999999999999</v>
      </c>
      <c r="C56" s="267">
        <v>11561</v>
      </c>
      <c r="D56" s="277">
        <v>72262.009999999995</v>
      </c>
      <c r="E56" s="267">
        <v>0</v>
      </c>
      <c r="F56" s="277">
        <v>1064.28</v>
      </c>
      <c r="G56" s="267">
        <v>46728</v>
      </c>
      <c r="H56" s="277">
        <v>254800.68</v>
      </c>
      <c r="I56" s="267">
        <v>14813</v>
      </c>
      <c r="J56" s="277">
        <v>81499.929999999993</v>
      </c>
      <c r="K56" s="276">
        <f t="shared" si="10"/>
        <v>61541</v>
      </c>
      <c r="L56" s="278">
        <f t="shared" si="10"/>
        <v>337364.89</v>
      </c>
      <c r="M56" s="279">
        <f t="shared" si="11"/>
        <v>73102</v>
      </c>
      <c r="N56" s="280">
        <f t="shared" si="11"/>
        <v>409626.89999999997</v>
      </c>
      <c r="O56" s="269">
        <f t="shared" si="12"/>
        <v>6.2504982267969895</v>
      </c>
      <c r="P56" s="269">
        <f t="shared" si="13"/>
        <v>5.481953331925058</v>
      </c>
    </row>
    <row r="57" spans="1:16" x14ac:dyDescent="0.3">
      <c r="A57" s="273" t="s">
        <v>179</v>
      </c>
      <c r="B57" s="303">
        <v>5.5892999999999997</v>
      </c>
      <c r="C57" s="267">
        <v>7733</v>
      </c>
      <c r="D57" s="277">
        <v>53008.54</v>
      </c>
      <c r="E57" s="267">
        <v>0</v>
      </c>
      <c r="F57" s="277">
        <v>1064.28</v>
      </c>
      <c r="G57" s="267">
        <v>38044</v>
      </c>
      <c r="H57" s="277">
        <v>229209.81</v>
      </c>
      <c r="I57" s="267">
        <v>10752</v>
      </c>
      <c r="J57" s="277">
        <v>65542.789999999994</v>
      </c>
      <c r="K57" s="276">
        <f t="shared" si="10"/>
        <v>48796</v>
      </c>
      <c r="L57" s="278">
        <f t="shared" si="10"/>
        <v>295816.88</v>
      </c>
      <c r="M57" s="279">
        <f t="shared" si="11"/>
        <v>56529</v>
      </c>
      <c r="N57" s="280">
        <f t="shared" si="11"/>
        <v>348825.42</v>
      </c>
      <c r="O57" s="269">
        <f t="shared" si="12"/>
        <v>6.8548480537954219</v>
      </c>
      <c r="P57" s="269">
        <f t="shared" si="13"/>
        <v>6.062318222805148</v>
      </c>
    </row>
    <row r="58" spans="1:16" x14ac:dyDescent="0.3">
      <c r="A58" s="273" t="s">
        <v>181</v>
      </c>
      <c r="B58" s="303">
        <v>5.8773999999999997</v>
      </c>
      <c r="C58" s="267">
        <v>4594</v>
      </c>
      <c r="D58" s="277">
        <v>33197.03</v>
      </c>
      <c r="E58" s="267">
        <v>0</v>
      </c>
      <c r="F58" s="277">
        <v>1064.28</v>
      </c>
      <c r="G58" s="267">
        <v>40391</v>
      </c>
      <c r="H58" s="277">
        <v>255153.88</v>
      </c>
      <c r="I58" s="267">
        <v>6510</v>
      </c>
      <c r="J58" s="277">
        <v>42017.05</v>
      </c>
      <c r="K58" s="276">
        <f t="shared" si="10"/>
        <v>46901</v>
      </c>
      <c r="L58" s="278">
        <f t="shared" si="10"/>
        <v>298235.21000000002</v>
      </c>
      <c r="M58" s="279">
        <f t="shared" si="11"/>
        <v>51495</v>
      </c>
      <c r="N58" s="280">
        <f t="shared" si="11"/>
        <v>331432.24</v>
      </c>
      <c r="O58" s="269">
        <f t="shared" si="12"/>
        <v>7.226171092729647</v>
      </c>
      <c r="P58" s="269">
        <f t="shared" si="13"/>
        <v>6.3588241188887231</v>
      </c>
    </row>
    <row r="59" spans="1:16" x14ac:dyDescent="0.3">
      <c r="A59" s="273" t="s">
        <v>237</v>
      </c>
      <c r="B59" s="303">
        <v>4.9924999999999997</v>
      </c>
      <c r="C59" s="267">
        <v>2777</v>
      </c>
      <c r="D59" s="277">
        <v>17907.27</v>
      </c>
      <c r="E59" s="267">
        <v>0</v>
      </c>
      <c r="F59" s="277">
        <v>1064.28</v>
      </c>
      <c r="G59" s="267">
        <v>8654</v>
      </c>
      <c r="H59" s="277">
        <v>47693.33</v>
      </c>
      <c r="I59" s="267">
        <v>24756</v>
      </c>
      <c r="J59" s="277">
        <v>134453.32</v>
      </c>
      <c r="K59" s="276">
        <f t="shared" si="10"/>
        <v>33410</v>
      </c>
      <c r="L59" s="278">
        <f t="shared" si="10"/>
        <v>183210.93</v>
      </c>
      <c r="M59" s="279">
        <f t="shared" si="11"/>
        <v>36187</v>
      </c>
      <c r="N59" s="280">
        <f t="shared" si="11"/>
        <v>201118.2</v>
      </c>
      <c r="O59" s="269">
        <f t="shared" si="12"/>
        <v>6.4484227583723444</v>
      </c>
      <c r="P59" s="269">
        <f t="shared" si="13"/>
        <v>5.4837153546842261</v>
      </c>
    </row>
    <row r="60" spans="1:16" x14ac:dyDescent="0.3">
      <c r="A60" s="273" t="s">
        <v>188</v>
      </c>
      <c r="B60" s="303">
        <v>5.2344999999999997</v>
      </c>
      <c r="C60" s="267">
        <v>1604</v>
      </c>
      <c r="D60" s="277">
        <v>11109.49</v>
      </c>
      <c r="E60" s="267">
        <v>0</v>
      </c>
      <c r="F60" s="277">
        <v>1064.28</v>
      </c>
      <c r="G60" s="267">
        <v>36941</v>
      </c>
      <c r="H60" s="277">
        <v>209226.44</v>
      </c>
      <c r="I60" s="287">
        <v>7798</v>
      </c>
      <c r="J60" s="277">
        <v>45005.93</v>
      </c>
      <c r="K60" s="276">
        <f t="shared" si="10"/>
        <v>44739</v>
      </c>
      <c r="L60" s="278">
        <f t="shared" si="10"/>
        <v>255296.65</v>
      </c>
      <c r="M60" s="279">
        <f t="shared" si="11"/>
        <v>46343</v>
      </c>
      <c r="N60" s="280">
        <f t="shared" si="11"/>
        <v>266406.14</v>
      </c>
      <c r="O60" s="269">
        <f t="shared" si="12"/>
        <v>6.9261159600997502</v>
      </c>
      <c r="P60" s="269">
        <f t="shared" si="13"/>
        <v>5.7063557522519499</v>
      </c>
    </row>
    <row r="61" spans="1:16" x14ac:dyDescent="0.3">
      <c r="A61" s="273" t="s">
        <v>189</v>
      </c>
      <c r="B61" s="303">
        <v>4.9718999999999998</v>
      </c>
      <c r="C61" s="267">
        <v>923</v>
      </c>
      <c r="D61" s="277">
        <v>6517.76</v>
      </c>
      <c r="E61" s="267">
        <v>0</v>
      </c>
      <c r="F61" s="277">
        <v>1064.28</v>
      </c>
      <c r="G61" s="267">
        <v>40811</v>
      </c>
      <c r="H61" s="277">
        <v>220102.54</v>
      </c>
      <c r="I61" s="267">
        <v>3097</v>
      </c>
      <c r="J61" s="277">
        <v>17686.3</v>
      </c>
      <c r="K61" s="276">
        <f t="shared" si="10"/>
        <v>43908</v>
      </c>
      <c r="L61" s="278">
        <f t="shared" si="10"/>
        <v>238853.12</v>
      </c>
      <c r="M61" s="279">
        <f t="shared" si="11"/>
        <v>44831</v>
      </c>
      <c r="N61" s="280">
        <f t="shared" si="11"/>
        <v>245370.88</v>
      </c>
      <c r="O61" s="269">
        <f t="shared" si="12"/>
        <v>7.0614951245937165</v>
      </c>
      <c r="P61" s="269">
        <f t="shared" si="13"/>
        <v>5.4398542406850687</v>
      </c>
    </row>
    <row r="62" spans="1:16" x14ac:dyDescent="0.3">
      <c r="A62" s="288" t="s">
        <v>221</v>
      </c>
      <c r="B62" s="295"/>
      <c r="C62" s="285">
        <f t="shared" ref="C62:N62" si="14">SUM(C50:C61)</f>
        <v>46992</v>
      </c>
      <c r="D62" s="286">
        <f t="shared" si="14"/>
        <v>293386.34000000003</v>
      </c>
      <c r="E62" s="285">
        <f t="shared" si="14"/>
        <v>13354</v>
      </c>
      <c r="F62" s="286">
        <f t="shared" si="14"/>
        <v>73526.819999999992</v>
      </c>
      <c r="G62" s="285">
        <f t="shared" si="14"/>
        <v>426119</v>
      </c>
      <c r="H62" s="286">
        <f t="shared" si="14"/>
        <v>2180974.0500000003</v>
      </c>
      <c r="I62" s="285">
        <f t="shared" si="14"/>
        <v>90614</v>
      </c>
      <c r="J62" s="286">
        <f t="shared" si="14"/>
        <v>497371.04999999993</v>
      </c>
      <c r="K62" s="299">
        <f t="shared" si="14"/>
        <v>530087</v>
      </c>
      <c r="L62" s="282">
        <f t="shared" si="14"/>
        <v>2751871.9200000004</v>
      </c>
      <c r="M62" s="283">
        <f t="shared" si="14"/>
        <v>577079</v>
      </c>
      <c r="N62" s="284">
        <f t="shared" si="14"/>
        <v>3045258.2600000002</v>
      </c>
      <c r="O62" s="267"/>
      <c r="P62" s="267"/>
    </row>
    <row r="63" spans="1:16" x14ac:dyDescent="0.3">
      <c r="A63" s="288"/>
      <c r="B63" s="295"/>
      <c r="C63" s="285"/>
      <c r="D63" s="286"/>
      <c r="E63" s="285"/>
      <c r="F63" s="286"/>
      <c r="G63" s="285"/>
      <c r="H63" s="286"/>
      <c r="I63" s="285"/>
      <c r="J63" s="286"/>
      <c r="K63" s="285"/>
      <c r="L63" s="286"/>
      <c r="M63" s="285"/>
      <c r="N63" s="302" t="s">
        <v>242</v>
      </c>
      <c r="O63" s="268">
        <f>AVERAGE(O50:O61)</f>
        <v>6.3226061618820308</v>
      </c>
      <c r="P63" s="268">
        <f>AVERAGE(P50:P61)</f>
        <v>5.155317563171514</v>
      </c>
    </row>
    <row r="64" spans="1:16" x14ac:dyDescent="0.3">
      <c r="A64" s="289"/>
      <c r="B64" s="289"/>
      <c r="C64" s="289"/>
      <c r="D64" s="290"/>
      <c r="E64" s="289"/>
      <c r="F64" s="290"/>
      <c r="G64" s="289"/>
      <c r="H64" s="290"/>
      <c r="I64" s="291"/>
      <c r="J64" s="292"/>
      <c r="K64" s="293"/>
      <c r="L64" s="294"/>
      <c r="M64" s="300"/>
      <c r="N64" s="301"/>
    </row>
    <row r="65" spans="1:16" x14ac:dyDescent="0.3">
      <c r="K65" s="292"/>
      <c r="L65" s="293"/>
    </row>
    <row r="67" spans="1:16" x14ac:dyDescent="0.3">
      <c r="A67" s="270" t="s">
        <v>193</v>
      </c>
      <c r="B67" s="270"/>
      <c r="C67" s="498" t="s">
        <v>223</v>
      </c>
      <c r="D67" s="498"/>
      <c r="E67" s="499" t="s">
        <v>224</v>
      </c>
      <c r="F67" s="499"/>
      <c r="G67" s="499"/>
      <c r="H67" s="499"/>
      <c r="I67" s="499"/>
      <c r="J67" s="499"/>
      <c r="K67" s="499"/>
      <c r="L67" s="499"/>
      <c r="M67" s="502"/>
      <c r="N67" s="503"/>
      <c r="O67" s="423" t="s">
        <v>63</v>
      </c>
      <c r="P67" s="423" t="s">
        <v>61</v>
      </c>
    </row>
    <row r="68" spans="1:16" x14ac:dyDescent="0.3">
      <c r="A68" s="271" t="s">
        <v>225</v>
      </c>
      <c r="B68" s="504" t="s">
        <v>243</v>
      </c>
      <c r="C68" s="275"/>
      <c r="D68" s="275"/>
      <c r="E68" s="500" t="s">
        <v>238</v>
      </c>
      <c r="F68" s="500"/>
      <c r="G68" s="500" t="s">
        <v>239</v>
      </c>
      <c r="H68" s="500"/>
      <c r="I68" s="500" t="s">
        <v>226</v>
      </c>
      <c r="J68" s="500"/>
      <c r="K68" s="501" t="s">
        <v>227</v>
      </c>
      <c r="L68" s="501" t="s">
        <v>228</v>
      </c>
      <c r="M68" s="494" t="s">
        <v>229</v>
      </c>
      <c r="N68" s="494" t="s">
        <v>215</v>
      </c>
      <c r="O68" s="496" t="s">
        <v>240</v>
      </c>
      <c r="P68" s="496" t="s">
        <v>241</v>
      </c>
    </row>
    <row r="69" spans="1:16" ht="28.95" customHeight="1" x14ac:dyDescent="0.3">
      <c r="A69" s="271"/>
      <c r="B69" s="505"/>
      <c r="C69" s="423" t="s">
        <v>13</v>
      </c>
      <c r="D69" s="423" t="s">
        <v>230</v>
      </c>
      <c r="E69" s="423" t="s">
        <v>13</v>
      </c>
      <c r="F69" s="423" t="s">
        <v>230</v>
      </c>
      <c r="G69" s="423" t="s">
        <v>13</v>
      </c>
      <c r="H69" s="423" t="s">
        <v>230</v>
      </c>
      <c r="I69" s="423" t="s">
        <v>13</v>
      </c>
      <c r="J69" s="423" t="s">
        <v>230</v>
      </c>
      <c r="K69" s="501"/>
      <c r="L69" s="501"/>
      <c r="M69" s="495"/>
      <c r="N69" s="495"/>
      <c r="O69" s="497"/>
      <c r="P69" s="497"/>
    </row>
    <row r="70" spans="1:16" x14ac:dyDescent="0.3">
      <c r="A70" s="272" t="s">
        <v>231</v>
      </c>
      <c r="B70" s="303">
        <v>4.7849000000000004</v>
      </c>
      <c r="C70" s="267">
        <v>796</v>
      </c>
      <c r="D70" s="277">
        <v>5548.37</v>
      </c>
      <c r="E70" s="267">
        <v>38921</v>
      </c>
      <c r="F70" s="277">
        <v>202287.7</v>
      </c>
      <c r="G70" s="267">
        <v>0</v>
      </c>
      <c r="H70" s="277">
        <v>1043.4100000000001</v>
      </c>
      <c r="I70" s="267">
        <v>627</v>
      </c>
      <c r="J70" s="277">
        <v>4285.3599999999997</v>
      </c>
      <c r="K70" s="276">
        <f t="shared" ref="K70:L81" si="15">+E70+G70+I70</f>
        <v>39548</v>
      </c>
      <c r="L70" s="278">
        <f t="shared" si="15"/>
        <v>207616.47</v>
      </c>
      <c r="M70" s="279">
        <f t="shared" ref="M70:N81" si="16">+C70+E70+G70+I70</f>
        <v>40344</v>
      </c>
      <c r="N70" s="280">
        <f t="shared" si="16"/>
        <v>213164.84</v>
      </c>
      <c r="O70" s="269">
        <f>+D70/C70</f>
        <v>6.9703140703517583</v>
      </c>
      <c r="P70" s="269">
        <f>+L70/K70</f>
        <v>5.2497337412764233</v>
      </c>
    </row>
    <row r="71" spans="1:16" x14ac:dyDescent="0.3">
      <c r="A71" s="272" t="s">
        <v>232</v>
      </c>
      <c r="B71" s="303">
        <v>4.6852999999999998</v>
      </c>
      <c r="C71" s="267">
        <v>840</v>
      </c>
      <c r="D71" s="277">
        <v>5237.74</v>
      </c>
      <c r="E71" s="267">
        <v>38113</v>
      </c>
      <c r="F71" s="277">
        <v>194237.91</v>
      </c>
      <c r="G71" s="267">
        <v>0</v>
      </c>
      <c r="H71" s="277">
        <v>1043.4100000000001</v>
      </c>
      <c r="I71" s="267">
        <v>6027</v>
      </c>
      <c r="J71" s="277">
        <v>31594.23</v>
      </c>
      <c r="K71" s="276">
        <f t="shared" si="15"/>
        <v>44140</v>
      </c>
      <c r="L71" s="278">
        <f t="shared" si="15"/>
        <v>226875.55000000002</v>
      </c>
      <c r="M71" s="279">
        <f t="shared" si="16"/>
        <v>44980</v>
      </c>
      <c r="N71" s="280">
        <f t="shared" si="16"/>
        <v>232113.29</v>
      </c>
      <c r="O71" s="269">
        <f t="shared" ref="O71:O81" si="17">+D71/C71</f>
        <v>6.2354047619047615</v>
      </c>
      <c r="P71" s="269">
        <f t="shared" ref="P71:P81" si="18">+L71/K71</f>
        <v>5.1399082464884467</v>
      </c>
    </row>
    <row r="72" spans="1:16" x14ac:dyDescent="0.3">
      <c r="A72" s="273" t="s">
        <v>233</v>
      </c>
      <c r="B72" s="303">
        <v>3.1583999999999999</v>
      </c>
      <c r="C72" s="267">
        <v>1104</v>
      </c>
      <c r="D72" s="277">
        <v>5531.1</v>
      </c>
      <c r="E72" s="267">
        <v>35493</v>
      </c>
      <c r="F72" s="277">
        <v>125678.99</v>
      </c>
      <c r="G72" s="267">
        <v>0</v>
      </c>
      <c r="H72" s="277">
        <v>1043.4100000000001</v>
      </c>
      <c r="I72" s="267">
        <v>6012</v>
      </c>
      <c r="J72" s="277">
        <v>22154.87</v>
      </c>
      <c r="K72" s="276">
        <f t="shared" si="15"/>
        <v>41505</v>
      </c>
      <c r="L72" s="278">
        <f t="shared" si="15"/>
        <v>148877.27000000002</v>
      </c>
      <c r="M72" s="279">
        <f t="shared" si="16"/>
        <v>42609</v>
      </c>
      <c r="N72" s="280">
        <f t="shared" si="16"/>
        <v>154408.37</v>
      </c>
      <c r="O72" s="269">
        <f t="shared" si="17"/>
        <v>5.0100543478260873</v>
      </c>
      <c r="P72" s="269">
        <f t="shared" si="18"/>
        <v>3.58697193109264</v>
      </c>
    </row>
    <row r="73" spans="1:16" x14ac:dyDescent="0.3">
      <c r="A73" s="273" t="s">
        <v>234</v>
      </c>
      <c r="B73" s="303">
        <v>3.4449999999999998</v>
      </c>
      <c r="C73" s="267">
        <v>1592</v>
      </c>
      <c r="D73" s="277">
        <v>8127.08</v>
      </c>
      <c r="E73" s="267">
        <v>41381</v>
      </c>
      <c r="F73" s="277">
        <v>158713.48000000001</v>
      </c>
      <c r="G73" s="267">
        <v>0</v>
      </c>
      <c r="H73" s="277">
        <v>1064.28</v>
      </c>
      <c r="I73" s="267">
        <v>7798</v>
      </c>
      <c r="J73" s="277">
        <v>30772.32</v>
      </c>
      <c r="K73" s="276">
        <f t="shared" si="15"/>
        <v>49179</v>
      </c>
      <c r="L73" s="278">
        <f t="shared" si="15"/>
        <v>190550.08000000002</v>
      </c>
      <c r="M73" s="279">
        <f t="shared" si="16"/>
        <v>50771</v>
      </c>
      <c r="N73" s="280">
        <f t="shared" si="16"/>
        <v>198677.16</v>
      </c>
      <c r="O73" s="269">
        <f t="shared" si="17"/>
        <v>5.104949748743719</v>
      </c>
      <c r="P73" s="269">
        <f t="shared" si="18"/>
        <v>3.8746229081518537</v>
      </c>
    </row>
    <row r="74" spans="1:16" x14ac:dyDescent="0.3">
      <c r="A74" s="273" t="s">
        <v>235</v>
      </c>
      <c r="B74" s="303">
        <v>4.008</v>
      </c>
      <c r="C74" s="267">
        <v>5671</v>
      </c>
      <c r="D74" s="277">
        <v>29960.7</v>
      </c>
      <c r="E74" s="267">
        <v>42881</v>
      </c>
      <c r="F74" s="277">
        <v>189052.87</v>
      </c>
      <c r="G74" s="267">
        <v>0</v>
      </c>
      <c r="H74" s="277">
        <v>1064.28</v>
      </c>
      <c r="I74" s="267">
        <v>8209</v>
      </c>
      <c r="J74" s="277">
        <v>37052.199999999997</v>
      </c>
      <c r="K74" s="276">
        <f t="shared" si="15"/>
        <v>51090</v>
      </c>
      <c r="L74" s="278">
        <f t="shared" si="15"/>
        <v>227169.34999999998</v>
      </c>
      <c r="M74" s="279">
        <f t="shared" si="16"/>
        <v>56761</v>
      </c>
      <c r="N74" s="280">
        <f t="shared" si="16"/>
        <v>257130.05</v>
      </c>
      <c r="O74" s="269">
        <f t="shared" si="17"/>
        <v>5.2831423029448068</v>
      </c>
      <c r="P74" s="269">
        <f t="shared" si="18"/>
        <v>4.4464542963397919</v>
      </c>
    </row>
    <row r="75" spans="1:16" x14ac:dyDescent="0.3">
      <c r="A75" s="273" t="s">
        <v>236</v>
      </c>
      <c r="B75" s="303">
        <v>4.2638999999999996</v>
      </c>
      <c r="C75" s="267">
        <v>8600</v>
      </c>
      <c r="D75" s="277">
        <v>47227</v>
      </c>
      <c r="E75" s="267">
        <v>33152</v>
      </c>
      <c r="F75" s="277">
        <v>155054.59</v>
      </c>
      <c r="G75" s="267">
        <v>0</v>
      </c>
      <c r="H75" s="277">
        <v>1064.28</v>
      </c>
      <c r="I75" s="267">
        <v>13274</v>
      </c>
      <c r="J75" s="277">
        <v>62721.72</v>
      </c>
      <c r="K75" s="276">
        <f t="shared" si="15"/>
        <v>46426</v>
      </c>
      <c r="L75" s="278">
        <f t="shared" si="15"/>
        <v>218840.59</v>
      </c>
      <c r="M75" s="279">
        <f t="shared" si="16"/>
        <v>55026</v>
      </c>
      <c r="N75" s="280">
        <f t="shared" si="16"/>
        <v>266067.58999999997</v>
      </c>
      <c r="O75" s="269">
        <f t="shared" si="17"/>
        <v>5.4915116279069771</v>
      </c>
      <c r="P75" s="269">
        <f t="shared" si="18"/>
        <v>4.7137507000387711</v>
      </c>
    </row>
    <row r="76" spans="1:16" x14ac:dyDescent="0.3">
      <c r="A76" s="273" t="s">
        <v>178</v>
      </c>
      <c r="B76" s="303">
        <v>3.8858999999999999</v>
      </c>
      <c r="C76" s="267">
        <v>12362</v>
      </c>
      <c r="D76" s="277">
        <v>62736.3</v>
      </c>
      <c r="E76" s="267">
        <v>38153</v>
      </c>
      <c r="F76" s="277">
        <v>163573.85</v>
      </c>
      <c r="G76" s="267">
        <v>0</v>
      </c>
      <c r="H76" s="277">
        <v>1064.28</v>
      </c>
      <c r="I76" s="267">
        <v>16524</v>
      </c>
      <c r="J76" s="277">
        <v>71446.899999999994</v>
      </c>
      <c r="K76" s="276">
        <f t="shared" si="15"/>
        <v>54677</v>
      </c>
      <c r="L76" s="278">
        <f t="shared" si="15"/>
        <v>236085.03</v>
      </c>
      <c r="M76" s="279">
        <f t="shared" si="16"/>
        <v>67039</v>
      </c>
      <c r="N76" s="280">
        <f t="shared" si="16"/>
        <v>298821.33</v>
      </c>
      <c r="O76" s="269">
        <f t="shared" si="17"/>
        <v>5.0749312408995308</v>
      </c>
      <c r="P76" s="269">
        <f t="shared" si="18"/>
        <v>4.3178124257000201</v>
      </c>
    </row>
    <row r="77" spans="1:16" x14ac:dyDescent="0.3">
      <c r="A77" s="273" t="s">
        <v>179</v>
      </c>
      <c r="B77" s="303">
        <v>3.8858999999999999</v>
      </c>
      <c r="C77" s="267">
        <v>9370</v>
      </c>
      <c r="D77" s="277">
        <v>47764.28</v>
      </c>
      <c r="E77" s="267">
        <v>40226</v>
      </c>
      <c r="F77" s="277">
        <v>172403.62</v>
      </c>
      <c r="G77" s="267">
        <v>0</v>
      </c>
      <c r="H77" s="277">
        <v>1064.28</v>
      </c>
      <c r="I77" s="267">
        <v>12654</v>
      </c>
      <c r="J77" s="277">
        <v>54962.95</v>
      </c>
      <c r="K77" s="276">
        <f t="shared" si="15"/>
        <v>52880</v>
      </c>
      <c r="L77" s="278">
        <f t="shared" si="15"/>
        <v>228430.84999999998</v>
      </c>
      <c r="M77" s="279">
        <f t="shared" si="16"/>
        <v>62250</v>
      </c>
      <c r="N77" s="280">
        <f t="shared" si="16"/>
        <v>276195.13</v>
      </c>
      <c r="O77" s="269">
        <f t="shared" si="17"/>
        <v>5.0975752401280685</v>
      </c>
      <c r="P77" s="269">
        <f t="shared" si="18"/>
        <v>4.3197967095310128</v>
      </c>
    </row>
    <row r="78" spans="1:16" x14ac:dyDescent="0.3">
      <c r="A78" s="273" t="s">
        <v>181</v>
      </c>
      <c r="B78" s="303">
        <v>3.8858999999999999</v>
      </c>
      <c r="C78" s="267">
        <v>5834</v>
      </c>
      <c r="D78" s="277">
        <v>30070.07</v>
      </c>
      <c r="E78" s="267">
        <v>36857</v>
      </c>
      <c r="F78" s="277">
        <v>158053.65</v>
      </c>
      <c r="G78" s="267">
        <v>0</v>
      </c>
      <c r="H78" s="277">
        <v>1064.28</v>
      </c>
      <c r="I78" s="267">
        <v>7898</v>
      </c>
      <c r="J78" s="277">
        <v>34705.17</v>
      </c>
      <c r="K78" s="276">
        <f t="shared" si="15"/>
        <v>44755</v>
      </c>
      <c r="L78" s="278">
        <f t="shared" si="15"/>
        <v>193823.09999999998</v>
      </c>
      <c r="M78" s="279">
        <f t="shared" si="16"/>
        <v>50589</v>
      </c>
      <c r="N78" s="280">
        <f t="shared" si="16"/>
        <v>223893.16999999998</v>
      </c>
      <c r="O78" s="269">
        <f t="shared" si="17"/>
        <v>5.1542800822763111</v>
      </c>
      <c r="P78" s="269">
        <f t="shared" si="18"/>
        <v>4.3307585744609538</v>
      </c>
    </row>
    <row r="79" spans="1:16" x14ac:dyDescent="0.3">
      <c r="A79" s="273" t="s">
        <v>237</v>
      </c>
      <c r="B79" s="303">
        <v>4.4278000000000004</v>
      </c>
      <c r="C79" s="267">
        <v>2988</v>
      </c>
      <c r="D79" s="277">
        <v>17480.22</v>
      </c>
      <c r="E79" s="267">
        <v>37694</v>
      </c>
      <c r="F79" s="277">
        <v>182453.68</v>
      </c>
      <c r="G79" s="267">
        <v>0</v>
      </c>
      <c r="H79" s="277">
        <v>1064.28</v>
      </c>
      <c r="I79" s="267">
        <v>4021</v>
      </c>
      <c r="J79" s="277">
        <v>20413.95</v>
      </c>
      <c r="K79" s="276">
        <f t="shared" si="15"/>
        <v>41715</v>
      </c>
      <c r="L79" s="278">
        <f t="shared" si="15"/>
        <v>203931.91</v>
      </c>
      <c r="M79" s="279">
        <f t="shared" si="16"/>
        <v>44703</v>
      </c>
      <c r="N79" s="280">
        <f t="shared" si="16"/>
        <v>221412.13</v>
      </c>
      <c r="O79" s="269">
        <f t="shared" si="17"/>
        <v>5.8501405622489964</v>
      </c>
      <c r="P79" s="269">
        <f t="shared" si="18"/>
        <v>4.8886949538535296</v>
      </c>
    </row>
    <row r="80" spans="1:16" x14ac:dyDescent="0.3">
      <c r="A80" s="273" t="s">
        <v>188</v>
      </c>
      <c r="B80" s="303">
        <v>4.5914000000000001</v>
      </c>
      <c r="C80" s="267">
        <v>1738</v>
      </c>
      <c r="D80" s="277">
        <v>10824.29</v>
      </c>
      <c r="E80" s="267">
        <v>39830</v>
      </c>
      <c r="F80" s="277">
        <v>199378.96</v>
      </c>
      <c r="G80" s="267">
        <v>0</v>
      </c>
      <c r="H80" s="277">
        <v>1064.28</v>
      </c>
      <c r="I80" s="267">
        <v>693</v>
      </c>
      <c r="J80" s="277">
        <v>4514.75</v>
      </c>
      <c r="K80" s="276">
        <f t="shared" si="15"/>
        <v>40523</v>
      </c>
      <c r="L80" s="278">
        <f t="shared" si="15"/>
        <v>204957.99</v>
      </c>
      <c r="M80" s="279">
        <f t="shared" si="16"/>
        <v>42261</v>
      </c>
      <c r="N80" s="280">
        <f t="shared" si="16"/>
        <v>215782.28</v>
      </c>
      <c r="O80" s="269">
        <f t="shared" si="17"/>
        <v>6.2280149597238212</v>
      </c>
      <c r="P80" s="269">
        <f t="shared" si="18"/>
        <v>5.0578187695876418</v>
      </c>
    </row>
    <row r="81" spans="1:16" x14ac:dyDescent="0.3">
      <c r="A81" s="273" t="s">
        <v>189</v>
      </c>
      <c r="B81" s="303">
        <v>4.6119000000000003</v>
      </c>
      <c r="C81" s="267">
        <v>895</v>
      </c>
      <c r="D81" s="277">
        <v>6017.99</v>
      </c>
      <c r="E81" s="267">
        <v>42326</v>
      </c>
      <c r="F81" s="277">
        <v>212691.66</v>
      </c>
      <c r="G81" s="267">
        <v>0</v>
      </c>
      <c r="H81" s="277">
        <v>1064.28</v>
      </c>
      <c r="I81" s="267">
        <v>28</v>
      </c>
      <c r="J81" s="277">
        <v>1204.27</v>
      </c>
      <c r="K81" s="276">
        <f t="shared" si="15"/>
        <v>42354</v>
      </c>
      <c r="L81" s="278">
        <f t="shared" si="15"/>
        <v>214960.21</v>
      </c>
      <c r="M81" s="279">
        <f t="shared" si="16"/>
        <v>43249</v>
      </c>
      <c r="N81" s="280">
        <f t="shared" si="16"/>
        <v>220978.19999999998</v>
      </c>
      <c r="O81" s="269">
        <f t="shared" si="17"/>
        <v>6.7240111731843575</v>
      </c>
      <c r="P81" s="269">
        <f t="shared" si="18"/>
        <v>5.0753225197147849</v>
      </c>
    </row>
    <row r="82" spans="1:16" x14ac:dyDescent="0.3">
      <c r="A82" s="288" t="s">
        <v>221</v>
      </c>
      <c r="B82" s="295"/>
      <c r="C82" s="285">
        <f t="shared" ref="C82:N82" si="19">SUM(C70:C81)</f>
        <v>51790</v>
      </c>
      <c r="D82" s="286">
        <f t="shared" si="19"/>
        <v>276525.14</v>
      </c>
      <c r="E82" s="285">
        <f t="shared" si="19"/>
        <v>465027</v>
      </c>
      <c r="F82" s="286">
        <f t="shared" si="19"/>
        <v>2113580.9599999995</v>
      </c>
      <c r="G82" s="285">
        <f t="shared" si="19"/>
        <v>0</v>
      </c>
      <c r="H82" s="286">
        <f t="shared" si="19"/>
        <v>12708.750000000002</v>
      </c>
      <c r="I82" s="285">
        <f t="shared" si="19"/>
        <v>83765</v>
      </c>
      <c r="J82" s="286">
        <f t="shared" si="19"/>
        <v>375828.69</v>
      </c>
      <c r="K82" s="299">
        <f t="shared" si="19"/>
        <v>548792</v>
      </c>
      <c r="L82" s="282">
        <f t="shared" si="19"/>
        <v>2502118.3999999999</v>
      </c>
      <c r="M82" s="283">
        <f t="shared" si="19"/>
        <v>600582</v>
      </c>
      <c r="N82" s="284">
        <f t="shared" si="19"/>
        <v>2778643.5399999996</v>
      </c>
      <c r="O82" s="267"/>
      <c r="P82" s="267"/>
    </row>
    <row r="83" spans="1:16" x14ac:dyDescent="0.3">
      <c r="A83" s="288"/>
      <c r="B83" s="295"/>
      <c r="C83" s="285"/>
      <c r="D83" s="286"/>
      <c r="E83" s="285"/>
      <c r="F83" s="286"/>
      <c r="G83" s="285"/>
      <c r="H83" s="286"/>
      <c r="I83" s="285"/>
      <c r="J83" s="286"/>
      <c r="K83" s="285"/>
      <c r="L83" s="286"/>
      <c r="M83" s="285"/>
      <c r="N83" s="302" t="s">
        <v>242</v>
      </c>
      <c r="O83" s="268">
        <f>AVERAGE(O70:O81)</f>
        <v>5.6853608431782661</v>
      </c>
      <c r="P83" s="268">
        <f>AVERAGE(P70:P81)</f>
        <v>4.5834704813529887</v>
      </c>
    </row>
    <row r="86" spans="1:16" x14ac:dyDescent="0.3">
      <c r="A86" s="270" t="s">
        <v>192</v>
      </c>
      <c r="B86" s="270"/>
      <c r="C86" s="498" t="s">
        <v>223</v>
      </c>
      <c r="D86" s="498"/>
      <c r="E86" s="499" t="s">
        <v>224</v>
      </c>
      <c r="F86" s="499"/>
      <c r="G86" s="499"/>
      <c r="H86" s="499"/>
      <c r="I86" s="499"/>
      <c r="J86" s="499"/>
      <c r="K86" s="499"/>
      <c r="L86" s="499"/>
      <c r="M86" s="502"/>
      <c r="N86" s="503"/>
      <c r="O86" s="423" t="s">
        <v>63</v>
      </c>
      <c r="P86" s="423" t="s">
        <v>61</v>
      </c>
    </row>
    <row r="87" spans="1:16" ht="14.4" customHeight="1" x14ac:dyDescent="0.3">
      <c r="A87" s="271" t="s">
        <v>225</v>
      </c>
      <c r="B87" s="504" t="s">
        <v>243</v>
      </c>
      <c r="C87" s="275"/>
      <c r="D87" s="275"/>
      <c r="E87" s="500" t="s">
        <v>238</v>
      </c>
      <c r="F87" s="500"/>
      <c r="G87" s="500" t="s">
        <v>239</v>
      </c>
      <c r="H87" s="500"/>
      <c r="I87" s="500" t="s">
        <v>226</v>
      </c>
      <c r="J87" s="500"/>
      <c r="K87" s="501" t="s">
        <v>227</v>
      </c>
      <c r="L87" s="501" t="s">
        <v>228</v>
      </c>
      <c r="M87" s="494" t="s">
        <v>229</v>
      </c>
      <c r="N87" s="494" t="s">
        <v>215</v>
      </c>
      <c r="O87" s="496" t="s">
        <v>240</v>
      </c>
      <c r="P87" s="496" t="s">
        <v>241</v>
      </c>
    </row>
    <row r="88" spans="1:16" ht="28.95" customHeight="1" x14ac:dyDescent="0.3">
      <c r="A88" s="271"/>
      <c r="B88" s="505"/>
      <c r="C88" s="423" t="s">
        <v>13</v>
      </c>
      <c r="D88" s="423" t="s">
        <v>230</v>
      </c>
      <c r="E88" s="423" t="s">
        <v>13</v>
      </c>
      <c r="F88" s="423" t="s">
        <v>230</v>
      </c>
      <c r="G88" s="423" t="s">
        <v>13</v>
      </c>
      <c r="H88" s="423" t="s">
        <v>230</v>
      </c>
      <c r="I88" s="423" t="s">
        <v>13</v>
      </c>
      <c r="J88" s="423" t="s">
        <v>230</v>
      </c>
      <c r="K88" s="501"/>
      <c r="L88" s="501"/>
      <c r="M88" s="495"/>
      <c r="N88" s="495"/>
      <c r="O88" s="497"/>
      <c r="P88" s="497"/>
    </row>
    <row r="89" spans="1:16" x14ac:dyDescent="0.3">
      <c r="A89" s="272" t="s">
        <v>231</v>
      </c>
      <c r="B89" s="297">
        <v>5.5701000000000001</v>
      </c>
      <c r="C89" s="267">
        <v>741</v>
      </c>
      <c r="D89" s="277">
        <v>5817.85</v>
      </c>
      <c r="E89" s="267">
        <v>39195</v>
      </c>
      <c r="F89" s="277">
        <v>235095.88</v>
      </c>
      <c r="G89" s="267">
        <v>0</v>
      </c>
      <c r="H89" s="277">
        <v>1043.4100000000001</v>
      </c>
      <c r="I89" s="267">
        <v>2126</v>
      </c>
      <c r="J89" s="277">
        <v>13738.79</v>
      </c>
      <c r="K89" s="276">
        <f t="shared" ref="K89:L100" si="20">+E89+G89+I89</f>
        <v>41321</v>
      </c>
      <c r="L89" s="278">
        <f t="shared" si="20"/>
        <v>249878.08000000002</v>
      </c>
      <c r="M89" s="279">
        <f t="shared" ref="M89:N100" si="21">+C89+E89+G89+I89</f>
        <v>42062</v>
      </c>
      <c r="N89" s="280">
        <f t="shared" si="21"/>
        <v>255695.93000000002</v>
      </c>
      <c r="O89" s="269">
        <f>+D89/C89</f>
        <v>7.8513495276653176</v>
      </c>
      <c r="P89" s="269">
        <f>+L89/K89</f>
        <v>6.047241838290458</v>
      </c>
    </row>
    <row r="90" spans="1:16" x14ac:dyDescent="0.3">
      <c r="A90" s="272" t="s">
        <v>232</v>
      </c>
      <c r="B90" s="297">
        <v>4.4535999999999998</v>
      </c>
      <c r="C90" s="267">
        <v>863</v>
      </c>
      <c r="D90" s="277">
        <f>1740.7+34.81+80.79+4039.42</f>
        <v>5895.72</v>
      </c>
      <c r="E90" s="267">
        <v>41832</v>
      </c>
      <c r="F90" s="277">
        <v>203203.17</v>
      </c>
      <c r="G90" s="267">
        <v>0</v>
      </c>
      <c r="H90" s="277">
        <v>1043.4100000000001</v>
      </c>
      <c r="I90" s="267">
        <v>4356</v>
      </c>
      <c r="J90" s="277">
        <v>22094.47</v>
      </c>
      <c r="K90" s="276">
        <f t="shared" si="20"/>
        <v>46188</v>
      </c>
      <c r="L90" s="278">
        <f t="shared" si="20"/>
        <v>226341.05000000002</v>
      </c>
      <c r="M90" s="279">
        <f t="shared" si="21"/>
        <v>47051</v>
      </c>
      <c r="N90" s="280">
        <f t="shared" si="21"/>
        <v>232236.77000000002</v>
      </c>
      <c r="O90" s="269">
        <f t="shared" ref="O90:O100" si="22">+D90/C90</f>
        <v>6.8316570104287369</v>
      </c>
      <c r="P90" s="269">
        <f t="shared" ref="P90:P100" si="23">+L90/K90</f>
        <v>4.9004297653070061</v>
      </c>
    </row>
    <row r="91" spans="1:16" x14ac:dyDescent="0.3">
      <c r="A91" s="273" t="s">
        <v>233</v>
      </c>
      <c r="B91" s="296">
        <v>4.4291</v>
      </c>
      <c r="C91" s="267">
        <v>1161</v>
      </c>
      <c r="D91" s="277">
        <v>7277.08</v>
      </c>
      <c r="E91" s="267">
        <v>41666</v>
      </c>
      <c r="F91" s="277">
        <v>201359.7</v>
      </c>
      <c r="G91" s="267">
        <v>0</v>
      </c>
      <c r="H91" s="277">
        <v>1043.4100000000001</v>
      </c>
      <c r="I91" s="267">
        <v>4756</v>
      </c>
      <c r="J91" s="277">
        <v>23908.68</v>
      </c>
      <c r="K91" s="276">
        <f t="shared" si="20"/>
        <v>46422</v>
      </c>
      <c r="L91" s="278">
        <f t="shared" si="20"/>
        <v>226311.79</v>
      </c>
      <c r="M91" s="279">
        <f t="shared" si="21"/>
        <v>47583</v>
      </c>
      <c r="N91" s="280">
        <f t="shared" si="21"/>
        <v>233588.87</v>
      </c>
      <c r="O91" s="269">
        <f t="shared" si="22"/>
        <v>6.2679414298018949</v>
      </c>
      <c r="P91" s="269">
        <f t="shared" si="23"/>
        <v>4.8750977984576283</v>
      </c>
    </row>
    <row r="92" spans="1:16" x14ac:dyDescent="0.3">
      <c r="A92" s="273" t="s">
        <v>234</v>
      </c>
      <c r="B92" s="296">
        <v>4.7618</v>
      </c>
      <c r="C92" s="267">
        <v>1644</v>
      </c>
      <c r="D92" s="277">
        <v>10504.86</v>
      </c>
      <c r="E92" s="267">
        <v>42261</v>
      </c>
      <c r="F92" s="277">
        <v>218561.71</v>
      </c>
      <c r="G92" s="267">
        <v>0</v>
      </c>
      <c r="H92" s="277">
        <v>1043.4100000000001</v>
      </c>
      <c r="I92" s="267">
        <v>8456</v>
      </c>
      <c r="J92" s="277">
        <v>44566.63</v>
      </c>
      <c r="K92" s="276">
        <f t="shared" si="20"/>
        <v>50717</v>
      </c>
      <c r="L92" s="278">
        <f t="shared" si="20"/>
        <v>264171.75</v>
      </c>
      <c r="M92" s="279">
        <f t="shared" si="21"/>
        <v>52361</v>
      </c>
      <c r="N92" s="280">
        <f t="shared" si="21"/>
        <v>274676.61</v>
      </c>
      <c r="O92" s="269">
        <f t="shared" si="22"/>
        <v>6.3898175182481758</v>
      </c>
      <c r="P92" s="269">
        <f t="shared" si="23"/>
        <v>5.2087416448133759</v>
      </c>
    </row>
    <row r="93" spans="1:16" x14ac:dyDescent="0.3">
      <c r="A93" s="273" t="s">
        <v>235</v>
      </c>
      <c r="B93" s="296">
        <v>4.7187000000000001</v>
      </c>
      <c r="C93" s="267">
        <v>4573</v>
      </c>
      <c r="D93" s="277">
        <v>27488.38</v>
      </c>
      <c r="E93" s="267">
        <v>38538</v>
      </c>
      <c r="F93" s="277">
        <v>197705.14</v>
      </c>
      <c r="G93" s="267">
        <v>0</v>
      </c>
      <c r="H93" s="277">
        <v>1043.4100000000001</v>
      </c>
      <c r="I93" s="267">
        <v>16336</v>
      </c>
      <c r="J93" s="277">
        <v>84406.99</v>
      </c>
      <c r="K93" s="276">
        <f t="shared" si="20"/>
        <v>54874</v>
      </c>
      <c r="L93" s="278">
        <f t="shared" si="20"/>
        <v>283155.54000000004</v>
      </c>
      <c r="M93" s="279">
        <f t="shared" si="21"/>
        <v>59447</v>
      </c>
      <c r="N93" s="280">
        <f t="shared" si="21"/>
        <v>310643.92000000004</v>
      </c>
      <c r="O93" s="269">
        <f t="shared" si="22"/>
        <v>6.0110168379619511</v>
      </c>
      <c r="P93" s="269">
        <f t="shared" si="23"/>
        <v>5.1601038743302849</v>
      </c>
    </row>
    <row r="94" spans="1:16" x14ac:dyDescent="0.3">
      <c r="A94" s="273" t="s">
        <v>236</v>
      </c>
      <c r="B94" s="296">
        <v>4.6003999999999996</v>
      </c>
      <c r="C94" s="267">
        <v>11029</v>
      </c>
      <c r="D94" s="277">
        <v>63751.35</v>
      </c>
      <c r="E94" s="267">
        <v>42743</v>
      </c>
      <c r="F94" s="277">
        <v>214005.88</v>
      </c>
      <c r="G94" s="267">
        <v>0</v>
      </c>
      <c r="H94" s="277">
        <v>1043.4100000000001</v>
      </c>
      <c r="I94" s="267">
        <v>21658</v>
      </c>
      <c r="J94" s="277">
        <v>108952.1</v>
      </c>
      <c r="K94" s="276">
        <f t="shared" si="20"/>
        <v>64401</v>
      </c>
      <c r="L94" s="278">
        <f t="shared" si="20"/>
        <v>324001.39</v>
      </c>
      <c r="M94" s="279">
        <f t="shared" si="21"/>
        <v>75430</v>
      </c>
      <c r="N94" s="280">
        <f t="shared" si="21"/>
        <v>387752.74</v>
      </c>
      <c r="O94" s="269">
        <f t="shared" si="22"/>
        <v>5.7803381992927738</v>
      </c>
      <c r="P94" s="269">
        <f t="shared" si="23"/>
        <v>5.0309993633639234</v>
      </c>
    </row>
    <row r="95" spans="1:16" x14ac:dyDescent="0.3">
      <c r="A95" s="273" t="s">
        <v>178</v>
      </c>
      <c r="B95" s="296">
        <v>4.7016999999999998</v>
      </c>
      <c r="C95" s="267">
        <v>10756</v>
      </c>
      <c r="D95" s="277">
        <v>63305.96</v>
      </c>
      <c r="E95" s="267">
        <v>44276</v>
      </c>
      <c r="F95" s="277">
        <v>226218.75</v>
      </c>
      <c r="G95" s="267">
        <v>0</v>
      </c>
      <c r="H95" s="277">
        <v>1043.4100000000001</v>
      </c>
      <c r="I95" s="267">
        <v>14536</v>
      </c>
      <c r="J95" s="277">
        <v>74969.429999999993</v>
      </c>
      <c r="K95" s="276">
        <f t="shared" si="20"/>
        <v>58812</v>
      </c>
      <c r="L95" s="278">
        <f t="shared" si="20"/>
        <v>302231.58999999997</v>
      </c>
      <c r="M95" s="279">
        <f t="shared" si="21"/>
        <v>69568</v>
      </c>
      <c r="N95" s="280">
        <f t="shared" si="21"/>
        <v>365537.55</v>
      </c>
      <c r="O95" s="269">
        <f t="shared" si="22"/>
        <v>5.885641502417255</v>
      </c>
      <c r="P95" s="269">
        <f t="shared" si="23"/>
        <v>5.1389442630755626</v>
      </c>
    </row>
    <row r="96" spans="1:16" x14ac:dyDescent="0.3">
      <c r="A96" s="273" t="s">
        <v>179</v>
      </c>
      <c r="B96" s="296">
        <v>4.6330999999999998</v>
      </c>
      <c r="C96" s="267">
        <v>8942</v>
      </c>
      <c r="D96" s="277">
        <v>52148.66</v>
      </c>
      <c r="E96" s="267">
        <v>41324</v>
      </c>
      <c r="F96" s="277">
        <v>208314.17</v>
      </c>
      <c r="G96" s="267">
        <v>0</v>
      </c>
      <c r="H96" s="277">
        <v>1043.4100000000001</v>
      </c>
      <c r="I96" s="267">
        <v>16004</v>
      </c>
      <c r="J96" s="277">
        <v>81315.44</v>
      </c>
      <c r="K96" s="276">
        <f t="shared" si="20"/>
        <v>57328</v>
      </c>
      <c r="L96" s="278">
        <f t="shared" si="20"/>
        <v>290673.02</v>
      </c>
      <c r="M96" s="279">
        <f t="shared" si="21"/>
        <v>66270</v>
      </c>
      <c r="N96" s="280">
        <f t="shared" si="21"/>
        <v>342821.68000000005</v>
      </c>
      <c r="O96" s="269">
        <f t="shared" si="22"/>
        <v>5.8318787743234184</v>
      </c>
      <c r="P96" s="269">
        <f t="shared" si="23"/>
        <v>5.0703499162712813</v>
      </c>
    </row>
    <row r="97" spans="1:16" x14ac:dyDescent="0.3">
      <c r="A97" s="273" t="s">
        <v>181</v>
      </c>
      <c r="B97" s="296">
        <v>4.6071</v>
      </c>
      <c r="C97" s="267">
        <v>6048</v>
      </c>
      <c r="D97" s="277">
        <v>35388.959999999999</v>
      </c>
      <c r="E97" s="267">
        <v>32823</v>
      </c>
      <c r="F97" s="277">
        <v>164804.84</v>
      </c>
      <c r="G97" s="267">
        <v>0</v>
      </c>
      <c r="H97" s="277">
        <v>1043.4100000000001</v>
      </c>
      <c r="I97" s="267">
        <v>15465</v>
      </c>
      <c r="J97" s="277">
        <v>78201.820000000007</v>
      </c>
      <c r="K97" s="276">
        <f t="shared" si="20"/>
        <v>48288</v>
      </c>
      <c r="L97" s="278">
        <f t="shared" si="20"/>
        <v>244050.07</v>
      </c>
      <c r="M97" s="279">
        <f t="shared" si="21"/>
        <v>54336</v>
      </c>
      <c r="N97" s="280">
        <f t="shared" si="21"/>
        <v>279439.03000000003</v>
      </c>
      <c r="O97" s="269">
        <f t="shared" si="22"/>
        <v>5.8513492063492061</v>
      </c>
      <c r="P97" s="269">
        <f t="shared" si="23"/>
        <v>5.0540521454605702</v>
      </c>
    </row>
    <row r="98" spans="1:16" x14ac:dyDescent="0.3">
      <c r="A98" s="273" t="s">
        <v>237</v>
      </c>
      <c r="B98" s="296">
        <v>4.5591999999999997</v>
      </c>
      <c r="C98" s="267">
        <v>2488</v>
      </c>
      <c r="D98" s="277">
        <v>14942.49</v>
      </c>
      <c r="E98" s="267">
        <v>38695</v>
      </c>
      <c r="F98" s="277">
        <v>192211.02</v>
      </c>
      <c r="G98" s="267">
        <v>0</v>
      </c>
      <c r="H98" s="277">
        <v>1043.4100000000001</v>
      </c>
      <c r="I98" s="267">
        <v>2417</v>
      </c>
      <c r="J98" s="277">
        <v>12984.28</v>
      </c>
      <c r="K98" s="276">
        <f t="shared" si="20"/>
        <v>41112</v>
      </c>
      <c r="L98" s="278">
        <f t="shared" si="20"/>
        <v>206238.71</v>
      </c>
      <c r="M98" s="279">
        <f t="shared" si="21"/>
        <v>43600</v>
      </c>
      <c r="N98" s="280">
        <f t="shared" si="21"/>
        <v>221181.19999999998</v>
      </c>
      <c r="O98" s="269">
        <f t="shared" si="22"/>
        <v>6.0058239549839225</v>
      </c>
      <c r="P98" s="269">
        <f t="shared" si="23"/>
        <v>5.0165088052150217</v>
      </c>
    </row>
    <row r="99" spans="1:16" x14ac:dyDescent="0.3">
      <c r="A99" s="273" t="s">
        <v>188</v>
      </c>
      <c r="B99" s="296">
        <v>4.54</v>
      </c>
      <c r="C99" s="267">
        <v>1438</v>
      </c>
      <c r="D99" s="277">
        <v>8970.92</v>
      </c>
      <c r="E99" s="267">
        <v>37573</v>
      </c>
      <c r="F99" s="277">
        <v>185932.1</v>
      </c>
      <c r="G99" s="267">
        <v>0</v>
      </c>
      <c r="H99" s="277">
        <v>1043.4100000000001</v>
      </c>
      <c r="I99" s="267">
        <v>4767</v>
      </c>
      <c r="J99" s="277">
        <v>24500.79</v>
      </c>
      <c r="K99" s="276">
        <f t="shared" si="20"/>
        <v>42340</v>
      </c>
      <c r="L99" s="278">
        <f t="shared" si="20"/>
        <v>211476.30000000002</v>
      </c>
      <c r="M99" s="279">
        <f t="shared" si="21"/>
        <v>43778</v>
      </c>
      <c r="N99" s="280">
        <f t="shared" si="21"/>
        <v>220447.22000000003</v>
      </c>
      <c r="O99" s="269">
        <f t="shared" si="22"/>
        <v>6.2384700973574407</v>
      </c>
      <c r="P99" s="269">
        <f t="shared" si="23"/>
        <v>4.9947165800661315</v>
      </c>
    </row>
    <row r="100" spans="1:16" x14ac:dyDescent="0.3">
      <c r="A100" s="273" t="s">
        <v>189</v>
      </c>
      <c r="B100" s="296">
        <v>4.7956000000000003</v>
      </c>
      <c r="C100" s="267">
        <v>792</v>
      </c>
      <c r="D100" s="277">
        <v>5533.45</v>
      </c>
      <c r="E100" s="267">
        <v>38438</v>
      </c>
      <c r="F100" s="277">
        <v>200209.83</v>
      </c>
      <c r="G100" s="267">
        <v>0</v>
      </c>
      <c r="H100" s="277">
        <v>1043.4100000000001</v>
      </c>
      <c r="I100" s="267">
        <v>519</v>
      </c>
      <c r="J100" s="277">
        <v>3732.61</v>
      </c>
      <c r="K100" s="276">
        <f t="shared" si="20"/>
        <v>38957</v>
      </c>
      <c r="L100" s="278">
        <f t="shared" si="20"/>
        <v>204985.84999999998</v>
      </c>
      <c r="M100" s="279">
        <f t="shared" si="21"/>
        <v>39749</v>
      </c>
      <c r="N100" s="280">
        <f t="shared" si="21"/>
        <v>210519.3</v>
      </c>
      <c r="O100" s="269">
        <f t="shared" si="22"/>
        <v>6.9866792929292929</v>
      </c>
      <c r="P100" s="269">
        <f t="shared" si="23"/>
        <v>5.2618489616756934</v>
      </c>
    </row>
    <row r="101" spans="1:16" x14ac:dyDescent="0.3">
      <c r="A101" s="288" t="s">
        <v>221</v>
      </c>
      <c r="B101" s="298"/>
      <c r="C101" s="285">
        <f t="shared" ref="C101:N101" si="24">SUM(C89:C100)</f>
        <v>50475</v>
      </c>
      <c r="D101" s="286">
        <f t="shared" si="24"/>
        <v>301025.68</v>
      </c>
      <c r="E101" s="285">
        <f t="shared" si="24"/>
        <v>479364</v>
      </c>
      <c r="F101" s="286">
        <f t="shared" si="24"/>
        <v>2447622.19</v>
      </c>
      <c r="G101" s="285">
        <f t="shared" si="24"/>
        <v>0</v>
      </c>
      <c r="H101" s="286">
        <f t="shared" si="24"/>
        <v>12520.92</v>
      </c>
      <c r="I101" s="285">
        <f t="shared" si="24"/>
        <v>111396</v>
      </c>
      <c r="J101" s="286">
        <f t="shared" si="24"/>
        <v>573372.03000000014</v>
      </c>
      <c r="K101" s="281">
        <f t="shared" si="24"/>
        <v>590760</v>
      </c>
      <c r="L101" s="282">
        <f t="shared" si="24"/>
        <v>3033515.1399999997</v>
      </c>
      <c r="M101" s="283">
        <f t="shared" si="24"/>
        <v>641235</v>
      </c>
      <c r="N101" s="284">
        <f t="shared" si="24"/>
        <v>3334540.8200000008</v>
      </c>
      <c r="O101" s="267"/>
      <c r="P101" s="267"/>
    </row>
    <row r="102" spans="1:16" x14ac:dyDescent="0.3">
      <c r="A102" s="274"/>
      <c r="B102" s="295"/>
      <c r="C102" s="287"/>
      <c r="D102" s="340"/>
      <c r="E102" s="287"/>
      <c r="F102" s="340"/>
      <c r="G102" s="287"/>
      <c r="H102" s="340"/>
      <c r="I102" s="287"/>
      <c r="J102" s="340"/>
      <c r="K102" s="287"/>
      <c r="L102" s="340"/>
      <c r="M102" s="287"/>
      <c r="N102" s="302" t="s">
        <v>242</v>
      </c>
      <c r="O102" s="268">
        <f>AVERAGE(O89:O100)</f>
        <v>6.3276636126466164</v>
      </c>
      <c r="P102" s="268">
        <f>AVERAGE(P89:P100)</f>
        <v>5.1465862463605792</v>
      </c>
    </row>
  </sheetData>
  <mergeCells count="63">
    <mergeCell ref="M87:M88"/>
    <mergeCell ref="N87:N88"/>
    <mergeCell ref="O87:O88"/>
    <mergeCell ref="P87:P88"/>
    <mergeCell ref="B87:B88"/>
    <mergeCell ref="E87:F87"/>
    <mergeCell ref="G87:H87"/>
    <mergeCell ref="I87:J87"/>
    <mergeCell ref="K87:K88"/>
    <mergeCell ref="L87:L88"/>
    <mergeCell ref="M68:M69"/>
    <mergeCell ref="N68:N69"/>
    <mergeCell ref="O68:O69"/>
    <mergeCell ref="P68:P69"/>
    <mergeCell ref="C86:D86"/>
    <mergeCell ref="E86:L86"/>
    <mergeCell ref="M86:N86"/>
    <mergeCell ref="L68:L69"/>
    <mergeCell ref="B68:B69"/>
    <mergeCell ref="E68:F68"/>
    <mergeCell ref="G68:H68"/>
    <mergeCell ref="I68:J68"/>
    <mergeCell ref="K68:K69"/>
    <mergeCell ref="M48:M49"/>
    <mergeCell ref="N48:N49"/>
    <mergeCell ref="O48:O49"/>
    <mergeCell ref="P48:P49"/>
    <mergeCell ref="C67:D67"/>
    <mergeCell ref="E67:L67"/>
    <mergeCell ref="M67:N67"/>
    <mergeCell ref="L48:L49"/>
    <mergeCell ref="B48:B49"/>
    <mergeCell ref="E48:F48"/>
    <mergeCell ref="G48:H48"/>
    <mergeCell ref="I48:J48"/>
    <mergeCell ref="K48:K49"/>
    <mergeCell ref="O28:O29"/>
    <mergeCell ref="P28:P29"/>
    <mergeCell ref="C47:D47"/>
    <mergeCell ref="E47:L47"/>
    <mergeCell ref="M47:N47"/>
    <mergeCell ref="C27:D27"/>
    <mergeCell ref="E27:L27"/>
    <mergeCell ref="M27:N27"/>
    <mergeCell ref="B28:B29"/>
    <mergeCell ref="E28:F28"/>
    <mergeCell ref="G28:H28"/>
    <mergeCell ref="I28:J28"/>
    <mergeCell ref="K28:K29"/>
    <mergeCell ref="L28:L29"/>
    <mergeCell ref="M28:M29"/>
    <mergeCell ref="N28:N29"/>
    <mergeCell ref="M8:M9"/>
    <mergeCell ref="N8:N9"/>
    <mergeCell ref="O8:O9"/>
    <mergeCell ref="P8:P9"/>
    <mergeCell ref="C7:D7"/>
    <mergeCell ref="E7:L7"/>
    <mergeCell ref="E8:F8"/>
    <mergeCell ref="G8:H8"/>
    <mergeCell ref="I8:J8"/>
    <mergeCell ref="K8:K9"/>
    <mergeCell ref="L8:L9"/>
  </mergeCells>
  <pageMargins left="0.7" right="0.7" top="0.75" bottom="0.75" header="0.3" footer="0.3"/>
  <pageSetup scale="69" fitToHeight="0" orientation="landscape" r:id="rId1"/>
  <rowBreaks count="1" manualBreakCount="1">
    <brk id="84" max="1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00FF"/>
  </sheetPr>
  <dimension ref="A1:KR44"/>
  <sheetViews>
    <sheetView workbookViewId="0">
      <selection activeCell="T11" sqref="T11"/>
    </sheetView>
  </sheetViews>
  <sheetFormatPr defaultColWidth="8.88671875" defaultRowHeight="14.4" x14ac:dyDescent="0.3"/>
  <cols>
    <col min="1" max="1" width="8.88671875" style="84"/>
    <col min="2" max="5" width="13.5546875" style="84" bestFit="1" customWidth="1"/>
    <col min="6" max="7" width="13.6640625" style="84" bestFit="1" customWidth="1"/>
    <col min="8" max="11" width="13.5546875" style="84" bestFit="1" customWidth="1"/>
    <col min="12" max="12" width="13.6640625" style="84" bestFit="1" customWidth="1"/>
    <col min="13" max="13" width="13.6640625" style="305" bestFit="1" customWidth="1"/>
    <col min="14" max="14" width="13.6640625" style="84" bestFit="1" customWidth="1"/>
    <col min="15" max="17" width="13.5546875" style="84" bestFit="1" customWidth="1"/>
    <col min="18" max="18" width="13.33203125" style="84" customWidth="1"/>
    <col min="19" max="19" width="13.6640625" style="305" customWidth="1"/>
    <col min="20" max="20" width="13.5546875" style="84" bestFit="1" customWidth="1"/>
    <col min="21" max="24" width="13.33203125" style="84" bestFit="1" customWidth="1"/>
    <col min="25" max="16384" width="8.88671875" style="84"/>
  </cols>
  <sheetData>
    <row r="1" spans="1:21" x14ac:dyDescent="0.3">
      <c r="A1" s="334" t="s">
        <v>0</v>
      </c>
    </row>
    <row r="2" spans="1:21" x14ac:dyDescent="0.3">
      <c r="A2" s="334" t="s">
        <v>247</v>
      </c>
    </row>
    <row r="3" spans="1:21" x14ac:dyDescent="0.3">
      <c r="A3" s="334" t="s">
        <v>248</v>
      </c>
    </row>
    <row r="4" spans="1:21" x14ac:dyDescent="0.3">
      <c r="A4" s="334" t="s">
        <v>304</v>
      </c>
      <c r="B4" s="336">
        <f ca="1">TODAY()</f>
        <v>42578</v>
      </c>
    </row>
    <row r="8" spans="1:21" x14ac:dyDescent="0.3">
      <c r="A8" s="334" t="s">
        <v>246</v>
      </c>
      <c r="F8" s="305"/>
      <c r="L8" s="305"/>
      <c r="M8" s="84"/>
      <c r="R8" s="305"/>
      <c r="S8" s="84"/>
    </row>
    <row r="9" spans="1:21" x14ac:dyDescent="0.3">
      <c r="B9" s="506" t="s">
        <v>192</v>
      </c>
      <c r="C9" s="507"/>
      <c r="D9" s="507"/>
      <c r="E9" s="507"/>
      <c r="F9" s="508"/>
      <c r="G9" s="509" t="s">
        <v>193</v>
      </c>
      <c r="H9" s="510"/>
      <c r="I9" s="510"/>
      <c r="J9" s="510"/>
      <c r="K9" s="511"/>
      <c r="L9" s="512" t="s">
        <v>222</v>
      </c>
      <c r="M9" s="513"/>
      <c r="N9" s="513"/>
      <c r="O9" s="513"/>
      <c r="P9" s="514"/>
      <c r="Q9" s="515" t="s">
        <v>284</v>
      </c>
      <c r="R9" s="516"/>
      <c r="S9" s="516"/>
      <c r="T9" s="516"/>
      <c r="U9" s="517"/>
    </row>
    <row r="10" spans="1:21" ht="28.8" x14ac:dyDescent="0.3">
      <c r="B10" s="306" t="s">
        <v>244</v>
      </c>
      <c r="C10" s="306" t="s">
        <v>217</v>
      </c>
      <c r="D10" s="306" t="s">
        <v>218</v>
      </c>
      <c r="E10" s="306" t="s">
        <v>245</v>
      </c>
      <c r="F10" s="307" t="s">
        <v>219</v>
      </c>
      <c r="G10" s="308" t="s">
        <v>244</v>
      </c>
      <c r="H10" s="308" t="s">
        <v>217</v>
      </c>
      <c r="I10" s="308" t="s">
        <v>218</v>
      </c>
      <c r="J10" s="308" t="s">
        <v>245</v>
      </c>
      <c r="K10" s="317" t="s">
        <v>219</v>
      </c>
      <c r="L10" s="318" t="s">
        <v>244</v>
      </c>
      <c r="M10" s="318" t="s">
        <v>217</v>
      </c>
      <c r="N10" s="318" t="s">
        <v>218</v>
      </c>
      <c r="O10" s="318" t="s">
        <v>245</v>
      </c>
      <c r="P10" s="319" t="s">
        <v>219</v>
      </c>
      <c r="Q10" s="426" t="s">
        <v>244</v>
      </c>
      <c r="R10" s="426" t="s">
        <v>217</v>
      </c>
      <c r="S10" s="426" t="s">
        <v>218</v>
      </c>
      <c r="T10" s="426" t="s">
        <v>245</v>
      </c>
      <c r="U10" s="427" t="s">
        <v>219</v>
      </c>
    </row>
    <row r="11" spans="1:21" x14ac:dyDescent="0.3">
      <c r="A11" s="84" t="s">
        <v>231</v>
      </c>
      <c r="B11" s="349">
        <v>10485</v>
      </c>
      <c r="C11" s="368">
        <v>25625.33</v>
      </c>
      <c r="D11" s="368">
        <v>19516.64</v>
      </c>
      <c r="E11" s="368">
        <f t="shared" ref="E11:E22" si="0">+C11+D11</f>
        <v>45141.97</v>
      </c>
      <c r="F11" s="303">
        <f t="shared" ref="F11:F22" si="1">+E11/B11</f>
        <v>4.305385789222699</v>
      </c>
      <c r="G11" s="349">
        <v>10755</v>
      </c>
      <c r="H11" s="304">
        <v>26270.18</v>
      </c>
      <c r="I11" s="340">
        <v>15552.94</v>
      </c>
      <c r="J11" s="368">
        <f t="shared" ref="J11:J22" si="2">+H11+I11</f>
        <v>41823.120000000003</v>
      </c>
      <c r="K11" s="303">
        <f t="shared" ref="K11:K22" si="3">+J11/G11</f>
        <v>3.8887140864714089</v>
      </c>
      <c r="L11" s="313">
        <v>10644</v>
      </c>
      <c r="M11" s="368">
        <v>26005.08</v>
      </c>
      <c r="N11" s="368">
        <v>9549.76</v>
      </c>
      <c r="O11" s="368">
        <f t="shared" ref="O11:O22" si="4">+M11+N11</f>
        <v>35554.840000000004</v>
      </c>
      <c r="P11" s="303">
        <f>+O11/L11</f>
        <v>3.3403645246148068</v>
      </c>
      <c r="Q11" s="313">
        <v>12323</v>
      </c>
      <c r="R11" s="368">
        <v>30015.09</v>
      </c>
      <c r="S11" s="368">
        <v>12506.78</v>
      </c>
      <c r="T11" s="368">
        <f t="shared" ref="T11:T22" si="5">+R11+S11</f>
        <v>42521.87</v>
      </c>
      <c r="U11" s="303">
        <v>3.3548</v>
      </c>
    </row>
    <row r="12" spans="1:21" x14ac:dyDescent="0.3">
      <c r="A12" s="84" t="s">
        <v>232</v>
      </c>
      <c r="B12" s="349">
        <v>11631</v>
      </c>
      <c r="C12" s="368">
        <v>28362.36</v>
      </c>
      <c r="D12" s="368">
        <v>19175.75</v>
      </c>
      <c r="E12" s="368">
        <f t="shared" si="0"/>
        <v>47538.11</v>
      </c>
      <c r="F12" s="303">
        <f t="shared" si="1"/>
        <v>4.0871902673888743</v>
      </c>
      <c r="G12" s="349">
        <v>11540</v>
      </c>
      <c r="H12" s="304">
        <v>28145.02</v>
      </c>
      <c r="I12" s="340">
        <v>15281.28</v>
      </c>
      <c r="J12" s="368">
        <f t="shared" si="2"/>
        <v>43426.3</v>
      </c>
      <c r="K12" s="303">
        <f t="shared" si="3"/>
        <v>3.7631109185441942</v>
      </c>
      <c r="L12" s="313">
        <v>11236</v>
      </c>
      <c r="M12" s="368">
        <v>27418.98</v>
      </c>
      <c r="N12" s="368">
        <v>10080.9</v>
      </c>
      <c r="O12" s="368">
        <f t="shared" si="4"/>
        <v>37499.879999999997</v>
      </c>
      <c r="P12" s="303">
        <f>+O12/L12</f>
        <v>3.3374759700961194</v>
      </c>
      <c r="Q12" s="313">
        <v>13518.8</v>
      </c>
      <c r="R12" s="368">
        <v>32967.06</v>
      </c>
      <c r="S12" s="368">
        <v>12506.78</v>
      </c>
      <c r="T12" s="368">
        <f t="shared" si="5"/>
        <v>45473.84</v>
      </c>
      <c r="U12" s="303">
        <v>3.3548</v>
      </c>
    </row>
    <row r="13" spans="1:21" x14ac:dyDescent="0.3">
      <c r="A13" s="84" t="s">
        <v>233</v>
      </c>
      <c r="B13" s="349">
        <v>14482</v>
      </c>
      <c r="C13" s="368">
        <v>35171.49</v>
      </c>
      <c r="D13" s="368">
        <v>21680.37</v>
      </c>
      <c r="E13" s="368">
        <f t="shared" si="0"/>
        <v>56851.86</v>
      </c>
      <c r="F13" s="303">
        <f t="shared" si="1"/>
        <v>3.9256912028725313</v>
      </c>
      <c r="G13" s="349">
        <v>14169</v>
      </c>
      <c r="H13" s="304">
        <v>34423.949999999997</v>
      </c>
      <c r="I13" s="340">
        <v>17277.23</v>
      </c>
      <c r="J13" s="368">
        <f t="shared" si="2"/>
        <v>51701.179999999993</v>
      </c>
      <c r="K13" s="303">
        <f t="shared" si="3"/>
        <v>3.6488940645070218</v>
      </c>
      <c r="L13" s="313">
        <v>12184</v>
      </c>
      <c r="M13" s="368">
        <v>29683.11</v>
      </c>
      <c r="N13" s="368">
        <v>12184</v>
      </c>
      <c r="O13" s="368">
        <f t="shared" si="4"/>
        <v>41867.11</v>
      </c>
      <c r="P13" s="347">
        <v>3.4510000000000001</v>
      </c>
      <c r="Q13" s="313">
        <v>14691</v>
      </c>
      <c r="R13" s="368">
        <v>35670.65</v>
      </c>
      <c r="S13" s="368">
        <v>12506.78</v>
      </c>
      <c r="T13" s="368">
        <f t="shared" si="5"/>
        <v>48177.43</v>
      </c>
      <c r="U13" s="303">
        <v>3.3548</v>
      </c>
    </row>
    <row r="14" spans="1:21" x14ac:dyDescent="0.3">
      <c r="A14" s="84" t="s">
        <v>234</v>
      </c>
      <c r="B14" s="349">
        <v>14580</v>
      </c>
      <c r="C14" s="368">
        <v>35405.550000000003</v>
      </c>
      <c r="D14" s="368">
        <v>23834.53</v>
      </c>
      <c r="E14" s="368">
        <f t="shared" si="0"/>
        <v>59240.08</v>
      </c>
      <c r="F14" s="303">
        <f t="shared" si="1"/>
        <v>4.0631056241426613</v>
      </c>
      <c r="G14" s="349">
        <v>14358</v>
      </c>
      <c r="H14" s="304">
        <v>34875.339999999997</v>
      </c>
      <c r="I14" s="340">
        <v>18993.900000000001</v>
      </c>
      <c r="J14" s="368">
        <f t="shared" si="2"/>
        <v>53869.24</v>
      </c>
      <c r="K14" s="303">
        <f t="shared" si="3"/>
        <v>3.7518623763755397</v>
      </c>
      <c r="L14" s="313">
        <v>14316</v>
      </c>
      <c r="M14" s="368">
        <v>34775.019999999997</v>
      </c>
      <c r="N14" s="368">
        <v>12824.83</v>
      </c>
      <c r="O14" s="368">
        <f t="shared" si="4"/>
        <v>47599.85</v>
      </c>
      <c r="P14" s="303">
        <f t="shared" ref="P14:P22" si="6">+O14/L14</f>
        <v>3.3249406258731486</v>
      </c>
      <c r="Q14" s="313">
        <v>15109</v>
      </c>
      <c r="R14" s="368">
        <v>36668.97</v>
      </c>
      <c r="S14" s="368">
        <v>12506.78</v>
      </c>
      <c r="T14" s="368">
        <f t="shared" si="5"/>
        <v>49175.75</v>
      </c>
      <c r="U14" s="303">
        <v>3.3548</v>
      </c>
    </row>
    <row r="15" spans="1:21" x14ac:dyDescent="0.3">
      <c r="A15" s="84" t="s">
        <v>235</v>
      </c>
      <c r="B15" s="349">
        <v>13591</v>
      </c>
      <c r="C15" s="368">
        <v>33043.49</v>
      </c>
      <c r="D15" s="368">
        <v>22349.58</v>
      </c>
      <c r="E15" s="368">
        <f t="shared" si="0"/>
        <v>55393.07</v>
      </c>
      <c r="F15" s="303">
        <f t="shared" si="1"/>
        <v>4.0757170186152605</v>
      </c>
      <c r="G15" s="349">
        <v>13743</v>
      </c>
      <c r="H15" s="304">
        <v>33406.519999999997</v>
      </c>
      <c r="I15" s="340">
        <v>17810.53</v>
      </c>
      <c r="J15" s="368">
        <f t="shared" si="2"/>
        <v>51217.049999999996</v>
      </c>
      <c r="K15" s="303">
        <f t="shared" si="3"/>
        <v>3.7267736302117438</v>
      </c>
      <c r="L15" s="313">
        <v>13490</v>
      </c>
      <c r="M15" s="368">
        <v>32802.26</v>
      </c>
      <c r="N15" s="368">
        <v>12103.48</v>
      </c>
      <c r="O15" s="368">
        <f t="shared" si="4"/>
        <v>44905.740000000005</v>
      </c>
      <c r="P15" s="303">
        <f t="shared" si="6"/>
        <v>3.3288169014084512</v>
      </c>
      <c r="Q15" s="313">
        <v>13263</v>
      </c>
      <c r="R15" s="368">
        <v>32260.12</v>
      </c>
      <c r="S15" s="368">
        <v>12506.78</v>
      </c>
      <c r="T15" s="368">
        <f t="shared" si="5"/>
        <v>44766.9</v>
      </c>
      <c r="U15" s="303">
        <v>3.3548</v>
      </c>
    </row>
    <row r="16" spans="1:21" x14ac:dyDescent="0.3">
      <c r="A16" s="84" t="s">
        <v>236</v>
      </c>
      <c r="B16" s="349">
        <v>11515</v>
      </c>
      <c r="C16" s="368">
        <v>28085.32</v>
      </c>
      <c r="D16" s="368">
        <v>19159.61</v>
      </c>
      <c r="E16" s="368">
        <f t="shared" si="0"/>
        <v>47244.93</v>
      </c>
      <c r="F16" s="303">
        <f t="shared" si="1"/>
        <v>4.1029031697785499</v>
      </c>
      <c r="G16" s="349">
        <v>10861</v>
      </c>
      <c r="H16" s="304">
        <v>26523.35</v>
      </c>
      <c r="I16" s="340">
        <v>15268.42</v>
      </c>
      <c r="J16" s="368">
        <f t="shared" si="2"/>
        <v>41791.769999999997</v>
      </c>
      <c r="K16" s="303">
        <f t="shared" si="3"/>
        <v>3.8478749654727924</v>
      </c>
      <c r="L16" s="313">
        <v>12433</v>
      </c>
      <c r="M16" s="368">
        <v>30277.8</v>
      </c>
      <c r="N16" s="368">
        <v>10004.040000000001</v>
      </c>
      <c r="O16" s="368">
        <f t="shared" si="4"/>
        <v>40281.839999999997</v>
      </c>
      <c r="P16" s="303">
        <f t="shared" si="6"/>
        <v>3.239913134400386</v>
      </c>
      <c r="Q16" s="313">
        <v>10635</v>
      </c>
      <c r="R16" s="368">
        <v>25983.58</v>
      </c>
      <c r="S16" s="368">
        <v>12506.78</v>
      </c>
      <c r="T16" s="368">
        <f t="shared" si="5"/>
        <v>38490.36</v>
      </c>
      <c r="U16" s="303">
        <v>3.3548</v>
      </c>
    </row>
    <row r="17" spans="1:304" x14ac:dyDescent="0.3">
      <c r="A17" s="84" t="s">
        <v>178</v>
      </c>
      <c r="B17" s="349">
        <v>8900</v>
      </c>
      <c r="C17" s="368">
        <v>21839.83</v>
      </c>
      <c r="D17" s="368">
        <v>15291.44</v>
      </c>
      <c r="E17" s="368">
        <f t="shared" si="0"/>
        <v>37131.270000000004</v>
      </c>
      <c r="F17" s="303">
        <f t="shared" si="1"/>
        <v>4.1720528089887647</v>
      </c>
      <c r="G17" s="349">
        <v>13075</v>
      </c>
      <c r="H17" s="304">
        <v>31811.119999999999</v>
      </c>
      <c r="I17" s="340">
        <v>12185.85</v>
      </c>
      <c r="J17" s="368">
        <f t="shared" si="2"/>
        <v>43996.97</v>
      </c>
      <c r="K17" s="303">
        <f t="shared" si="3"/>
        <v>3.3649690248565967</v>
      </c>
      <c r="L17" s="313">
        <v>11612</v>
      </c>
      <c r="M17" s="368">
        <v>28316.99</v>
      </c>
      <c r="N17" s="368">
        <v>8258.69</v>
      </c>
      <c r="O17" s="368">
        <f t="shared" si="4"/>
        <v>36575.68</v>
      </c>
      <c r="P17" s="303">
        <f t="shared" si="6"/>
        <v>3.1498174302445747</v>
      </c>
      <c r="Q17" s="313">
        <v>9916</v>
      </c>
      <c r="R17" s="368">
        <v>20710.150000000001</v>
      </c>
      <c r="S17" s="368">
        <v>12506.78</v>
      </c>
      <c r="T17" s="368">
        <f t="shared" si="5"/>
        <v>33216.93</v>
      </c>
      <c r="U17" s="303">
        <v>3.3548</v>
      </c>
    </row>
    <row r="18" spans="1:304" x14ac:dyDescent="0.3">
      <c r="A18" s="84" t="s">
        <v>179</v>
      </c>
      <c r="B18" s="349">
        <v>11198</v>
      </c>
      <c r="C18" s="368">
        <v>27328.21</v>
      </c>
      <c r="D18" s="368">
        <v>17411.52</v>
      </c>
      <c r="E18" s="368">
        <f t="shared" si="0"/>
        <v>44739.729999999996</v>
      </c>
      <c r="F18" s="303">
        <f t="shared" si="1"/>
        <v>3.9953322021789601</v>
      </c>
      <c r="G18" s="349">
        <v>12640</v>
      </c>
      <c r="H18" s="304">
        <v>30772.18</v>
      </c>
      <c r="I18" s="340">
        <v>13875.35</v>
      </c>
      <c r="J18" s="368">
        <f t="shared" si="2"/>
        <v>44647.53</v>
      </c>
      <c r="K18" s="303">
        <f t="shared" si="3"/>
        <v>3.5322412974683544</v>
      </c>
      <c r="L18" s="313">
        <v>12704</v>
      </c>
      <c r="M18" s="368">
        <v>30925.040000000001</v>
      </c>
      <c r="N18" s="368">
        <v>10151.780000000001</v>
      </c>
      <c r="O18" s="368">
        <f t="shared" si="4"/>
        <v>41076.82</v>
      </c>
      <c r="P18" s="303">
        <f t="shared" si="6"/>
        <v>3.2333768891687655</v>
      </c>
      <c r="Q18" s="313">
        <v>8427</v>
      </c>
      <c r="R18" s="368">
        <v>24266.37</v>
      </c>
      <c r="S18" s="368">
        <v>12506.78</v>
      </c>
      <c r="T18" s="368">
        <f t="shared" si="5"/>
        <v>36773.15</v>
      </c>
      <c r="U18" s="303">
        <v>3.3548</v>
      </c>
    </row>
    <row r="19" spans="1:304" x14ac:dyDescent="0.3">
      <c r="A19" s="84" t="s">
        <v>181</v>
      </c>
      <c r="B19" s="349">
        <v>14414</v>
      </c>
      <c r="C19" s="368">
        <v>35009.08</v>
      </c>
      <c r="D19" s="368">
        <v>20153.560000000001</v>
      </c>
      <c r="E19" s="368">
        <f t="shared" si="0"/>
        <v>55162.64</v>
      </c>
      <c r="F19" s="303">
        <f t="shared" si="1"/>
        <v>3.8270181767725822</v>
      </c>
      <c r="G19" s="349">
        <v>11970</v>
      </c>
      <c r="H19" s="304">
        <v>29172</v>
      </c>
      <c r="I19" s="340">
        <v>16060.5</v>
      </c>
      <c r="J19" s="368">
        <f t="shared" si="2"/>
        <v>45232.5</v>
      </c>
      <c r="K19" s="303">
        <f t="shared" si="3"/>
        <v>3.7788220551378444</v>
      </c>
      <c r="L19" s="313">
        <v>13698</v>
      </c>
      <c r="M19" s="368">
        <v>33299.040000000001</v>
      </c>
      <c r="N19" s="368">
        <v>11479.33</v>
      </c>
      <c r="O19" s="368">
        <f t="shared" si="4"/>
        <v>44778.37</v>
      </c>
      <c r="P19" s="303">
        <f t="shared" si="6"/>
        <v>3.2689713826836035</v>
      </c>
      <c r="Q19" s="313">
        <v>9813</v>
      </c>
      <c r="R19" s="368">
        <v>24020.38</v>
      </c>
      <c r="S19" s="368">
        <v>12506.78</v>
      </c>
      <c r="T19" s="368">
        <f t="shared" si="5"/>
        <v>36527.160000000003</v>
      </c>
      <c r="U19" s="303">
        <v>3.3548</v>
      </c>
    </row>
    <row r="20" spans="1:304" x14ac:dyDescent="0.3">
      <c r="A20" s="84" t="s">
        <v>237</v>
      </c>
      <c r="B20" s="349">
        <v>13052</v>
      </c>
      <c r="C20" s="368">
        <v>31756.18</v>
      </c>
      <c r="D20" s="368">
        <v>20413.11</v>
      </c>
      <c r="E20" s="368">
        <f t="shared" si="0"/>
        <v>52169.29</v>
      </c>
      <c r="F20" s="303">
        <f t="shared" si="1"/>
        <v>3.9970341710082748</v>
      </c>
      <c r="G20" s="349">
        <v>12547</v>
      </c>
      <c r="H20" s="304">
        <v>30550.080000000002</v>
      </c>
      <c r="I20" s="340">
        <v>16267.34</v>
      </c>
      <c r="J20" s="368">
        <f t="shared" si="2"/>
        <v>46817.42</v>
      </c>
      <c r="K20" s="303">
        <f t="shared" si="3"/>
        <v>3.7313636725910575</v>
      </c>
      <c r="L20" s="313">
        <v>14720</v>
      </c>
      <c r="M20" s="368">
        <v>35739.910000000003</v>
      </c>
      <c r="N20" s="368">
        <v>11209.87</v>
      </c>
      <c r="O20" s="368">
        <f t="shared" si="4"/>
        <v>46949.780000000006</v>
      </c>
      <c r="P20" s="303">
        <f t="shared" si="6"/>
        <v>3.1895230978260876</v>
      </c>
      <c r="Q20" s="313">
        <v>10270</v>
      </c>
      <c r="R20" s="368">
        <v>25111.84</v>
      </c>
      <c r="S20" s="368">
        <v>12506.78</v>
      </c>
      <c r="T20" s="368">
        <f t="shared" si="5"/>
        <v>37618.620000000003</v>
      </c>
      <c r="U20" s="303">
        <v>3.3548</v>
      </c>
    </row>
    <row r="21" spans="1:304" x14ac:dyDescent="0.3">
      <c r="A21" s="84" t="s">
        <v>188</v>
      </c>
      <c r="B21" s="349">
        <v>12844</v>
      </c>
      <c r="C21" s="368">
        <v>31259.4</v>
      </c>
      <c r="D21" s="368">
        <v>21018.33</v>
      </c>
      <c r="E21" s="368">
        <f t="shared" si="0"/>
        <v>52277.73</v>
      </c>
      <c r="F21" s="303">
        <f t="shared" si="1"/>
        <v>4.0702063220180635</v>
      </c>
      <c r="G21" s="349">
        <v>12768</v>
      </c>
      <c r="H21" s="304">
        <v>31077.89</v>
      </c>
      <c r="I21" s="340">
        <v>16749.650000000001</v>
      </c>
      <c r="J21" s="368">
        <f t="shared" si="2"/>
        <v>47827.54</v>
      </c>
      <c r="K21" s="303">
        <f t="shared" si="3"/>
        <v>3.7458912907268171</v>
      </c>
      <c r="L21" s="313">
        <v>23354</v>
      </c>
      <c r="M21" s="368">
        <v>56360.76</v>
      </c>
      <c r="N21" s="368">
        <v>11238.58</v>
      </c>
      <c r="O21" s="368">
        <f t="shared" si="4"/>
        <v>67599.34</v>
      </c>
      <c r="P21" s="303">
        <f t="shared" si="6"/>
        <v>2.8945508264108932</v>
      </c>
      <c r="Q21" s="313">
        <v>10585</v>
      </c>
      <c r="R21" s="368">
        <v>25864.17</v>
      </c>
      <c r="S21" s="368">
        <v>12506.78</v>
      </c>
      <c r="T21" s="368">
        <f t="shared" si="5"/>
        <v>38370.949999999997</v>
      </c>
      <c r="U21" s="303">
        <v>3.3548</v>
      </c>
    </row>
    <row r="22" spans="1:304" x14ac:dyDescent="0.3">
      <c r="A22" s="84" t="s">
        <v>189</v>
      </c>
      <c r="B22" s="349">
        <v>11634</v>
      </c>
      <c r="C22" s="337">
        <v>28369.53</v>
      </c>
      <c r="D22" s="337">
        <v>17785.3</v>
      </c>
      <c r="E22" s="337">
        <f t="shared" si="0"/>
        <v>46154.83</v>
      </c>
      <c r="F22" s="309">
        <f t="shared" si="1"/>
        <v>3.9672365480488225</v>
      </c>
      <c r="G22" s="349">
        <v>10777</v>
      </c>
      <c r="H22" s="311">
        <v>26322.720000000001</v>
      </c>
      <c r="I22" s="312">
        <v>14173.22</v>
      </c>
      <c r="J22" s="337">
        <f t="shared" si="2"/>
        <v>40495.94</v>
      </c>
      <c r="K22" s="309">
        <f t="shared" si="3"/>
        <v>3.7576264266493462</v>
      </c>
      <c r="L22" s="313">
        <v>12138</v>
      </c>
      <c r="M22" s="337">
        <v>29573.24</v>
      </c>
      <c r="N22" s="337">
        <v>9623.33</v>
      </c>
      <c r="O22" s="337">
        <f t="shared" si="4"/>
        <v>39196.57</v>
      </c>
      <c r="P22" s="309">
        <f t="shared" si="6"/>
        <v>3.229244521337947</v>
      </c>
      <c r="Q22" s="313">
        <v>9387</v>
      </c>
      <c r="R22" s="337">
        <v>23002.95</v>
      </c>
      <c r="S22" s="337">
        <v>12506.78</v>
      </c>
      <c r="T22" s="337">
        <f t="shared" si="5"/>
        <v>35509.730000000003</v>
      </c>
      <c r="U22" s="303">
        <v>3.3548</v>
      </c>
    </row>
    <row r="23" spans="1:304" x14ac:dyDescent="0.3">
      <c r="A23" s="314" t="s">
        <v>221</v>
      </c>
      <c r="B23" s="315">
        <f>SUM(B11:B22)</f>
        <v>148326</v>
      </c>
      <c r="C23" s="315">
        <f>SUM(C11:C22)</f>
        <v>361255.77</v>
      </c>
      <c r="D23" s="315">
        <f>SUM(D11:D22)</f>
        <v>237789.74</v>
      </c>
      <c r="E23" s="315">
        <f>SUM(E11:E22)</f>
        <v>599045.51</v>
      </c>
      <c r="F23" s="322"/>
      <c r="G23" s="315">
        <f>SUM(G11:G22)</f>
        <v>149203</v>
      </c>
      <c r="H23" s="315">
        <f>SUM(H11:H22)</f>
        <v>363350.35</v>
      </c>
      <c r="I23" s="315">
        <f>SUM(I11:I22)</f>
        <v>189496.21</v>
      </c>
      <c r="J23" s="315">
        <f>SUM(J11:J22)</f>
        <v>552846.56000000006</v>
      </c>
      <c r="K23" s="322"/>
      <c r="L23" s="316">
        <f>SUM(L11:L22)</f>
        <v>162529</v>
      </c>
      <c r="M23" s="315">
        <f>SUM(M11:M22)</f>
        <v>395177.23</v>
      </c>
      <c r="N23" s="315">
        <f>SUM(N11:N22)</f>
        <v>128708.59000000001</v>
      </c>
      <c r="O23" s="315">
        <f>SUM(O11:O22)</f>
        <v>523885.82</v>
      </c>
      <c r="P23" s="322"/>
      <c r="Q23" s="316">
        <f>SUM(Q11:Q22)</f>
        <v>137937.79999999999</v>
      </c>
      <c r="R23" s="315">
        <f>SUM(R11:R22)</f>
        <v>336541.32999999996</v>
      </c>
      <c r="S23" s="315">
        <f>SUM(S11:S22)</f>
        <v>150081.36000000002</v>
      </c>
      <c r="T23" s="315">
        <f>SUM(T11:T22)</f>
        <v>486622.69</v>
      </c>
      <c r="U23" s="322"/>
    </row>
    <row r="24" spans="1:304" x14ac:dyDescent="0.3">
      <c r="B24" s="339"/>
      <c r="C24" s="339"/>
      <c r="D24" s="339"/>
      <c r="E24" s="341" t="s">
        <v>242</v>
      </c>
      <c r="F24" s="310">
        <f>AVERAGE(F11:F22)</f>
        <v>4.0490727750863371</v>
      </c>
      <c r="G24" s="339"/>
      <c r="H24" s="339"/>
      <c r="I24" s="339"/>
      <c r="J24" s="341" t="s">
        <v>242</v>
      </c>
      <c r="K24" s="310">
        <f>AVERAGE(K11:K22)</f>
        <v>3.7115119840843929</v>
      </c>
      <c r="L24" s="369"/>
      <c r="M24" s="339"/>
      <c r="N24" s="339"/>
      <c r="O24" s="341" t="s">
        <v>242</v>
      </c>
      <c r="P24" s="310">
        <f>AVERAGE(P11:P22)</f>
        <v>3.2489996086720652</v>
      </c>
      <c r="Q24" s="369"/>
      <c r="R24" s="339"/>
      <c r="S24" s="339"/>
      <c r="T24" s="341" t="s">
        <v>242</v>
      </c>
      <c r="U24" s="310">
        <f>AVERAGE(U11:U22)</f>
        <v>3.3547999999999996</v>
      </c>
    </row>
    <row r="25" spans="1:304" x14ac:dyDescent="0.3">
      <c r="B25" s="370"/>
      <c r="C25" s="370"/>
      <c r="D25" s="370"/>
      <c r="E25" s="320"/>
      <c r="F25" s="321"/>
      <c r="G25" s="321"/>
      <c r="H25" s="370"/>
      <c r="I25" s="370"/>
      <c r="J25" s="370"/>
      <c r="K25" s="320"/>
      <c r="L25" s="321"/>
      <c r="M25" s="321"/>
      <c r="N25" s="370"/>
      <c r="O25" s="370"/>
      <c r="P25" s="370"/>
      <c r="Q25" s="320"/>
      <c r="R25" s="321"/>
      <c r="S25" s="321"/>
    </row>
    <row r="26" spans="1:304" x14ac:dyDescent="0.3">
      <c r="B26" s="370"/>
      <c r="C26" s="370"/>
      <c r="D26" s="370"/>
      <c r="E26" s="320"/>
      <c r="F26" s="321"/>
      <c r="G26" s="321"/>
      <c r="H26" s="370"/>
      <c r="I26" s="370"/>
      <c r="J26" s="370"/>
      <c r="K26" s="320"/>
      <c r="L26" s="321"/>
      <c r="M26" s="321"/>
      <c r="N26" s="370"/>
      <c r="O26" s="370"/>
      <c r="P26" s="370"/>
      <c r="Q26" s="320"/>
      <c r="R26" s="321"/>
      <c r="S26" s="321"/>
    </row>
    <row r="27" spans="1:304" x14ac:dyDescent="0.3">
      <c r="A27" s="334" t="s">
        <v>216</v>
      </c>
      <c r="B27" s="370"/>
      <c r="C27" s="370"/>
      <c r="D27" s="370"/>
      <c r="E27" s="320"/>
      <c r="F27" s="321"/>
      <c r="G27" s="321"/>
      <c r="H27" s="370"/>
      <c r="I27" s="370"/>
      <c r="J27" s="370"/>
      <c r="K27" s="320"/>
      <c r="L27" s="321"/>
      <c r="M27" s="321"/>
      <c r="N27" s="370"/>
      <c r="O27" s="370"/>
      <c r="P27" s="370"/>
      <c r="Q27" s="320"/>
      <c r="R27" s="321"/>
      <c r="S27" s="321"/>
    </row>
    <row r="28" spans="1:304" x14ac:dyDescent="0.3">
      <c r="B28" s="506" t="s">
        <v>192</v>
      </c>
      <c r="C28" s="507"/>
      <c r="D28" s="507"/>
      <c r="E28" s="507"/>
      <c r="F28" s="507"/>
      <c r="G28" s="508"/>
      <c r="H28" s="509" t="s">
        <v>193</v>
      </c>
      <c r="I28" s="510"/>
      <c r="J28" s="510"/>
      <c r="K28" s="510"/>
      <c r="L28" s="510"/>
      <c r="M28" s="511"/>
      <c r="N28" s="512" t="s">
        <v>222</v>
      </c>
      <c r="O28" s="513"/>
      <c r="P28" s="513"/>
      <c r="Q28" s="513"/>
      <c r="R28" s="513"/>
      <c r="S28" s="514"/>
      <c r="T28" s="515" t="s">
        <v>284</v>
      </c>
      <c r="U28" s="516"/>
      <c r="V28" s="516"/>
      <c r="W28" s="516"/>
      <c r="X28" s="516"/>
      <c r="Y28" s="517"/>
    </row>
    <row r="29" spans="1:304" ht="28.8" x14ac:dyDescent="0.3">
      <c r="B29" s="323" t="s">
        <v>244</v>
      </c>
      <c r="C29" s="323" t="s">
        <v>217</v>
      </c>
      <c r="D29" s="323" t="s">
        <v>220</v>
      </c>
      <c r="E29" s="323" t="s">
        <v>218</v>
      </c>
      <c r="F29" s="323" t="s">
        <v>245</v>
      </c>
      <c r="G29" s="324" t="s">
        <v>219</v>
      </c>
      <c r="H29" s="325" t="s">
        <v>244</v>
      </c>
      <c r="I29" s="325" t="s">
        <v>217</v>
      </c>
      <c r="J29" s="325" t="s">
        <v>220</v>
      </c>
      <c r="K29" s="325" t="s">
        <v>218</v>
      </c>
      <c r="L29" s="325" t="s">
        <v>245</v>
      </c>
      <c r="M29" s="326" t="s">
        <v>219</v>
      </c>
      <c r="N29" s="327" t="s">
        <v>244</v>
      </c>
      <c r="O29" s="327" t="s">
        <v>217</v>
      </c>
      <c r="P29" s="327" t="s">
        <v>220</v>
      </c>
      <c r="Q29" s="327" t="s">
        <v>218</v>
      </c>
      <c r="R29" s="327" t="s">
        <v>245</v>
      </c>
      <c r="S29" s="328" t="s">
        <v>219</v>
      </c>
      <c r="T29" s="428" t="s">
        <v>244</v>
      </c>
      <c r="U29" s="426" t="s">
        <v>217</v>
      </c>
      <c r="V29" s="428" t="s">
        <v>220</v>
      </c>
      <c r="W29" s="428" t="s">
        <v>218</v>
      </c>
      <c r="X29" s="428" t="s">
        <v>245</v>
      </c>
      <c r="Y29" s="429" t="s">
        <v>219</v>
      </c>
    </row>
    <row r="30" spans="1:304" s="371" customFormat="1" x14ac:dyDescent="0.3">
      <c r="A30" s="371" t="s">
        <v>231</v>
      </c>
      <c r="B30" s="349">
        <v>113473</v>
      </c>
      <c r="C30" s="338">
        <v>1898.43</v>
      </c>
      <c r="D30" s="368">
        <v>29439.4712</v>
      </c>
      <c r="E30" s="368">
        <v>23231.51</v>
      </c>
      <c r="F30" s="368">
        <f>SUM(C30:E30)</f>
        <v>54569.411200000002</v>
      </c>
      <c r="G30" s="347">
        <v>0.48089999999999999</v>
      </c>
      <c r="H30" s="372">
        <v>102524.99</v>
      </c>
      <c r="I30" s="340">
        <v>2501.48</v>
      </c>
      <c r="J30" s="340">
        <v>20688.3469</v>
      </c>
      <c r="K30" s="340">
        <v>43995.8</v>
      </c>
      <c r="L30" s="368">
        <f>SUM(I30:K30)</f>
        <v>67185.626900000003</v>
      </c>
      <c r="M30" s="347">
        <v>0.65529999999999999</v>
      </c>
      <c r="N30" s="349">
        <v>97558</v>
      </c>
      <c r="O30" s="338">
        <v>2095.6799999999998</v>
      </c>
      <c r="P30" s="368">
        <v>17097.997800000001</v>
      </c>
      <c r="Q30" s="368">
        <v>39009.15</v>
      </c>
      <c r="R30" s="368">
        <f>SUM(O30:Q30)</f>
        <v>58202.827799999999</v>
      </c>
      <c r="S30" s="350">
        <f t="shared" ref="S30:S41" si="7">+R30/N30</f>
        <v>0.59659718116402549</v>
      </c>
      <c r="T30" s="349">
        <v>93717</v>
      </c>
      <c r="U30" s="338">
        <v>1918.45</v>
      </c>
      <c r="V30" s="368">
        <v>24563.696400000001</v>
      </c>
      <c r="W30" s="368">
        <v>30471.5</v>
      </c>
      <c r="X30" s="368">
        <f>SUM(U30:W30)</f>
        <v>56953.646399999998</v>
      </c>
      <c r="Y30" s="350">
        <v>0.64329999999999998</v>
      </c>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c r="BJ30" s="84"/>
      <c r="BK30" s="84"/>
      <c r="BL30" s="84"/>
      <c r="BM30" s="84"/>
      <c r="BN30" s="84"/>
      <c r="BO30" s="84"/>
      <c r="BP30" s="84"/>
      <c r="BQ30" s="84"/>
      <c r="BR30" s="84"/>
      <c r="BS30" s="84"/>
      <c r="BT30" s="84"/>
      <c r="BU30" s="84"/>
      <c r="BV30" s="84"/>
      <c r="BW30" s="84"/>
      <c r="BX30" s="84"/>
      <c r="BY30" s="84"/>
      <c r="BZ30" s="84"/>
      <c r="CA30" s="84"/>
      <c r="CB30" s="84"/>
      <c r="CC30" s="84"/>
      <c r="CD30" s="84"/>
      <c r="CE30" s="84"/>
      <c r="CF30" s="84"/>
      <c r="CG30" s="84"/>
      <c r="CH30" s="84"/>
      <c r="CI30" s="84"/>
      <c r="CJ30" s="84"/>
      <c r="CK30" s="84"/>
      <c r="CL30" s="84"/>
      <c r="CM30" s="84"/>
      <c r="CN30" s="84"/>
      <c r="CO30" s="84"/>
      <c r="CP30" s="84"/>
      <c r="CQ30" s="84"/>
      <c r="CR30" s="84"/>
      <c r="CS30" s="84"/>
      <c r="CT30" s="84"/>
      <c r="CU30" s="84"/>
      <c r="CV30" s="84"/>
      <c r="CW30" s="84"/>
      <c r="CX30" s="84"/>
      <c r="CY30" s="84"/>
      <c r="CZ30" s="84"/>
      <c r="DA30" s="84"/>
      <c r="DB30" s="84"/>
      <c r="DC30" s="84"/>
      <c r="DD30" s="84"/>
      <c r="DE30" s="84"/>
      <c r="DF30" s="84"/>
      <c r="DG30" s="84"/>
      <c r="DH30" s="84"/>
      <c r="DI30" s="84"/>
      <c r="DJ30" s="84"/>
      <c r="DK30" s="84"/>
      <c r="DL30" s="84"/>
      <c r="DM30" s="84"/>
      <c r="DN30" s="84"/>
      <c r="DO30" s="84"/>
      <c r="DP30" s="84"/>
      <c r="DQ30" s="84"/>
      <c r="DR30" s="84"/>
      <c r="DS30" s="84"/>
      <c r="DT30" s="84"/>
      <c r="DU30" s="84"/>
      <c r="DV30" s="84"/>
      <c r="DW30" s="84"/>
      <c r="DX30" s="84"/>
      <c r="DY30" s="84"/>
      <c r="DZ30" s="84"/>
      <c r="EA30" s="84"/>
      <c r="EB30" s="84"/>
      <c r="EC30" s="84"/>
      <c r="ED30" s="84"/>
      <c r="EE30" s="84"/>
      <c r="EF30" s="84"/>
      <c r="EG30" s="84"/>
      <c r="EH30" s="84"/>
      <c r="EI30" s="84"/>
      <c r="EJ30" s="84"/>
      <c r="EK30" s="84"/>
      <c r="EL30" s="84"/>
      <c r="EM30" s="84"/>
      <c r="EN30" s="84"/>
      <c r="EO30" s="84"/>
      <c r="EP30" s="84"/>
      <c r="EQ30" s="84"/>
      <c r="ER30" s="84"/>
      <c r="ES30" s="84"/>
      <c r="ET30" s="84"/>
      <c r="EU30" s="84"/>
      <c r="EV30" s="84"/>
      <c r="EW30" s="84"/>
      <c r="EX30" s="84"/>
      <c r="EY30" s="84"/>
      <c r="EZ30" s="84"/>
      <c r="FA30" s="84"/>
      <c r="FB30" s="84"/>
      <c r="FC30" s="84"/>
      <c r="FD30" s="84"/>
      <c r="FE30" s="84"/>
      <c r="FF30" s="84"/>
      <c r="FG30" s="84"/>
      <c r="FH30" s="84"/>
      <c r="FI30" s="84"/>
      <c r="FJ30" s="84"/>
      <c r="FK30" s="84"/>
      <c r="FL30" s="84"/>
      <c r="FM30" s="84"/>
      <c r="FN30" s="84"/>
      <c r="FO30" s="84"/>
      <c r="FP30" s="84"/>
      <c r="FQ30" s="84"/>
      <c r="FR30" s="84"/>
      <c r="FS30" s="84"/>
      <c r="FT30" s="84"/>
      <c r="FU30" s="84"/>
      <c r="FV30" s="84"/>
      <c r="FW30" s="84"/>
      <c r="FX30" s="84"/>
      <c r="FY30" s="84"/>
      <c r="FZ30" s="84"/>
      <c r="GA30" s="84"/>
      <c r="GB30" s="84"/>
      <c r="GC30" s="84"/>
      <c r="GD30" s="84"/>
      <c r="GE30" s="84"/>
      <c r="GF30" s="84"/>
      <c r="GG30" s="84"/>
      <c r="GH30" s="84"/>
      <c r="GI30" s="84"/>
      <c r="GJ30" s="84"/>
      <c r="GK30" s="84"/>
      <c r="GL30" s="84"/>
      <c r="GM30" s="84"/>
      <c r="GN30" s="84"/>
      <c r="GO30" s="84"/>
      <c r="GP30" s="84"/>
      <c r="GQ30" s="84"/>
      <c r="GR30" s="84"/>
      <c r="GS30" s="84"/>
      <c r="GT30" s="84"/>
      <c r="GU30" s="84"/>
      <c r="GV30" s="84"/>
      <c r="GW30" s="84"/>
      <c r="GX30" s="84"/>
      <c r="GY30" s="84"/>
      <c r="GZ30" s="84"/>
      <c r="HA30" s="84"/>
      <c r="HB30" s="84"/>
      <c r="HC30" s="84"/>
      <c r="HD30" s="84"/>
      <c r="HE30" s="84"/>
      <c r="HF30" s="84"/>
      <c r="HG30" s="84"/>
      <c r="HH30" s="84"/>
      <c r="HI30" s="84"/>
      <c r="HJ30" s="84"/>
      <c r="HK30" s="84"/>
      <c r="HL30" s="84"/>
      <c r="HM30" s="84"/>
      <c r="HN30" s="84"/>
      <c r="HO30" s="84"/>
      <c r="HP30" s="84"/>
      <c r="HQ30" s="84"/>
      <c r="HR30" s="84"/>
      <c r="HS30" s="84"/>
      <c r="HT30" s="84"/>
      <c r="HU30" s="84"/>
      <c r="HV30" s="84"/>
      <c r="HW30" s="84"/>
      <c r="HX30" s="84"/>
      <c r="HY30" s="84"/>
      <c r="HZ30" s="84"/>
      <c r="IA30" s="84"/>
      <c r="IB30" s="84"/>
      <c r="IC30" s="84"/>
      <c r="ID30" s="84"/>
      <c r="IE30" s="84"/>
      <c r="IF30" s="84"/>
      <c r="IG30" s="84"/>
      <c r="IH30" s="84"/>
      <c r="II30" s="84"/>
      <c r="IJ30" s="84"/>
      <c r="IK30" s="84"/>
      <c r="IL30" s="84"/>
      <c r="IM30" s="84"/>
      <c r="IN30" s="84"/>
      <c r="IO30" s="84"/>
      <c r="IP30" s="84"/>
      <c r="IQ30" s="84"/>
      <c r="IR30" s="84"/>
      <c r="IS30" s="84"/>
      <c r="IT30" s="84"/>
      <c r="IU30" s="84"/>
      <c r="IV30" s="84"/>
      <c r="IW30" s="84"/>
      <c r="IX30" s="84"/>
      <c r="IY30" s="84"/>
      <c r="IZ30" s="84"/>
      <c r="JA30" s="84"/>
      <c r="JB30" s="84"/>
      <c r="JC30" s="84"/>
      <c r="JD30" s="84"/>
      <c r="JE30" s="84"/>
      <c r="JF30" s="84"/>
      <c r="JG30" s="84"/>
      <c r="JH30" s="84"/>
      <c r="JI30" s="84"/>
      <c r="JJ30" s="84"/>
      <c r="JK30" s="84"/>
      <c r="JL30" s="84"/>
      <c r="JM30" s="84"/>
      <c r="JN30" s="84"/>
      <c r="JO30" s="84"/>
      <c r="JP30" s="84"/>
      <c r="JQ30" s="84"/>
      <c r="JR30" s="84"/>
      <c r="JS30" s="84"/>
      <c r="JT30" s="84"/>
      <c r="JU30" s="84"/>
      <c r="JV30" s="84"/>
      <c r="JW30" s="84"/>
      <c r="JX30" s="84"/>
      <c r="JY30" s="84"/>
      <c r="JZ30" s="84"/>
      <c r="KA30" s="84"/>
      <c r="KB30" s="84"/>
      <c r="KC30" s="84"/>
      <c r="KD30" s="84"/>
      <c r="KE30" s="84"/>
      <c r="KF30" s="84"/>
      <c r="KG30" s="84"/>
      <c r="KH30" s="84"/>
      <c r="KI30" s="84"/>
      <c r="KJ30" s="84"/>
      <c r="KK30" s="84"/>
      <c r="KL30" s="84"/>
      <c r="KM30" s="84"/>
      <c r="KN30" s="84"/>
      <c r="KO30" s="84"/>
      <c r="KP30" s="84"/>
      <c r="KQ30" s="84"/>
      <c r="KR30" s="84"/>
    </row>
    <row r="31" spans="1:304" s="371" customFormat="1" x14ac:dyDescent="0.3">
      <c r="A31" s="371" t="s">
        <v>232</v>
      </c>
      <c r="B31" s="349">
        <v>119673.51</v>
      </c>
      <c r="C31" s="338">
        <v>1967.93</v>
      </c>
      <c r="D31" s="368">
        <v>27601.712599999999</v>
      </c>
      <c r="E31" s="368">
        <v>23376.34</v>
      </c>
      <c r="F31" s="368">
        <f t="shared" ref="F31:F41" si="8">SUM(C31:E31)</f>
        <v>52945.982600000003</v>
      </c>
      <c r="G31" s="347">
        <v>0.44240000000000002</v>
      </c>
      <c r="H31" s="372">
        <v>115349.06</v>
      </c>
      <c r="I31" s="340">
        <v>2172.71</v>
      </c>
      <c r="J31" s="340">
        <v>21248.06</v>
      </c>
      <c r="K31" s="340">
        <v>44270.080000000002</v>
      </c>
      <c r="L31" s="368">
        <f t="shared" ref="L31:L41" si="9">SUM(I31:K31)</f>
        <v>67690.850000000006</v>
      </c>
      <c r="M31" s="347">
        <v>0.58679999999999999</v>
      </c>
      <c r="N31" s="349">
        <v>81603</v>
      </c>
      <c r="O31" s="338">
        <v>2027.44</v>
      </c>
      <c r="P31" s="368">
        <v>11155.9799</v>
      </c>
      <c r="Q31" s="368">
        <v>40298.58</v>
      </c>
      <c r="R31" s="368">
        <f t="shared" ref="R31:R41" si="10">SUM(O31:Q31)</f>
        <v>53481.999900000003</v>
      </c>
      <c r="S31" s="350">
        <f t="shared" si="7"/>
        <v>0.65539257012609831</v>
      </c>
      <c r="T31" s="349">
        <v>74346</v>
      </c>
      <c r="U31" s="338">
        <v>1485.55</v>
      </c>
      <c r="V31" s="368">
        <v>13939.587299999999</v>
      </c>
      <c r="W31" s="368">
        <v>30471.5</v>
      </c>
      <c r="X31" s="368">
        <f t="shared" ref="X31:X41" si="11">SUM(U31:W31)</f>
        <v>45896.637300000002</v>
      </c>
      <c r="Y31" s="350">
        <v>0.64329999999999998</v>
      </c>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4"/>
      <c r="EY31" s="84"/>
      <c r="EZ31" s="84"/>
      <c r="FA31" s="84"/>
      <c r="FB31" s="84"/>
      <c r="FC31" s="84"/>
      <c r="FD31" s="84"/>
      <c r="FE31" s="84"/>
      <c r="FF31" s="84"/>
      <c r="FG31" s="84"/>
      <c r="FH31" s="84"/>
      <c r="FI31" s="84"/>
      <c r="FJ31" s="84"/>
      <c r="FK31" s="84"/>
      <c r="FL31" s="84"/>
      <c r="FM31" s="84"/>
      <c r="FN31" s="84"/>
      <c r="FO31" s="84"/>
      <c r="FP31" s="84"/>
      <c r="FQ31" s="84"/>
      <c r="FR31" s="84"/>
      <c r="FS31" s="84"/>
      <c r="FT31" s="84"/>
      <c r="FU31" s="84"/>
      <c r="FV31" s="84"/>
      <c r="FW31" s="84"/>
      <c r="FX31" s="84"/>
      <c r="FY31" s="84"/>
      <c r="FZ31" s="84"/>
      <c r="GA31" s="84"/>
      <c r="GB31" s="84"/>
      <c r="GC31" s="84"/>
      <c r="GD31" s="84"/>
      <c r="GE31" s="84"/>
      <c r="GF31" s="84"/>
      <c r="GG31" s="84"/>
      <c r="GH31" s="84"/>
      <c r="GI31" s="84"/>
      <c r="GJ31" s="84"/>
      <c r="GK31" s="84"/>
      <c r="GL31" s="84"/>
      <c r="GM31" s="84"/>
      <c r="GN31" s="84"/>
      <c r="GO31" s="84"/>
      <c r="GP31" s="84"/>
      <c r="GQ31" s="84"/>
      <c r="GR31" s="84"/>
      <c r="GS31" s="84"/>
      <c r="GT31" s="84"/>
      <c r="GU31" s="84"/>
      <c r="GV31" s="84"/>
      <c r="GW31" s="84"/>
      <c r="GX31" s="84"/>
      <c r="GY31" s="84"/>
      <c r="GZ31" s="84"/>
      <c r="HA31" s="84"/>
      <c r="HB31" s="84"/>
      <c r="HC31" s="84"/>
      <c r="HD31" s="84"/>
      <c r="HE31" s="84"/>
      <c r="HF31" s="84"/>
      <c r="HG31" s="84"/>
      <c r="HH31" s="84"/>
      <c r="HI31" s="84"/>
      <c r="HJ31" s="84"/>
      <c r="HK31" s="84"/>
      <c r="HL31" s="84"/>
      <c r="HM31" s="84"/>
      <c r="HN31" s="84"/>
      <c r="HO31" s="84"/>
      <c r="HP31" s="84"/>
      <c r="HQ31" s="84"/>
      <c r="HR31" s="84"/>
      <c r="HS31" s="84"/>
      <c r="HT31" s="84"/>
      <c r="HU31" s="84"/>
      <c r="HV31" s="84"/>
      <c r="HW31" s="84"/>
      <c r="HX31" s="84"/>
      <c r="HY31" s="84"/>
      <c r="HZ31" s="84"/>
      <c r="IA31" s="84"/>
      <c r="IB31" s="84"/>
      <c r="IC31" s="84"/>
      <c r="ID31" s="84"/>
      <c r="IE31" s="84"/>
      <c r="IF31" s="84"/>
      <c r="IG31" s="84"/>
      <c r="IH31" s="84"/>
      <c r="II31" s="84"/>
      <c r="IJ31" s="84"/>
      <c r="IK31" s="84"/>
      <c r="IL31" s="84"/>
      <c r="IM31" s="84"/>
      <c r="IN31" s="84"/>
      <c r="IO31" s="84"/>
      <c r="IP31" s="84"/>
      <c r="IQ31" s="84"/>
      <c r="IR31" s="84"/>
      <c r="IS31" s="84"/>
      <c r="IT31" s="84"/>
      <c r="IU31" s="84"/>
      <c r="IV31" s="84"/>
      <c r="IW31" s="84"/>
      <c r="IX31" s="84"/>
      <c r="IY31" s="84"/>
      <c r="IZ31" s="84"/>
      <c r="JA31" s="84"/>
      <c r="JB31" s="84"/>
      <c r="JC31" s="84"/>
      <c r="JD31" s="84"/>
      <c r="JE31" s="84"/>
      <c r="JF31" s="84"/>
      <c r="JG31" s="84"/>
      <c r="JH31" s="84"/>
      <c r="JI31" s="84"/>
      <c r="JJ31" s="84"/>
      <c r="JK31" s="84"/>
      <c r="JL31" s="84"/>
      <c r="JM31" s="84"/>
      <c r="JN31" s="84"/>
      <c r="JO31" s="84"/>
      <c r="JP31" s="84"/>
      <c r="JQ31" s="84"/>
      <c r="JR31" s="84"/>
      <c r="JS31" s="84"/>
      <c r="JT31" s="84"/>
      <c r="JU31" s="84"/>
      <c r="JV31" s="84"/>
      <c r="JW31" s="84"/>
      <c r="JX31" s="84"/>
      <c r="JY31" s="84"/>
      <c r="JZ31" s="84"/>
      <c r="KA31" s="84"/>
      <c r="KB31" s="84"/>
      <c r="KC31" s="84"/>
      <c r="KD31" s="84"/>
      <c r="KE31" s="84"/>
      <c r="KF31" s="84"/>
      <c r="KG31" s="84"/>
      <c r="KH31" s="84"/>
      <c r="KI31" s="84"/>
      <c r="KJ31" s="84"/>
      <c r="KK31" s="84"/>
      <c r="KL31" s="84"/>
      <c r="KM31" s="84"/>
      <c r="KN31" s="84"/>
      <c r="KO31" s="84"/>
      <c r="KP31" s="84"/>
      <c r="KQ31" s="84"/>
      <c r="KR31" s="84"/>
    </row>
    <row r="32" spans="1:304" s="371" customFormat="1" x14ac:dyDescent="0.3">
      <c r="A32" s="371" t="s">
        <v>233</v>
      </c>
      <c r="B32" s="349">
        <v>110525.7</v>
      </c>
      <c r="C32" s="338">
        <v>1712.36</v>
      </c>
      <c r="D32" s="368">
        <v>17837.340800000002</v>
      </c>
      <c r="E32" s="368">
        <v>17237.900000000001</v>
      </c>
      <c r="F32" s="368">
        <f t="shared" si="8"/>
        <v>36787.6008</v>
      </c>
      <c r="G32" s="347">
        <v>0.33279999999999998</v>
      </c>
      <c r="H32" s="372">
        <v>86630.6</v>
      </c>
      <c r="I32" s="340">
        <v>1840.36</v>
      </c>
      <c r="J32" s="340">
        <v>14773.0337</v>
      </c>
      <c r="K32" s="340">
        <v>32645.119999999999</v>
      </c>
      <c r="L32" s="368">
        <f t="shared" si="9"/>
        <v>49258.513699999996</v>
      </c>
      <c r="M32" s="347">
        <v>0.56859999999999999</v>
      </c>
      <c r="N32" s="349">
        <v>67765</v>
      </c>
      <c r="O32" s="338">
        <v>1776.53</v>
      </c>
      <c r="P32" s="368">
        <v>11342.6785</v>
      </c>
      <c r="Q32" s="368">
        <v>30212.26</v>
      </c>
      <c r="R32" s="368">
        <f t="shared" si="10"/>
        <v>43331.468500000003</v>
      </c>
      <c r="S32" s="350">
        <f t="shared" si="7"/>
        <v>0.63943729801519966</v>
      </c>
      <c r="T32" s="349">
        <v>72722</v>
      </c>
      <c r="U32" s="338">
        <v>1184.93</v>
      </c>
      <c r="V32" s="368">
        <v>13626.9512</v>
      </c>
      <c r="W32" s="368">
        <v>30471.5</v>
      </c>
      <c r="X32" s="368">
        <f t="shared" si="11"/>
        <v>45283.381200000003</v>
      </c>
      <c r="Y32" s="350">
        <v>0.64329999999999998</v>
      </c>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J32" s="84"/>
      <c r="BK32" s="84"/>
      <c r="BL32" s="84"/>
      <c r="BM32" s="84"/>
      <c r="BN32" s="84"/>
      <c r="BO32" s="84"/>
      <c r="BP32" s="84"/>
      <c r="BQ32" s="84"/>
      <c r="BR32" s="84"/>
      <c r="BS32" s="84"/>
      <c r="BT32" s="84"/>
      <c r="BU32" s="84"/>
      <c r="BV32" s="84"/>
      <c r="BW32" s="84"/>
      <c r="BX32" s="84"/>
      <c r="BY32" s="84"/>
      <c r="BZ32" s="84"/>
      <c r="CA32" s="84"/>
      <c r="CB32" s="84"/>
      <c r="CC32" s="84"/>
      <c r="CD32" s="84"/>
      <c r="CE32" s="84"/>
      <c r="CF32" s="84"/>
      <c r="CG32" s="84"/>
      <c r="CH32" s="84"/>
      <c r="CI32" s="84"/>
      <c r="CJ32" s="84"/>
      <c r="CK32" s="84"/>
      <c r="CL32" s="84"/>
      <c r="CM32" s="84"/>
      <c r="CN32" s="84"/>
      <c r="CO32" s="84"/>
      <c r="CP32" s="84"/>
      <c r="CQ32" s="84"/>
      <c r="CR32" s="84"/>
      <c r="CS32" s="84"/>
      <c r="CT32" s="84"/>
      <c r="CU32" s="84"/>
      <c r="CV32" s="84"/>
      <c r="CW32" s="84"/>
      <c r="CX32" s="84"/>
      <c r="CY32" s="84"/>
      <c r="CZ32" s="84"/>
      <c r="DA32" s="84"/>
      <c r="DB32" s="84"/>
      <c r="DC32" s="84"/>
      <c r="DD32" s="84"/>
      <c r="DE32" s="84"/>
      <c r="DF32" s="84"/>
      <c r="DG32" s="84"/>
      <c r="DH32" s="84"/>
      <c r="DI32" s="84"/>
      <c r="DJ32" s="84"/>
      <c r="DK32" s="84"/>
      <c r="DL32" s="84"/>
      <c r="DM32" s="84"/>
      <c r="DN32" s="84"/>
      <c r="DO32" s="84"/>
      <c r="DP32" s="84"/>
      <c r="DQ32" s="84"/>
      <c r="DR32" s="84"/>
      <c r="DS32" s="84"/>
      <c r="DT32" s="84"/>
      <c r="DU32" s="84"/>
      <c r="DV32" s="84"/>
      <c r="DW32" s="84"/>
      <c r="DX32" s="84"/>
      <c r="DY32" s="84"/>
      <c r="DZ32" s="84"/>
      <c r="EA32" s="84"/>
      <c r="EB32" s="84"/>
      <c r="EC32" s="84"/>
      <c r="ED32" s="84"/>
      <c r="EE32" s="84"/>
      <c r="EF32" s="84"/>
      <c r="EG32" s="84"/>
      <c r="EH32" s="84"/>
      <c r="EI32" s="84"/>
      <c r="EJ32" s="84"/>
      <c r="EK32" s="84"/>
      <c r="EL32" s="84"/>
      <c r="EM32" s="84"/>
      <c r="EN32" s="84"/>
      <c r="EO32" s="84"/>
      <c r="EP32" s="84"/>
      <c r="EQ32" s="84"/>
      <c r="ER32" s="84"/>
      <c r="ES32" s="84"/>
      <c r="ET32" s="84"/>
      <c r="EU32" s="84"/>
      <c r="EV32" s="84"/>
      <c r="EW32" s="84"/>
      <c r="EX32" s="84"/>
      <c r="EY32" s="84"/>
      <c r="EZ32" s="84"/>
      <c r="FA32" s="84"/>
      <c r="FB32" s="84"/>
      <c r="FC32" s="84"/>
      <c r="FD32" s="84"/>
      <c r="FE32" s="84"/>
      <c r="FF32" s="84"/>
      <c r="FG32" s="84"/>
      <c r="FH32" s="84"/>
      <c r="FI32" s="84"/>
      <c r="FJ32" s="84"/>
      <c r="FK32" s="84"/>
      <c r="FL32" s="84"/>
      <c r="FM32" s="84"/>
      <c r="FN32" s="84"/>
      <c r="FO32" s="84"/>
      <c r="FP32" s="84"/>
      <c r="FQ32" s="84"/>
      <c r="FR32" s="84"/>
      <c r="FS32" s="84"/>
      <c r="FT32" s="84"/>
      <c r="FU32" s="84"/>
      <c r="FV32" s="84"/>
      <c r="FW32" s="84"/>
      <c r="FX32" s="84"/>
      <c r="FY32" s="84"/>
      <c r="FZ32" s="84"/>
      <c r="GA32" s="84"/>
      <c r="GB32" s="84"/>
      <c r="GC32" s="84"/>
      <c r="GD32" s="84"/>
      <c r="GE32" s="84"/>
      <c r="GF32" s="84"/>
      <c r="GG32" s="84"/>
      <c r="GH32" s="84"/>
      <c r="GI32" s="84"/>
      <c r="GJ32" s="84"/>
      <c r="GK32" s="84"/>
      <c r="GL32" s="84"/>
      <c r="GM32" s="84"/>
      <c r="GN32" s="84"/>
      <c r="GO32" s="84"/>
      <c r="GP32" s="84"/>
      <c r="GQ32" s="84"/>
      <c r="GR32" s="84"/>
      <c r="GS32" s="84"/>
      <c r="GT32" s="84"/>
      <c r="GU32" s="84"/>
      <c r="GV32" s="84"/>
      <c r="GW32" s="84"/>
      <c r="GX32" s="84"/>
      <c r="GY32" s="84"/>
      <c r="GZ32" s="84"/>
      <c r="HA32" s="84"/>
      <c r="HB32" s="84"/>
      <c r="HC32" s="84"/>
      <c r="HD32" s="84"/>
      <c r="HE32" s="84"/>
      <c r="HF32" s="84"/>
      <c r="HG32" s="84"/>
      <c r="HH32" s="84"/>
      <c r="HI32" s="84"/>
      <c r="HJ32" s="84"/>
      <c r="HK32" s="84"/>
      <c r="HL32" s="84"/>
      <c r="HM32" s="84"/>
      <c r="HN32" s="84"/>
      <c r="HO32" s="84"/>
      <c r="HP32" s="84"/>
      <c r="HQ32" s="84"/>
      <c r="HR32" s="84"/>
      <c r="HS32" s="84"/>
      <c r="HT32" s="84"/>
      <c r="HU32" s="84"/>
      <c r="HV32" s="84"/>
      <c r="HW32" s="84"/>
      <c r="HX32" s="84"/>
      <c r="HY32" s="84"/>
      <c r="HZ32" s="84"/>
      <c r="IA32" s="84"/>
      <c r="IB32" s="84"/>
      <c r="IC32" s="84"/>
      <c r="ID32" s="84"/>
      <c r="IE32" s="84"/>
      <c r="IF32" s="84"/>
      <c r="IG32" s="84"/>
      <c r="IH32" s="84"/>
      <c r="II32" s="84"/>
      <c r="IJ32" s="84"/>
      <c r="IK32" s="84"/>
      <c r="IL32" s="84"/>
      <c r="IM32" s="84"/>
      <c r="IN32" s="84"/>
      <c r="IO32" s="84"/>
      <c r="IP32" s="84"/>
      <c r="IQ32" s="84"/>
      <c r="IR32" s="84"/>
      <c r="IS32" s="84"/>
      <c r="IT32" s="84"/>
      <c r="IU32" s="84"/>
      <c r="IV32" s="84"/>
      <c r="IW32" s="84"/>
      <c r="IX32" s="84"/>
      <c r="IY32" s="84"/>
      <c r="IZ32" s="84"/>
      <c r="JA32" s="84"/>
      <c r="JB32" s="84"/>
      <c r="JC32" s="84"/>
      <c r="JD32" s="84"/>
      <c r="JE32" s="84"/>
      <c r="JF32" s="84"/>
      <c r="JG32" s="84"/>
      <c r="JH32" s="84"/>
      <c r="JI32" s="84"/>
      <c r="JJ32" s="84"/>
      <c r="JK32" s="84"/>
      <c r="JL32" s="84"/>
      <c r="JM32" s="84"/>
      <c r="JN32" s="84"/>
      <c r="JO32" s="84"/>
      <c r="JP32" s="84"/>
      <c r="JQ32" s="84"/>
      <c r="JR32" s="84"/>
      <c r="JS32" s="84"/>
      <c r="JT32" s="84"/>
      <c r="JU32" s="84"/>
      <c r="JV32" s="84"/>
      <c r="JW32" s="84"/>
      <c r="JX32" s="84"/>
      <c r="JY32" s="84"/>
      <c r="JZ32" s="84"/>
      <c r="KA32" s="84"/>
      <c r="KB32" s="84"/>
      <c r="KC32" s="84"/>
      <c r="KD32" s="84"/>
      <c r="KE32" s="84"/>
      <c r="KF32" s="84"/>
      <c r="KG32" s="84"/>
      <c r="KH32" s="84"/>
      <c r="KI32" s="84"/>
      <c r="KJ32" s="84"/>
      <c r="KK32" s="84"/>
      <c r="KL32" s="84"/>
      <c r="KM32" s="84"/>
      <c r="KN32" s="84"/>
      <c r="KO32" s="84"/>
      <c r="KP32" s="84"/>
      <c r="KQ32" s="84"/>
      <c r="KR32" s="84"/>
    </row>
    <row r="33" spans="1:304" s="371" customFormat="1" x14ac:dyDescent="0.3">
      <c r="A33" s="371" t="s">
        <v>234</v>
      </c>
      <c r="B33" s="349">
        <v>41794.6</v>
      </c>
      <c r="C33" s="338">
        <v>1163.67</v>
      </c>
      <c r="D33" s="368">
        <v>11427.093199999999</v>
      </c>
      <c r="E33" s="368">
        <v>11135.75</v>
      </c>
      <c r="F33" s="368">
        <f>SUM(C33:E33)</f>
        <v>23726.513200000001</v>
      </c>
      <c r="G33" s="347">
        <v>5.6800000000000003E-2</v>
      </c>
      <c r="H33" s="372">
        <v>60762</v>
      </c>
      <c r="I33" s="340">
        <v>1352.37</v>
      </c>
      <c r="J33" s="340">
        <v>8374.1872999999996</v>
      </c>
      <c r="K33" s="340">
        <v>21088.880000000001</v>
      </c>
      <c r="L33" s="368">
        <f t="shared" si="9"/>
        <v>30815.437300000001</v>
      </c>
      <c r="M33" s="347">
        <v>0.5071</v>
      </c>
      <c r="N33" s="349">
        <v>63758</v>
      </c>
      <c r="O33" s="338">
        <v>998.22</v>
      </c>
      <c r="P33" s="368">
        <v>8442.8528999999999</v>
      </c>
      <c r="Q33" s="368">
        <v>21033.79</v>
      </c>
      <c r="R33" s="368">
        <f t="shared" si="10"/>
        <v>30474.8629</v>
      </c>
      <c r="S33" s="350">
        <f t="shared" si="7"/>
        <v>0.47797708366008973</v>
      </c>
      <c r="T33" s="349">
        <v>79424</v>
      </c>
      <c r="U33" s="338">
        <v>863.08</v>
      </c>
      <c r="V33" s="368">
        <v>13991.656300000001</v>
      </c>
      <c r="W33" s="368">
        <v>30471.5</v>
      </c>
      <c r="X33" s="368">
        <f t="shared" si="11"/>
        <v>45326.236300000004</v>
      </c>
      <c r="Y33" s="350">
        <v>0.64329999999999998</v>
      </c>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4"/>
      <c r="EY33" s="84"/>
      <c r="EZ33" s="84"/>
      <c r="FA33" s="84"/>
      <c r="FB33" s="84"/>
      <c r="FC33" s="84"/>
      <c r="FD33" s="84"/>
      <c r="FE33" s="84"/>
      <c r="FF33" s="84"/>
      <c r="FG33" s="84"/>
      <c r="FH33" s="84"/>
      <c r="FI33" s="84"/>
      <c r="FJ33" s="84"/>
      <c r="FK33" s="84"/>
      <c r="FL33" s="84"/>
      <c r="FM33" s="84"/>
      <c r="FN33" s="84"/>
      <c r="FO33" s="84"/>
      <c r="FP33" s="84"/>
      <c r="FQ33" s="84"/>
      <c r="FR33" s="84"/>
      <c r="FS33" s="84"/>
      <c r="FT33" s="84"/>
      <c r="FU33" s="84"/>
      <c r="FV33" s="84"/>
      <c r="FW33" s="84"/>
      <c r="FX33" s="84"/>
      <c r="FY33" s="84"/>
      <c r="FZ33" s="84"/>
      <c r="GA33" s="84"/>
      <c r="GB33" s="84"/>
      <c r="GC33" s="84"/>
      <c r="GD33" s="84"/>
      <c r="GE33" s="84"/>
      <c r="GF33" s="84"/>
      <c r="GG33" s="84"/>
      <c r="GH33" s="84"/>
      <c r="GI33" s="84"/>
      <c r="GJ33" s="84"/>
      <c r="GK33" s="84"/>
      <c r="GL33" s="84"/>
      <c r="GM33" s="84"/>
      <c r="GN33" s="84"/>
      <c r="GO33" s="84"/>
      <c r="GP33" s="84"/>
      <c r="GQ33" s="84"/>
      <c r="GR33" s="84"/>
      <c r="GS33" s="84"/>
      <c r="GT33" s="84"/>
      <c r="GU33" s="84"/>
      <c r="GV33" s="84"/>
      <c r="GW33" s="84"/>
      <c r="GX33" s="84"/>
      <c r="GY33" s="84"/>
      <c r="GZ33" s="84"/>
      <c r="HA33" s="84"/>
      <c r="HB33" s="84"/>
      <c r="HC33" s="84"/>
      <c r="HD33" s="84"/>
      <c r="HE33" s="84"/>
      <c r="HF33" s="84"/>
      <c r="HG33" s="84"/>
      <c r="HH33" s="84"/>
      <c r="HI33" s="84"/>
      <c r="HJ33" s="84"/>
      <c r="HK33" s="84"/>
      <c r="HL33" s="84"/>
      <c r="HM33" s="84"/>
      <c r="HN33" s="84"/>
      <c r="HO33" s="84"/>
      <c r="HP33" s="84"/>
      <c r="HQ33" s="84"/>
      <c r="HR33" s="84"/>
      <c r="HS33" s="84"/>
      <c r="HT33" s="84"/>
      <c r="HU33" s="84"/>
      <c r="HV33" s="84"/>
      <c r="HW33" s="84"/>
      <c r="HX33" s="84"/>
      <c r="HY33" s="84"/>
      <c r="HZ33" s="84"/>
      <c r="IA33" s="84"/>
      <c r="IB33" s="84"/>
      <c r="IC33" s="84"/>
      <c r="ID33" s="84"/>
      <c r="IE33" s="84"/>
      <c r="IF33" s="84"/>
      <c r="IG33" s="84"/>
      <c r="IH33" s="84"/>
      <c r="II33" s="84"/>
      <c r="IJ33" s="84"/>
      <c r="IK33" s="84"/>
      <c r="IL33" s="84"/>
      <c r="IM33" s="84"/>
      <c r="IN33" s="84"/>
      <c r="IO33" s="84"/>
      <c r="IP33" s="84"/>
      <c r="IQ33" s="84"/>
      <c r="IR33" s="84"/>
      <c r="IS33" s="84"/>
      <c r="IT33" s="84"/>
      <c r="IU33" s="84"/>
      <c r="IV33" s="84"/>
      <c r="IW33" s="84"/>
      <c r="IX33" s="84"/>
      <c r="IY33" s="84"/>
      <c r="IZ33" s="84"/>
      <c r="JA33" s="84"/>
      <c r="JB33" s="84"/>
      <c r="JC33" s="84"/>
      <c r="JD33" s="84"/>
      <c r="JE33" s="84"/>
      <c r="JF33" s="84"/>
      <c r="JG33" s="84"/>
      <c r="JH33" s="84"/>
      <c r="JI33" s="84"/>
      <c r="JJ33" s="84"/>
      <c r="JK33" s="84"/>
      <c r="JL33" s="84"/>
      <c r="JM33" s="84"/>
      <c r="JN33" s="84"/>
      <c r="JO33" s="84"/>
      <c r="JP33" s="84"/>
      <c r="JQ33" s="84"/>
      <c r="JR33" s="84"/>
      <c r="JS33" s="84"/>
      <c r="JT33" s="84"/>
      <c r="JU33" s="84"/>
      <c r="JV33" s="84"/>
      <c r="JW33" s="84"/>
      <c r="JX33" s="84"/>
      <c r="JY33" s="84"/>
      <c r="JZ33" s="84"/>
      <c r="KA33" s="84"/>
      <c r="KB33" s="84"/>
      <c r="KC33" s="84"/>
      <c r="KD33" s="84"/>
      <c r="KE33" s="84"/>
      <c r="KF33" s="84"/>
      <c r="KG33" s="84"/>
      <c r="KH33" s="84"/>
      <c r="KI33" s="84"/>
      <c r="KJ33" s="84"/>
      <c r="KK33" s="84"/>
      <c r="KL33" s="84"/>
      <c r="KM33" s="84"/>
      <c r="KN33" s="84"/>
      <c r="KO33" s="84"/>
      <c r="KP33" s="84"/>
      <c r="KQ33" s="84"/>
      <c r="KR33" s="84"/>
    </row>
    <row r="34" spans="1:304" s="371" customFormat="1" x14ac:dyDescent="0.3">
      <c r="A34" s="371" t="s">
        <v>235</v>
      </c>
      <c r="B34" s="349">
        <v>41155.800000000003</v>
      </c>
      <c r="C34" s="338">
        <v>979.56</v>
      </c>
      <c r="D34" s="368">
        <v>4102.1859000000004</v>
      </c>
      <c r="E34" s="368">
        <v>4505</v>
      </c>
      <c r="F34" s="368">
        <f t="shared" si="8"/>
        <v>9586.7458999999999</v>
      </c>
      <c r="G34" s="347">
        <v>0.2329</v>
      </c>
      <c r="H34" s="372">
        <v>37224.980000000003</v>
      </c>
      <c r="I34" s="340">
        <v>877.69</v>
      </c>
      <c r="J34" s="340">
        <v>5874.8901999999998</v>
      </c>
      <c r="K34" s="340">
        <v>8531.56</v>
      </c>
      <c r="L34" s="368">
        <f t="shared" si="9"/>
        <v>15284.1402</v>
      </c>
      <c r="M34" s="347">
        <v>0.41060000000000002</v>
      </c>
      <c r="N34" s="349">
        <v>24130</v>
      </c>
      <c r="O34" s="338">
        <v>745.76</v>
      </c>
      <c r="P34" s="368">
        <v>5599.6637000000001</v>
      </c>
      <c r="Q34" s="368">
        <v>15141.4</v>
      </c>
      <c r="R34" s="368">
        <f t="shared" si="10"/>
        <v>21486.823700000001</v>
      </c>
      <c r="S34" s="350">
        <f t="shared" si="7"/>
        <v>0.89046099046829674</v>
      </c>
      <c r="T34" s="349">
        <v>30013.72</v>
      </c>
      <c r="U34" s="338"/>
      <c r="V34" s="368">
        <v>6024.1486000000004</v>
      </c>
      <c r="W34" s="368">
        <v>30471.5</v>
      </c>
      <c r="X34" s="368">
        <f t="shared" si="11"/>
        <v>36495.6486</v>
      </c>
      <c r="Y34" s="350">
        <v>0.64329999999999998</v>
      </c>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c r="BM34" s="84"/>
      <c r="BN34" s="84"/>
      <c r="BO34" s="84"/>
      <c r="BP34" s="84"/>
      <c r="BQ34" s="84"/>
      <c r="BR34" s="84"/>
      <c r="BS34" s="84"/>
      <c r="BT34" s="84"/>
      <c r="BU34" s="84"/>
      <c r="BV34" s="84"/>
      <c r="BW34" s="84"/>
      <c r="BX34" s="84"/>
      <c r="BY34" s="84"/>
      <c r="BZ34" s="84"/>
      <c r="CA34" s="84"/>
      <c r="CB34" s="84"/>
      <c r="CC34" s="84"/>
      <c r="CD34" s="84"/>
      <c r="CE34" s="84"/>
      <c r="CF34" s="84"/>
      <c r="CG34" s="84"/>
      <c r="CH34" s="84"/>
      <c r="CI34" s="84"/>
      <c r="CJ34" s="84"/>
      <c r="CK34" s="84"/>
      <c r="CL34" s="84"/>
      <c r="CM34" s="84"/>
      <c r="CN34" s="84"/>
      <c r="CO34" s="84"/>
      <c r="CP34" s="84"/>
      <c r="CQ34" s="84"/>
      <c r="CR34" s="84"/>
      <c r="CS34" s="84"/>
      <c r="CT34" s="84"/>
      <c r="CU34" s="84"/>
      <c r="CV34" s="84"/>
      <c r="CW34" s="84"/>
      <c r="CX34" s="84"/>
      <c r="CY34" s="84"/>
      <c r="CZ34" s="84"/>
      <c r="DA34" s="84"/>
      <c r="DB34" s="84"/>
      <c r="DC34" s="84"/>
      <c r="DD34" s="84"/>
      <c r="DE34" s="84"/>
      <c r="DF34" s="84"/>
      <c r="DG34" s="84"/>
      <c r="DH34" s="84"/>
      <c r="DI34" s="84"/>
      <c r="DJ34" s="84"/>
      <c r="DK34" s="84"/>
      <c r="DL34" s="84"/>
      <c r="DM34" s="84"/>
      <c r="DN34" s="84"/>
      <c r="DO34" s="84"/>
      <c r="DP34" s="84"/>
      <c r="DQ34" s="84"/>
      <c r="DR34" s="84"/>
      <c r="DS34" s="84"/>
      <c r="DT34" s="84"/>
      <c r="DU34" s="84"/>
      <c r="DV34" s="84"/>
      <c r="DW34" s="84"/>
      <c r="DX34" s="84"/>
      <c r="DY34" s="84"/>
      <c r="DZ34" s="84"/>
      <c r="EA34" s="84"/>
      <c r="EB34" s="84"/>
      <c r="EC34" s="84"/>
      <c r="ED34" s="84"/>
      <c r="EE34" s="84"/>
      <c r="EF34" s="84"/>
      <c r="EG34" s="84"/>
      <c r="EH34" s="84"/>
      <c r="EI34" s="84"/>
      <c r="EJ34" s="84"/>
      <c r="EK34" s="84"/>
      <c r="EL34" s="84"/>
      <c r="EM34" s="84"/>
      <c r="EN34" s="84"/>
      <c r="EO34" s="84"/>
      <c r="EP34" s="84"/>
      <c r="EQ34" s="84"/>
      <c r="ER34" s="84"/>
      <c r="ES34" s="84"/>
      <c r="ET34" s="84"/>
      <c r="EU34" s="84"/>
      <c r="EV34" s="84"/>
      <c r="EW34" s="84"/>
      <c r="EX34" s="84"/>
      <c r="EY34" s="84"/>
      <c r="EZ34" s="84"/>
      <c r="FA34" s="84"/>
      <c r="FB34" s="84"/>
      <c r="FC34" s="84"/>
      <c r="FD34" s="84"/>
      <c r="FE34" s="84"/>
      <c r="FF34" s="84"/>
      <c r="FG34" s="84"/>
      <c r="FH34" s="84"/>
      <c r="FI34" s="84"/>
      <c r="FJ34" s="84"/>
      <c r="FK34" s="84"/>
      <c r="FL34" s="84"/>
      <c r="FM34" s="84"/>
      <c r="FN34" s="84"/>
      <c r="FO34" s="84"/>
      <c r="FP34" s="84"/>
      <c r="FQ34" s="84"/>
      <c r="FR34" s="84"/>
      <c r="FS34" s="84"/>
      <c r="FT34" s="84"/>
      <c r="FU34" s="84"/>
      <c r="FV34" s="84"/>
      <c r="FW34" s="84"/>
      <c r="FX34" s="84"/>
      <c r="FY34" s="84"/>
      <c r="FZ34" s="84"/>
      <c r="GA34" s="84"/>
      <c r="GB34" s="84"/>
      <c r="GC34" s="84"/>
      <c r="GD34" s="84"/>
      <c r="GE34" s="84"/>
      <c r="GF34" s="84"/>
      <c r="GG34" s="84"/>
      <c r="GH34" s="84"/>
      <c r="GI34" s="84"/>
      <c r="GJ34" s="84"/>
      <c r="GK34" s="84"/>
      <c r="GL34" s="84"/>
      <c r="GM34" s="84"/>
      <c r="GN34" s="84"/>
      <c r="GO34" s="84"/>
      <c r="GP34" s="84"/>
      <c r="GQ34" s="84"/>
      <c r="GR34" s="84"/>
      <c r="GS34" s="84"/>
      <c r="GT34" s="84"/>
      <c r="GU34" s="84"/>
      <c r="GV34" s="84"/>
      <c r="GW34" s="84"/>
      <c r="GX34" s="84"/>
      <c r="GY34" s="84"/>
      <c r="GZ34" s="84"/>
      <c r="HA34" s="84"/>
      <c r="HB34" s="84"/>
      <c r="HC34" s="84"/>
      <c r="HD34" s="84"/>
      <c r="HE34" s="84"/>
      <c r="HF34" s="84"/>
      <c r="HG34" s="84"/>
      <c r="HH34" s="84"/>
      <c r="HI34" s="84"/>
      <c r="HJ34" s="84"/>
      <c r="HK34" s="84"/>
      <c r="HL34" s="84"/>
      <c r="HM34" s="84"/>
      <c r="HN34" s="84"/>
      <c r="HO34" s="84"/>
      <c r="HP34" s="84"/>
      <c r="HQ34" s="84"/>
      <c r="HR34" s="84"/>
      <c r="HS34" s="84"/>
      <c r="HT34" s="84"/>
      <c r="HU34" s="84"/>
      <c r="HV34" s="84"/>
      <c r="HW34" s="84"/>
      <c r="HX34" s="84"/>
      <c r="HY34" s="84"/>
      <c r="HZ34" s="84"/>
      <c r="IA34" s="84"/>
      <c r="IB34" s="84"/>
      <c r="IC34" s="84"/>
      <c r="ID34" s="84"/>
      <c r="IE34" s="84"/>
      <c r="IF34" s="84"/>
      <c r="IG34" s="84"/>
      <c r="IH34" s="84"/>
      <c r="II34" s="84"/>
      <c r="IJ34" s="84"/>
      <c r="IK34" s="84"/>
      <c r="IL34" s="84"/>
      <c r="IM34" s="84"/>
      <c r="IN34" s="84"/>
      <c r="IO34" s="84"/>
      <c r="IP34" s="84"/>
      <c r="IQ34" s="84"/>
      <c r="IR34" s="84"/>
      <c r="IS34" s="84"/>
      <c r="IT34" s="84"/>
      <c r="IU34" s="84"/>
      <c r="IV34" s="84"/>
      <c r="IW34" s="84"/>
      <c r="IX34" s="84"/>
      <c r="IY34" s="84"/>
      <c r="IZ34" s="84"/>
      <c r="JA34" s="84"/>
      <c r="JB34" s="84"/>
      <c r="JC34" s="84"/>
      <c r="JD34" s="84"/>
      <c r="JE34" s="84"/>
      <c r="JF34" s="84"/>
      <c r="JG34" s="84"/>
      <c r="JH34" s="84"/>
      <c r="JI34" s="84"/>
      <c r="JJ34" s="84"/>
      <c r="JK34" s="84"/>
      <c r="JL34" s="84"/>
      <c r="JM34" s="84"/>
      <c r="JN34" s="84"/>
      <c r="JO34" s="84"/>
      <c r="JP34" s="84"/>
      <c r="JQ34" s="84"/>
      <c r="JR34" s="84"/>
      <c r="JS34" s="84"/>
      <c r="JT34" s="84"/>
      <c r="JU34" s="84"/>
      <c r="JV34" s="84"/>
      <c r="JW34" s="84"/>
      <c r="JX34" s="84"/>
      <c r="JY34" s="84"/>
      <c r="JZ34" s="84"/>
      <c r="KA34" s="84"/>
      <c r="KB34" s="84"/>
      <c r="KC34" s="84"/>
      <c r="KD34" s="84"/>
      <c r="KE34" s="84"/>
      <c r="KF34" s="84"/>
      <c r="KG34" s="84"/>
      <c r="KH34" s="84"/>
      <c r="KI34" s="84"/>
      <c r="KJ34" s="84"/>
      <c r="KK34" s="84"/>
      <c r="KL34" s="84"/>
      <c r="KM34" s="84"/>
      <c r="KN34" s="84"/>
      <c r="KO34" s="84"/>
      <c r="KP34" s="84"/>
      <c r="KQ34" s="84"/>
      <c r="KR34" s="84"/>
    </row>
    <row r="35" spans="1:304" s="371" customFormat="1" x14ac:dyDescent="0.3">
      <c r="A35" s="371" t="s">
        <v>236</v>
      </c>
      <c r="B35" s="349">
        <v>12941.3</v>
      </c>
      <c r="C35" s="338">
        <v>1290.3399999999999</v>
      </c>
      <c r="D35" s="368">
        <v>2995.4562000000001</v>
      </c>
      <c r="E35" s="368">
        <v>2616.91</v>
      </c>
      <c r="F35" s="368">
        <f t="shared" si="8"/>
        <v>6902.7061999999996</v>
      </c>
      <c r="G35" s="347">
        <v>0.53339999999999999</v>
      </c>
      <c r="H35" s="372">
        <v>21781</v>
      </c>
      <c r="I35" s="340">
        <v>505</v>
      </c>
      <c r="J35" s="340">
        <v>4357.1059999999998</v>
      </c>
      <c r="K35" s="340">
        <v>4995.8999999999996</v>
      </c>
      <c r="L35" s="368">
        <f t="shared" si="9"/>
        <v>9858.0059999999994</v>
      </c>
      <c r="M35" s="347">
        <v>0.4526</v>
      </c>
      <c r="N35" s="349">
        <v>15257</v>
      </c>
      <c r="O35" s="338">
        <v>362.94</v>
      </c>
      <c r="P35" s="368">
        <v>4230.7559000000001</v>
      </c>
      <c r="Q35" s="368">
        <v>7660.48</v>
      </c>
      <c r="R35" s="368">
        <f t="shared" si="10"/>
        <v>12254.175899999998</v>
      </c>
      <c r="S35" s="350">
        <f t="shared" si="7"/>
        <v>0.80318384348168048</v>
      </c>
      <c r="T35" s="349">
        <v>31428</v>
      </c>
      <c r="U35" s="338">
        <v>411.07</v>
      </c>
      <c r="V35" s="368">
        <v>7598.3023000000003</v>
      </c>
      <c r="W35" s="368">
        <v>30471.5</v>
      </c>
      <c r="X35" s="368">
        <f t="shared" si="11"/>
        <v>38480.872300000003</v>
      </c>
      <c r="Y35" s="350">
        <v>0.64329999999999998</v>
      </c>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c r="BJ35" s="84"/>
      <c r="BK35" s="84"/>
      <c r="BL35" s="84"/>
      <c r="BM35" s="84"/>
      <c r="BN35" s="84"/>
      <c r="BO35" s="84"/>
      <c r="BP35" s="84"/>
      <c r="BQ35" s="84"/>
      <c r="BR35" s="84"/>
      <c r="BS35" s="84"/>
      <c r="BT35" s="84"/>
      <c r="BU35" s="84"/>
      <c r="BV35" s="84"/>
      <c r="BW35" s="84"/>
      <c r="BX35" s="84"/>
      <c r="BY35" s="84"/>
      <c r="BZ35" s="84"/>
      <c r="CA35" s="84"/>
      <c r="CB35" s="84"/>
      <c r="CC35" s="84"/>
      <c r="CD35" s="84"/>
      <c r="CE35" s="84"/>
      <c r="CF35" s="84"/>
      <c r="CG35" s="84"/>
      <c r="CH35" s="84"/>
      <c r="CI35" s="84"/>
      <c r="CJ35" s="84"/>
      <c r="CK35" s="84"/>
      <c r="CL35" s="84"/>
      <c r="CM35" s="84"/>
      <c r="CN35" s="84"/>
      <c r="CO35" s="84"/>
      <c r="CP35" s="84"/>
      <c r="CQ35" s="84"/>
      <c r="CR35" s="84"/>
      <c r="CS35" s="84"/>
      <c r="CT35" s="84"/>
      <c r="CU35" s="84"/>
      <c r="CV35" s="84"/>
      <c r="CW35" s="84"/>
      <c r="CX35" s="84"/>
      <c r="CY35" s="84"/>
      <c r="CZ35" s="84"/>
      <c r="DA35" s="84"/>
      <c r="DB35" s="84"/>
      <c r="DC35" s="84"/>
      <c r="DD35" s="84"/>
      <c r="DE35" s="84"/>
      <c r="DF35" s="84"/>
      <c r="DG35" s="84"/>
      <c r="DH35" s="84"/>
      <c r="DI35" s="84"/>
      <c r="DJ35" s="84"/>
      <c r="DK35" s="84"/>
      <c r="DL35" s="84"/>
      <c r="DM35" s="84"/>
      <c r="DN35" s="84"/>
      <c r="DO35" s="84"/>
      <c r="DP35" s="84"/>
      <c r="DQ35" s="84"/>
      <c r="DR35" s="84"/>
      <c r="DS35" s="84"/>
      <c r="DT35" s="84"/>
      <c r="DU35" s="84"/>
      <c r="DV35" s="84"/>
      <c r="DW35" s="84"/>
      <c r="DX35" s="84"/>
      <c r="DY35" s="84"/>
      <c r="DZ35" s="84"/>
      <c r="EA35" s="84"/>
      <c r="EB35" s="84"/>
      <c r="EC35" s="84"/>
      <c r="ED35" s="84"/>
      <c r="EE35" s="84"/>
      <c r="EF35" s="84"/>
      <c r="EG35" s="84"/>
      <c r="EH35" s="84"/>
      <c r="EI35" s="84"/>
      <c r="EJ35" s="84"/>
      <c r="EK35" s="84"/>
      <c r="EL35" s="84"/>
      <c r="EM35" s="84"/>
      <c r="EN35" s="84"/>
      <c r="EO35" s="84"/>
      <c r="EP35" s="84"/>
      <c r="EQ35" s="84"/>
      <c r="ER35" s="84"/>
      <c r="ES35" s="84"/>
      <c r="ET35" s="84"/>
      <c r="EU35" s="84"/>
      <c r="EV35" s="84"/>
      <c r="EW35" s="84"/>
      <c r="EX35" s="84"/>
      <c r="EY35" s="84"/>
      <c r="EZ35" s="84"/>
      <c r="FA35" s="84"/>
      <c r="FB35" s="84"/>
      <c r="FC35" s="84"/>
      <c r="FD35" s="84"/>
      <c r="FE35" s="84"/>
      <c r="FF35" s="84"/>
      <c r="FG35" s="84"/>
      <c r="FH35" s="84"/>
      <c r="FI35" s="84"/>
      <c r="FJ35" s="84"/>
      <c r="FK35" s="84"/>
      <c r="FL35" s="84"/>
      <c r="FM35" s="84"/>
      <c r="FN35" s="84"/>
      <c r="FO35" s="84"/>
      <c r="FP35" s="84"/>
      <c r="FQ35" s="84"/>
      <c r="FR35" s="84"/>
      <c r="FS35" s="84"/>
      <c r="FT35" s="84"/>
      <c r="FU35" s="84"/>
      <c r="FV35" s="84"/>
      <c r="FW35" s="84"/>
      <c r="FX35" s="84"/>
      <c r="FY35" s="84"/>
      <c r="FZ35" s="84"/>
      <c r="GA35" s="84"/>
      <c r="GB35" s="84"/>
      <c r="GC35" s="84"/>
      <c r="GD35" s="84"/>
      <c r="GE35" s="84"/>
      <c r="GF35" s="84"/>
      <c r="GG35" s="84"/>
      <c r="GH35" s="84"/>
      <c r="GI35" s="84"/>
      <c r="GJ35" s="84"/>
      <c r="GK35" s="84"/>
      <c r="GL35" s="84"/>
      <c r="GM35" s="84"/>
      <c r="GN35" s="84"/>
      <c r="GO35" s="84"/>
      <c r="GP35" s="84"/>
      <c r="GQ35" s="84"/>
      <c r="GR35" s="84"/>
      <c r="GS35" s="84"/>
      <c r="GT35" s="84"/>
      <c r="GU35" s="84"/>
      <c r="GV35" s="84"/>
      <c r="GW35" s="84"/>
      <c r="GX35" s="84"/>
      <c r="GY35" s="84"/>
      <c r="GZ35" s="84"/>
      <c r="HA35" s="84"/>
      <c r="HB35" s="84"/>
      <c r="HC35" s="84"/>
      <c r="HD35" s="84"/>
      <c r="HE35" s="84"/>
      <c r="HF35" s="84"/>
      <c r="HG35" s="84"/>
      <c r="HH35" s="84"/>
      <c r="HI35" s="84"/>
      <c r="HJ35" s="84"/>
      <c r="HK35" s="84"/>
      <c r="HL35" s="84"/>
      <c r="HM35" s="84"/>
      <c r="HN35" s="84"/>
      <c r="HO35" s="84"/>
      <c r="HP35" s="84"/>
      <c r="HQ35" s="84"/>
      <c r="HR35" s="84"/>
      <c r="HS35" s="84"/>
      <c r="HT35" s="84"/>
      <c r="HU35" s="84"/>
      <c r="HV35" s="84"/>
      <c r="HW35" s="84"/>
      <c r="HX35" s="84"/>
      <c r="HY35" s="84"/>
      <c r="HZ35" s="84"/>
      <c r="IA35" s="84"/>
      <c r="IB35" s="84"/>
      <c r="IC35" s="84"/>
      <c r="ID35" s="84"/>
      <c r="IE35" s="84"/>
      <c r="IF35" s="84"/>
      <c r="IG35" s="84"/>
      <c r="IH35" s="84"/>
      <c r="II35" s="84"/>
      <c r="IJ35" s="84"/>
      <c r="IK35" s="84"/>
      <c r="IL35" s="84"/>
      <c r="IM35" s="84"/>
      <c r="IN35" s="84"/>
      <c r="IO35" s="84"/>
      <c r="IP35" s="84"/>
      <c r="IQ35" s="84"/>
      <c r="IR35" s="84"/>
      <c r="IS35" s="84"/>
      <c r="IT35" s="84"/>
      <c r="IU35" s="84"/>
      <c r="IV35" s="84"/>
      <c r="IW35" s="84"/>
      <c r="IX35" s="84"/>
      <c r="IY35" s="84"/>
      <c r="IZ35" s="84"/>
      <c r="JA35" s="84"/>
      <c r="JB35" s="84"/>
      <c r="JC35" s="84"/>
      <c r="JD35" s="84"/>
      <c r="JE35" s="84"/>
      <c r="JF35" s="84"/>
      <c r="JG35" s="84"/>
      <c r="JH35" s="84"/>
      <c r="JI35" s="84"/>
      <c r="JJ35" s="84"/>
      <c r="JK35" s="84"/>
      <c r="JL35" s="84"/>
      <c r="JM35" s="84"/>
      <c r="JN35" s="84"/>
      <c r="JO35" s="84"/>
      <c r="JP35" s="84"/>
      <c r="JQ35" s="84"/>
      <c r="JR35" s="84"/>
      <c r="JS35" s="84"/>
      <c r="JT35" s="84"/>
      <c r="JU35" s="84"/>
      <c r="JV35" s="84"/>
      <c r="JW35" s="84"/>
      <c r="JX35" s="84"/>
      <c r="JY35" s="84"/>
      <c r="JZ35" s="84"/>
      <c r="KA35" s="84"/>
      <c r="KB35" s="84"/>
      <c r="KC35" s="84"/>
      <c r="KD35" s="84"/>
      <c r="KE35" s="84"/>
      <c r="KF35" s="84"/>
      <c r="KG35" s="84"/>
      <c r="KH35" s="84"/>
      <c r="KI35" s="84"/>
      <c r="KJ35" s="84"/>
      <c r="KK35" s="84"/>
      <c r="KL35" s="84"/>
      <c r="KM35" s="84"/>
      <c r="KN35" s="84"/>
      <c r="KO35" s="84"/>
      <c r="KP35" s="84"/>
      <c r="KQ35" s="84"/>
      <c r="KR35" s="84"/>
    </row>
    <row r="36" spans="1:304" s="371" customFormat="1" x14ac:dyDescent="0.3">
      <c r="A36" s="371" t="s">
        <v>178</v>
      </c>
      <c r="B36" s="349">
        <v>51783.1</v>
      </c>
      <c r="C36" s="338">
        <v>560.76</v>
      </c>
      <c r="D36" s="368">
        <v>4498.5951999999997</v>
      </c>
      <c r="E36" s="368">
        <v>3910.15</v>
      </c>
      <c r="F36" s="368">
        <f t="shared" si="8"/>
        <v>8969.5051999999996</v>
      </c>
      <c r="G36" s="347">
        <v>0.17319999999999999</v>
      </c>
      <c r="H36" s="372">
        <v>24446</v>
      </c>
      <c r="I36" s="340">
        <v>471.62</v>
      </c>
      <c r="J36" s="340">
        <v>4669.6004000000003</v>
      </c>
      <c r="K36" s="340">
        <v>7405.03</v>
      </c>
      <c r="L36" s="368">
        <f t="shared" si="9"/>
        <v>12546.250400000001</v>
      </c>
      <c r="M36" s="347">
        <v>0.51570000000000005</v>
      </c>
      <c r="N36" s="349">
        <v>20229</v>
      </c>
      <c r="O36" s="338">
        <v>488.49</v>
      </c>
      <c r="P36" s="368">
        <v>7212.0384000000004</v>
      </c>
      <c r="Q36" s="368">
        <v>11218.64</v>
      </c>
      <c r="R36" s="368">
        <f t="shared" si="10"/>
        <v>18919.168399999999</v>
      </c>
      <c r="S36" s="350">
        <f t="shared" si="7"/>
        <v>0.93524980967917337</v>
      </c>
      <c r="T36" s="349">
        <v>19796</v>
      </c>
      <c r="U36" s="338">
        <v>963.68</v>
      </c>
      <c r="V36" s="368">
        <v>27356.992999999999</v>
      </c>
      <c r="W36" s="368">
        <v>30471.5</v>
      </c>
      <c r="X36" s="368">
        <f t="shared" si="11"/>
        <v>58792.172999999995</v>
      </c>
      <c r="Y36" s="350">
        <v>0.64329999999999998</v>
      </c>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c r="BJ36" s="84"/>
      <c r="BK36" s="84"/>
      <c r="BL36" s="84"/>
      <c r="BM36" s="84"/>
      <c r="BN36" s="84"/>
      <c r="BO36" s="84"/>
      <c r="BP36" s="84"/>
      <c r="BQ36" s="84"/>
      <c r="BR36" s="84"/>
      <c r="BS36" s="84"/>
      <c r="BT36" s="84"/>
      <c r="BU36" s="84"/>
      <c r="BV36" s="84"/>
      <c r="BW36" s="84"/>
      <c r="BX36" s="84"/>
      <c r="BY36" s="84"/>
      <c r="BZ36" s="84"/>
      <c r="CA36" s="84"/>
      <c r="CB36" s="84"/>
      <c r="CC36" s="84"/>
      <c r="CD36" s="84"/>
      <c r="CE36" s="84"/>
      <c r="CF36" s="84"/>
      <c r="CG36" s="84"/>
      <c r="CH36" s="84"/>
      <c r="CI36" s="84"/>
      <c r="CJ36" s="84"/>
      <c r="CK36" s="84"/>
      <c r="CL36" s="84"/>
      <c r="CM36" s="84"/>
      <c r="CN36" s="84"/>
      <c r="CO36" s="84"/>
      <c r="CP36" s="84"/>
      <c r="CQ36" s="84"/>
      <c r="CR36" s="84"/>
      <c r="CS36" s="84"/>
      <c r="CT36" s="84"/>
      <c r="CU36" s="84"/>
      <c r="CV36" s="84"/>
      <c r="CW36" s="84"/>
      <c r="CX36" s="84"/>
      <c r="CY36" s="84"/>
      <c r="CZ36" s="84"/>
      <c r="DA36" s="84"/>
      <c r="DB36" s="84"/>
      <c r="DC36" s="84"/>
      <c r="DD36" s="84"/>
      <c r="DE36" s="84"/>
      <c r="DF36" s="84"/>
      <c r="DG36" s="84"/>
      <c r="DH36" s="84"/>
      <c r="DI36" s="84"/>
      <c r="DJ36" s="84"/>
      <c r="DK36" s="84"/>
      <c r="DL36" s="84"/>
      <c r="DM36" s="84"/>
      <c r="DN36" s="84"/>
      <c r="DO36" s="84"/>
      <c r="DP36" s="84"/>
      <c r="DQ36" s="84"/>
      <c r="DR36" s="84"/>
      <c r="DS36" s="84"/>
      <c r="DT36" s="84"/>
      <c r="DU36" s="84"/>
      <c r="DV36" s="84"/>
      <c r="DW36" s="84"/>
      <c r="DX36" s="84"/>
      <c r="DY36" s="84"/>
      <c r="DZ36" s="84"/>
      <c r="EA36" s="84"/>
      <c r="EB36" s="84"/>
      <c r="EC36" s="84"/>
      <c r="ED36" s="84"/>
      <c r="EE36" s="84"/>
      <c r="EF36" s="84"/>
      <c r="EG36" s="84"/>
      <c r="EH36" s="84"/>
      <c r="EI36" s="84"/>
      <c r="EJ36" s="84"/>
      <c r="EK36" s="84"/>
      <c r="EL36" s="84"/>
      <c r="EM36" s="84"/>
      <c r="EN36" s="84"/>
      <c r="EO36" s="84"/>
      <c r="EP36" s="84"/>
      <c r="EQ36" s="84"/>
      <c r="ER36" s="84"/>
      <c r="ES36" s="84"/>
      <c r="ET36" s="84"/>
      <c r="EU36" s="84"/>
      <c r="EV36" s="84"/>
      <c r="EW36" s="84"/>
      <c r="EX36" s="84"/>
      <c r="EY36" s="84"/>
      <c r="EZ36" s="84"/>
      <c r="FA36" s="84"/>
      <c r="FB36" s="84"/>
      <c r="FC36" s="84"/>
      <c r="FD36" s="84"/>
      <c r="FE36" s="84"/>
      <c r="FF36" s="84"/>
      <c r="FG36" s="84"/>
      <c r="FH36" s="84"/>
      <c r="FI36" s="84"/>
      <c r="FJ36" s="84"/>
      <c r="FK36" s="84"/>
      <c r="FL36" s="84"/>
      <c r="FM36" s="84"/>
      <c r="FN36" s="84"/>
      <c r="FO36" s="84"/>
      <c r="FP36" s="84"/>
      <c r="FQ36" s="84"/>
      <c r="FR36" s="84"/>
      <c r="FS36" s="84"/>
      <c r="FT36" s="84"/>
      <c r="FU36" s="84"/>
      <c r="FV36" s="84"/>
      <c r="FW36" s="84"/>
      <c r="FX36" s="84"/>
      <c r="FY36" s="84"/>
      <c r="FZ36" s="84"/>
      <c r="GA36" s="84"/>
      <c r="GB36" s="84"/>
      <c r="GC36" s="84"/>
      <c r="GD36" s="84"/>
      <c r="GE36" s="84"/>
      <c r="GF36" s="84"/>
      <c r="GG36" s="84"/>
      <c r="GH36" s="84"/>
      <c r="GI36" s="84"/>
      <c r="GJ36" s="84"/>
      <c r="GK36" s="84"/>
      <c r="GL36" s="84"/>
      <c r="GM36" s="84"/>
      <c r="GN36" s="84"/>
      <c r="GO36" s="84"/>
      <c r="GP36" s="84"/>
      <c r="GQ36" s="84"/>
      <c r="GR36" s="84"/>
      <c r="GS36" s="84"/>
      <c r="GT36" s="84"/>
      <c r="GU36" s="84"/>
      <c r="GV36" s="84"/>
      <c r="GW36" s="84"/>
      <c r="GX36" s="84"/>
      <c r="GY36" s="84"/>
      <c r="GZ36" s="84"/>
      <c r="HA36" s="84"/>
      <c r="HB36" s="84"/>
      <c r="HC36" s="84"/>
      <c r="HD36" s="84"/>
      <c r="HE36" s="84"/>
      <c r="HF36" s="84"/>
      <c r="HG36" s="84"/>
      <c r="HH36" s="84"/>
      <c r="HI36" s="84"/>
      <c r="HJ36" s="84"/>
      <c r="HK36" s="84"/>
      <c r="HL36" s="84"/>
      <c r="HM36" s="84"/>
      <c r="HN36" s="84"/>
      <c r="HO36" s="84"/>
      <c r="HP36" s="84"/>
      <c r="HQ36" s="84"/>
      <c r="HR36" s="84"/>
      <c r="HS36" s="84"/>
      <c r="HT36" s="84"/>
      <c r="HU36" s="84"/>
      <c r="HV36" s="84"/>
      <c r="HW36" s="84"/>
      <c r="HX36" s="84"/>
      <c r="HY36" s="84"/>
      <c r="HZ36" s="84"/>
      <c r="IA36" s="84"/>
      <c r="IB36" s="84"/>
      <c r="IC36" s="84"/>
      <c r="ID36" s="84"/>
      <c r="IE36" s="84"/>
      <c r="IF36" s="84"/>
      <c r="IG36" s="84"/>
      <c r="IH36" s="84"/>
      <c r="II36" s="84"/>
      <c r="IJ36" s="84"/>
      <c r="IK36" s="84"/>
      <c r="IL36" s="84"/>
      <c r="IM36" s="84"/>
      <c r="IN36" s="84"/>
      <c r="IO36" s="84"/>
      <c r="IP36" s="84"/>
      <c r="IQ36" s="84"/>
      <c r="IR36" s="84"/>
      <c r="IS36" s="84"/>
      <c r="IT36" s="84"/>
      <c r="IU36" s="84"/>
      <c r="IV36" s="84"/>
      <c r="IW36" s="84"/>
      <c r="IX36" s="84"/>
      <c r="IY36" s="84"/>
      <c r="IZ36" s="84"/>
      <c r="JA36" s="84"/>
      <c r="JB36" s="84"/>
      <c r="JC36" s="84"/>
      <c r="JD36" s="84"/>
      <c r="JE36" s="84"/>
      <c r="JF36" s="84"/>
      <c r="JG36" s="84"/>
      <c r="JH36" s="84"/>
      <c r="JI36" s="84"/>
      <c r="JJ36" s="84"/>
      <c r="JK36" s="84"/>
      <c r="JL36" s="84"/>
      <c r="JM36" s="84"/>
      <c r="JN36" s="84"/>
      <c r="JO36" s="84"/>
      <c r="JP36" s="84"/>
      <c r="JQ36" s="84"/>
      <c r="JR36" s="84"/>
      <c r="JS36" s="84"/>
      <c r="JT36" s="84"/>
      <c r="JU36" s="84"/>
      <c r="JV36" s="84"/>
      <c r="JW36" s="84"/>
      <c r="JX36" s="84"/>
      <c r="JY36" s="84"/>
      <c r="JZ36" s="84"/>
      <c r="KA36" s="84"/>
      <c r="KB36" s="84"/>
      <c r="KC36" s="84"/>
      <c r="KD36" s="84"/>
      <c r="KE36" s="84"/>
      <c r="KF36" s="84"/>
      <c r="KG36" s="84"/>
      <c r="KH36" s="84"/>
      <c r="KI36" s="84"/>
      <c r="KJ36" s="84"/>
      <c r="KK36" s="84"/>
      <c r="KL36" s="84"/>
      <c r="KM36" s="84"/>
      <c r="KN36" s="84"/>
      <c r="KO36" s="84"/>
      <c r="KP36" s="84"/>
      <c r="KQ36" s="84"/>
      <c r="KR36" s="84"/>
    </row>
    <row r="37" spans="1:304" s="371" customFormat="1" x14ac:dyDescent="0.3">
      <c r="A37" s="371" t="s">
        <v>179</v>
      </c>
      <c r="B37" s="349">
        <v>37545.699999999997</v>
      </c>
      <c r="C37" s="338">
        <v>452.75</v>
      </c>
      <c r="D37" s="368">
        <v>5834.5335999999998</v>
      </c>
      <c r="E37" s="368">
        <v>6642.92</v>
      </c>
      <c r="F37" s="368">
        <f t="shared" si="8"/>
        <v>12930.203600000001</v>
      </c>
      <c r="G37" s="347">
        <v>0.34439999999999998</v>
      </c>
      <c r="H37" s="372">
        <v>29816.400000000001</v>
      </c>
      <c r="I37" s="340">
        <v>523.54</v>
      </c>
      <c r="J37" s="340">
        <v>5843.75</v>
      </c>
      <c r="K37" s="340">
        <v>12580.35</v>
      </c>
      <c r="L37" s="368">
        <f t="shared" si="9"/>
        <v>18947.64</v>
      </c>
      <c r="M37" s="347">
        <v>0.63549999999999995</v>
      </c>
      <c r="N37" s="349">
        <v>41417</v>
      </c>
      <c r="O37" s="338">
        <v>673.72</v>
      </c>
      <c r="P37" s="368">
        <v>9442.2896999999994</v>
      </c>
      <c r="Q37" s="368">
        <v>12778.82</v>
      </c>
      <c r="R37" s="368">
        <f t="shared" si="10"/>
        <v>22894.829699999998</v>
      </c>
      <c r="S37" s="350">
        <f t="shared" si="7"/>
        <v>0.55278821981312021</v>
      </c>
      <c r="T37" s="349">
        <v>31309</v>
      </c>
      <c r="U37" s="338">
        <v>522.86</v>
      </c>
      <c r="V37" s="368">
        <v>26832.470499999999</v>
      </c>
      <c r="W37" s="368">
        <v>30471.5</v>
      </c>
      <c r="X37" s="368">
        <f t="shared" si="11"/>
        <v>57826.830499999996</v>
      </c>
      <c r="Y37" s="350">
        <v>0.64329999999999998</v>
      </c>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c r="BM37" s="84"/>
      <c r="BN37" s="84"/>
      <c r="BO37" s="84"/>
      <c r="BP37" s="84"/>
      <c r="BQ37" s="84"/>
      <c r="BR37" s="84"/>
      <c r="BS37" s="84"/>
      <c r="BT37" s="84"/>
      <c r="BU37" s="84"/>
      <c r="BV37" s="84"/>
      <c r="BW37" s="84"/>
      <c r="BX37" s="84"/>
      <c r="BY37" s="84"/>
      <c r="BZ37" s="84"/>
      <c r="CA37" s="84"/>
      <c r="CB37" s="84"/>
      <c r="CC37" s="84"/>
      <c r="CD37" s="84"/>
      <c r="CE37" s="84"/>
      <c r="CF37" s="84"/>
      <c r="CG37" s="84"/>
      <c r="CH37" s="84"/>
      <c r="CI37" s="84"/>
      <c r="CJ37" s="84"/>
      <c r="CK37" s="84"/>
      <c r="CL37" s="84"/>
      <c r="CM37" s="84"/>
      <c r="CN37" s="84"/>
      <c r="CO37" s="84"/>
      <c r="CP37" s="84"/>
      <c r="CQ37" s="84"/>
      <c r="CR37" s="84"/>
      <c r="CS37" s="84"/>
      <c r="CT37" s="84"/>
      <c r="CU37" s="84"/>
      <c r="CV37" s="84"/>
      <c r="CW37" s="84"/>
      <c r="CX37" s="84"/>
      <c r="CY37" s="84"/>
      <c r="CZ37" s="84"/>
      <c r="DA37" s="84"/>
      <c r="DB37" s="84"/>
      <c r="DC37" s="84"/>
      <c r="DD37" s="84"/>
      <c r="DE37" s="84"/>
      <c r="DF37" s="84"/>
      <c r="DG37" s="84"/>
      <c r="DH37" s="84"/>
      <c r="DI37" s="84"/>
      <c r="DJ37" s="84"/>
      <c r="DK37" s="84"/>
      <c r="DL37" s="84"/>
      <c r="DM37" s="84"/>
      <c r="DN37" s="84"/>
      <c r="DO37" s="84"/>
      <c r="DP37" s="84"/>
      <c r="DQ37" s="84"/>
      <c r="DR37" s="84"/>
      <c r="DS37" s="84"/>
      <c r="DT37" s="84"/>
      <c r="DU37" s="84"/>
      <c r="DV37" s="84"/>
      <c r="DW37" s="84"/>
      <c r="DX37" s="84"/>
      <c r="DY37" s="84"/>
      <c r="DZ37" s="84"/>
      <c r="EA37" s="84"/>
      <c r="EB37" s="84"/>
      <c r="EC37" s="84"/>
      <c r="ED37" s="84"/>
      <c r="EE37" s="84"/>
      <c r="EF37" s="84"/>
      <c r="EG37" s="84"/>
      <c r="EH37" s="84"/>
      <c r="EI37" s="84"/>
      <c r="EJ37" s="84"/>
      <c r="EK37" s="84"/>
      <c r="EL37" s="84"/>
      <c r="EM37" s="84"/>
      <c r="EN37" s="84"/>
      <c r="EO37" s="84"/>
      <c r="EP37" s="84"/>
      <c r="EQ37" s="84"/>
      <c r="ER37" s="84"/>
      <c r="ES37" s="84"/>
      <c r="ET37" s="84"/>
      <c r="EU37" s="84"/>
      <c r="EV37" s="84"/>
      <c r="EW37" s="84"/>
      <c r="EX37" s="84"/>
      <c r="EY37" s="84"/>
      <c r="EZ37" s="84"/>
      <c r="FA37" s="84"/>
      <c r="FB37" s="84"/>
      <c r="FC37" s="84"/>
      <c r="FD37" s="84"/>
      <c r="FE37" s="84"/>
      <c r="FF37" s="84"/>
      <c r="FG37" s="84"/>
      <c r="FH37" s="84"/>
      <c r="FI37" s="84"/>
      <c r="FJ37" s="84"/>
      <c r="FK37" s="84"/>
      <c r="FL37" s="84"/>
      <c r="FM37" s="84"/>
      <c r="FN37" s="84"/>
      <c r="FO37" s="84"/>
      <c r="FP37" s="84"/>
      <c r="FQ37" s="84"/>
      <c r="FR37" s="84"/>
      <c r="FS37" s="84"/>
      <c r="FT37" s="84"/>
      <c r="FU37" s="84"/>
      <c r="FV37" s="84"/>
      <c r="FW37" s="84"/>
      <c r="FX37" s="84"/>
      <c r="FY37" s="84"/>
      <c r="FZ37" s="84"/>
      <c r="GA37" s="84"/>
      <c r="GB37" s="84"/>
      <c r="GC37" s="84"/>
      <c r="GD37" s="84"/>
      <c r="GE37" s="84"/>
      <c r="GF37" s="84"/>
      <c r="GG37" s="84"/>
      <c r="GH37" s="84"/>
      <c r="GI37" s="84"/>
      <c r="GJ37" s="84"/>
      <c r="GK37" s="84"/>
      <c r="GL37" s="84"/>
      <c r="GM37" s="84"/>
      <c r="GN37" s="84"/>
      <c r="GO37" s="84"/>
      <c r="GP37" s="84"/>
      <c r="GQ37" s="84"/>
      <c r="GR37" s="84"/>
      <c r="GS37" s="84"/>
      <c r="GT37" s="84"/>
      <c r="GU37" s="84"/>
      <c r="GV37" s="84"/>
      <c r="GW37" s="84"/>
      <c r="GX37" s="84"/>
      <c r="GY37" s="84"/>
      <c r="GZ37" s="84"/>
      <c r="HA37" s="84"/>
      <c r="HB37" s="84"/>
      <c r="HC37" s="84"/>
      <c r="HD37" s="84"/>
      <c r="HE37" s="84"/>
      <c r="HF37" s="84"/>
      <c r="HG37" s="84"/>
      <c r="HH37" s="84"/>
      <c r="HI37" s="84"/>
      <c r="HJ37" s="84"/>
      <c r="HK37" s="84"/>
      <c r="HL37" s="84"/>
      <c r="HM37" s="84"/>
      <c r="HN37" s="84"/>
      <c r="HO37" s="84"/>
      <c r="HP37" s="84"/>
      <c r="HQ37" s="84"/>
      <c r="HR37" s="84"/>
      <c r="HS37" s="84"/>
      <c r="HT37" s="84"/>
      <c r="HU37" s="84"/>
      <c r="HV37" s="84"/>
      <c r="HW37" s="84"/>
      <c r="HX37" s="84"/>
      <c r="HY37" s="84"/>
      <c r="HZ37" s="84"/>
      <c r="IA37" s="84"/>
      <c r="IB37" s="84"/>
      <c r="IC37" s="84"/>
      <c r="ID37" s="84"/>
      <c r="IE37" s="84"/>
      <c r="IF37" s="84"/>
      <c r="IG37" s="84"/>
      <c r="IH37" s="84"/>
      <c r="II37" s="84"/>
      <c r="IJ37" s="84"/>
      <c r="IK37" s="84"/>
      <c r="IL37" s="84"/>
      <c r="IM37" s="84"/>
      <c r="IN37" s="84"/>
      <c r="IO37" s="84"/>
      <c r="IP37" s="84"/>
      <c r="IQ37" s="84"/>
      <c r="IR37" s="84"/>
      <c r="IS37" s="84"/>
      <c r="IT37" s="84"/>
      <c r="IU37" s="84"/>
      <c r="IV37" s="84"/>
      <c r="IW37" s="84"/>
      <c r="IX37" s="84"/>
      <c r="IY37" s="84"/>
      <c r="IZ37" s="84"/>
      <c r="JA37" s="84"/>
      <c r="JB37" s="84"/>
      <c r="JC37" s="84"/>
      <c r="JD37" s="84"/>
      <c r="JE37" s="84"/>
      <c r="JF37" s="84"/>
      <c r="JG37" s="84"/>
      <c r="JH37" s="84"/>
      <c r="JI37" s="84"/>
      <c r="JJ37" s="84"/>
      <c r="JK37" s="84"/>
      <c r="JL37" s="84"/>
      <c r="JM37" s="84"/>
      <c r="JN37" s="84"/>
      <c r="JO37" s="84"/>
      <c r="JP37" s="84"/>
      <c r="JQ37" s="84"/>
      <c r="JR37" s="84"/>
      <c r="JS37" s="84"/>
      <c r="JT37" s="84"/>
      <c r="JU37" s="84"/>
      <c r="JV37" s="84"/>
      <c r="JW37" s="84"/>
      <c r="JX37" s="84"/>
      <c r="JY37" s="84"/>
      <c r="JZ37" s="84"/>
      <c r="KA37" s="84"/>
      <c r="KB37" s="84"/>
      <c r="KC37" s="84"/>
      <c r="KD37" s="84"/>
      <c r="KE37" s="84"/>
      <c r="KF37" s="84"/>
      <c r="KG37" s="84"/>
      <c r="KH37" s="84"/>
      <c r="KI37" s="84"/>
      <c r="KJ37" s="84"/>
      <c r="KK37" s="84"/>
      <c r="KL37" s="84"/>
      <c r="KM37" s="84"/>
      <c r="KN37" s="84"/>
      <c r="KO37" s="84"/>
      <c r="KP37" s="84"/>
      <c r="KQ37" s="84"/>
      <c r="KR37" s="84"/>
    </row>
    <row r="38" spans="1:304" s="371" customFormat="1" x14ac:dyDescent="0.3">
      <c r="A38" s="371" t="s">
        <v>181</v>
      </c>
      <c r="B38" s="349">
        <v>41473.61</v>
      </c>
      <c r="C38" s="338">
        <v>773</v>
      </c>
      <c r="D38" s="368">
        <v>6988.5439999999999</v>
      </c>
      <c r="E38" s="368">
        <v>9133.07</v>
      </c>
      <c r="F38" s="368">
        <f t="shared" si="8"/>
        <v>16894.614000000001</v>
      </c>
      <c r="G38" s="347">
        <v>0.40739999999999998</v>
      </c>
      <c r="H38" s="372">
        <v>50367</v>
      </c>
      <c r="I38" s="340">
        <v>594</v>
      </c>
      <c r="J38" s="340">
        <v>7552.0838000000003</v>
      </c>
      <c r="K38" s="340">
        <v>17296.189999999999</v>
      </c>
      <c r="L38" s="368">
        <f t="shared" si="9"/>
        <v>25442.273799999999</v>
      </c>
      <c r="M38" s="347">
        <v>0.50509999999999999</v>
      </c>
      <c r="N38" s="349">
        <v>68412</v>
      </c>
      <c r="O38" s="338">
        <v>844.55</v>
      </c>
      <c r="P38" s="368">
        <v>15208.7325</v>
      </c>
      <c r="Q38" s="368">
        <v>16505.86</v>
      </c>
      <c r="R38" s="368">
        <f t="shared" si="10"/>
        <v>32559.142500000002</v>
      </c>
      <c r="S38" s="350">
        <f t="shared" si="7"/>
        <v>0.47592735923522189</v>
      </c>
      <c r="T38" s="349">
        <v>43124</v>
      </c>
      <c r="U38" s="338">
        <v>740.1</v>
      </c>
      <c r="V38" s="368">
        <v>31604.518899999999</v>
      </c>
      <c r="W38" s="368">
        <v>30471.5</v>
      </c>
      <c r="X38" s="368">
        <f t="shared" si="11"/>
        <v>62816.118900000001</v>
      </c>
      <c r="Y38" s="350">
        <v>0.64329999999999998</v>
      </c>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84"/>
      <c r="BT38" s="84"/>
      <c r="BU38" s="84"/>
      <c r="BV38" s="84"/>
      <c r="BW38" s="84"/>
      <c r="BX38" s="84"/>
      <c r="BY38" s="84"/>
      <c r="BZ38" s="84"/>
      <c r="CA38" s="84"/>
      <c r="CB38" s="84"/>
      <c r="CC38" s="84"/>
      <c r="CD38" s="84"/>
      <c r="CE38" s="84"/>
      <c r="CF38" s="84"/>
      <c r="CG38" s="84"/>
      <c r="CH38" s="84"/>
      <c r="CI38" s="84"/>
      <c r="CJ38" s="84"/>
      <c r="CK38" s="84"/>
      <c r="CL38" s="84"/>
      <c r="CM38" s="84"/>
      <c r="CN38" s="84"/>
      <c r="CO38" s="84"/>
      <c r="CP38" s="84"/>
      <c r="CQ38" s="84"/>
      <c r="CR38" s="84"/>
      <c r="CS38" s="84"/>
      <c r="CT38" s="84"/>
      <c r="CU38" s="84"/>
      <c r="CV38" s="84"/>
      <c r="CW38" s="84"/>
      <c r="CX38" s="84"/>
      <c r="CY38" s="84"/>
      <c r="CZ38" s="84"/>
      <c r="DA38" s="84"/>
      <c r="DB38" s="84"/>
      <c r="DC38" s="84"/>
      <c r="DD38" s="84"/>
      <c r="DE38" s="84"/>
      <c r="DF38" s="84"/>
      <c r="DG38" s="84"/>
      <c r="DH38" s="84"/>
      <c r="DI38" s="84"/>
      <c r="DJ38" s="84"/>
      <c r="DK38" s="84"/>
      <c r="DL38" s="84"/>
      <c r="DM38" s="84"/>
      <c r="DN38" s="84"/>
      <c r="DO38" s="84"/>
      <c r="DP38" s="84"/>
      <c r="DQ38" s="84"/>
      <c r="DR38" s="84"/>
      <c r="DS38" s="84"/>
      <c r="DT38" s="84"/>
      <c r="DU38" s="84"/>
      <c r="DV38" s="84"/>
      <c r="DW38" s="84"/>
      <c r="DX38" s="84"/>
      <c r="DY38" s="84"/>
      <c r="DZ38" s="84"/>
      <c r="EA38" s="84"/>
      <c r="EB38" s="84"/>
      <c r="EC38" s="84"/>
      <c r="ED38" s="84"/>
      <c r="EE38" s="84"/>
      <c r="EF38" s="84"/>
      <c r="EG38" s="84"/>
      <c r="EH38" s="84"/>
      <c r="EI38" s="84"/>
      <c r="EJ38" s="84"/>
      <c r="EK38" s="84"/>
      <c r="EL38" s="84"/>
      <c r="EM38" s="84"/>
      <c r="EN38" s="84"/>
      <c r="EO38" s="84"/>
      <c r="EP38" s="84"/>
      <c r="EQ38" s="84"/>
      <c r="ER38" s="84"/>
      <c r="ES38" s="84"/>
      <c r="ET38" s="84"/>
      <c r="EU38" s="84"/>
      <c r="EV38" s="84"/>
      <c r="EW38" s="84"/>
      <c r="EX38" s="84"/>
      <c r="EY38" s="84"/>
      <c r="EZ38" s="84"/>
      <c r="FA38" s="84"/>
      <c r="FB38" s="84"/>
      <c r="FC38" s="84"/>
      <c r="FD38" s="84"/>
      <c r="FE38" s="84"/>
      <c r="FF38" s="84"/>
      <c r="FG38" s="84"/>
      <c r="FH38" s="84"/>
      <c r="FI38" s="84"/>
      <c r="FJ38" s="84"/>
      <c r="FK38" s="84"/>
      <c r="FL38" s="84"/>
      <c r="FM38" s="84"/>
      <c r="FN38" s="84"/>
      <c r="FO38" s="84"/>
      <c r="FP38" s="84"/>
      <c r="FQ38" s="84"/>
      <c r="FR38" s="84"/>
      <c r="FS38" s="84"/>
      <c r="FT38" s="84"/>
      <c r="FU38" s="84"/>
      <c r="FV38" s="84"/>
      <c r="FW38" s="84"/>
      <c r="FX38" s="84"/>
      <c r="FY38" s="84"/>
      <c r="FZ38" s="84"/>
      <c r="GA38" s="84"/>
      <c r="GB38" s="84"/>
      <c r="GC38" s="84"/>
      <c r="GD38" s="84"/>
      <c r="GE38" s="84"/>
      <c r="GF38" s="84"/>
      <c r="GG38" s="84"/>
      <c r="GH38" s="84"/>
      <c r="GI38" s="84"/>
      <c r="GJ38" s="84"/>
      <c r="GK38" s="84"/>
      <c r="GL38" s="84"/>
      <c r="GM38" s="84"/>
      <c r="GN38" s="84"/>
      <c r="GO38" s="84"/>
      <c r="GP38" s="84"/>
      <c r="GQ38" s="84"/>
      <c r="GR38" s="84"/>
      <c r="GS38" s="84"/>
      <c r="GT38" s="84"/>
      <c r="GU38" s="84"/>
      <c r="GV38" s="84"/>
      <c r="GW38" s="84"/>
      <c r="GX38" s="84"/>
      <c r="GY38" s="84"/>
      <c r="GZ38" s="84"/>
      <c r="HA38" s="84"/>
      <c r="HB38" s="84"/>
      <c r="HC38" s="84"/>
      <c r="HD38" s="84"/>
      <c r="HE38" s="84"/>
      <c r="HF38" s="84"/>
      <c r="HG38" s="84"/>
      <c r="HH38" s="84"/>
      <c r="HI38" s="84"/>
      <c r="HJ38" s="84"/>
      <c r="HK38" s="84"/>
      <c r="HL38" s="84"/>
      <c r="HM38" s="84"/>
      <c r="HN38" s="84"/>
      <c r="HO38" s="84"/>
      <c r="HP38" s="84"/>
      <c r="HQ38" s="84"/>
      <c r="HR38" s="84"/>
      <c r="HS38" s="84"/>
      <c r="HT38" s="84"/>
      <c r="HU38" s="84"/>
      <c r="HV38" s="84"/>
      <c r="HW38" s="84"/>
      <c r="HX38" s="84"/>
      <c r="HY38" s="84"/>
      <c r="HZ38" s="84"/>
      <c r="IA38" s="84"/>
      <c r="IB38" s="84"/>
      <c r="IC38" s="84"/>
      <c r="ID38" s="84"/>
      <c r="IE38" s="84"/>
      <c r="IF38" s="84"/>
      <c r="IG38" s="84"/>
      <c r="IH38" s="84"/>
      <c r="II38" s="84"/>
      <c r="IJ38" s="84"/>
      <c r="IK38" s="84"/>
      <c r="IL38" s="84"/>
      <c r="IM38" s="84"/>
      <c r="IN38" s="84"/>
      <c r="IO38" s="84"/>
      <c r="IP38" s="84"/>
      <c r="IQ38" s="84"/>
      <c r="IR38" s="84"/>
      <c r="IS38" s="84"/>
      <c r="IT38" s="84"/>
      <c r="IU38" s="84"/>
      <c r="IV38" s="84"/>
      <c r="IW38" s="84"/>
      <c r="IX38" s="84"/>
      <c r="IY38" s="84"/>
      <c r="IZ38" s="84"/>
      <c r="JA38" s="84"/>
      <c r="JB38" s="84"/>
      <c r="JC38" s="84"/>
      <c r="JD38" s="84"/>
      <c r="JE38" s="84"/>
      <c r="JF38" s="84"/>
      <c r="JG38" s="84"/>
      <c r="JH38" s="84"/>
      <c r="JI38" s="84"/>
      <c r="JJ38" s="84"/>
      <c r="JK38" s="84"/>
      <c r="JL38" s="84"/>
      <c r="JM38" s="84"/>
      <c r="JN38" s="84"/>
      <c r="JO38" s="84"/>
      <c r="JP38" s="84"/>
      <c r="JQ38" s="84"/>
      <c r="JR38" s="84"/>
      <c r="JS38" s="84"/>
      <c r="JT38" s="84"/>
      <c r="JU38" s="84"/>
      <c r="JV38" s="84"/>
      <c r="JW38" s="84"/>
      <c r="JX38" s="84"/>
      <c r="JY38" s="84"/>
      <c r="JZ38" s="84"/>
      <c r="KA38" s="84"/>
      <c r="KB38" s="84"/>
      <c r="KC38" s="84"/>
      <c r="KD38" s="84"/>
      <c r="KE38" s="84"/>
      <c r="KF38" s="84"/>
      <c r="KG38" s="84"/>
      <c r="KH38" s="84"/>
      <c r="KI38" s="84"/>
      <c r="KJ38" s="84"/>
      <c r="KK38" s="84"/>
      <c r="KL38" s="84"/>
      <c r="KM38" s="84"/>
      <c r="KN38" s="84"/>
      <c r="KO38" s="84"/>
      <c r="KP38" s="84"/>
      <c r="KQ38" s="84"/>
      <c r="KR38" s="84"/>
    </row>
    <row r="39" spans="1:304" s="371" customFormat="1" x14ac:dyDescent="0.3">
      <c r="A39" s="371" t="s">
        <v>237</v>
      </c>
      <c r="B39" s="349">
        <v>66640.3</v>
      </c>
      <c r="C39" s="338">
        <v>1095.1500000000001</v>
      </c>
      <c r="D39" s="368">
        <v>11064.025900000001</v>
      </c>
      <c r="E39" s="368">
        <v>10912.13</v>
      </c>
      <c r="F39" s="368">
        <f t="shared" si="8"/>
        <v>23071.305899999999</v>
      </c>
      <c r="G39" s="347">
        <v>0.34620000000000001</v>
      </c>
      <c r="H39" s="372">
        <v>78204</v>
      </c>
      <c r="I39" s="340">
        <v>820.21</v>
      </c>
      <c r="J39" s="340">
        <v>10181.613799999999</v>
      </c>
      <c r="K39" s="340">
        <v>20665.38</v>
      </c>
      <c r="L39" s="368">
        <f t="shared" si="9"/>
        <v>31667.203799999999</v>
      </c>
      <c r="M39" s="347">
        <v>0.40489999999999998</v>
      </c>
      <c r="N39" s="349">
        <v>83022.600000000006</v>
      </c>
      <c r="O39" s="338">
        <v>1338.52</v>
      </c>
      <c r="P39" s="368">
        <v>12306.537899999999</v>
      </c>
      <c r="Q39" s="368">
        <v>23365.9</v>
      </c>
      <c r="R39" s="368">
        <f t="shared" si="10"/>
        <v>37010.957900000001</v>
      </c>
      <c r="S39" s="350">
        <f t="shared" si="7"/>
        <v>0.44579377061185749</v>
      </c>
      <c r="T39" s="349">
        <v>81766</v>
      </c>
      <c r="U39" s="338">
        <v>906.73</v>
      </c>
      <c r="V39" s="368">
        <v>33886.451399999998</v>
      </c>
      <c r="W39" s="368">
        <v>30471.5</v>
      </c>
      <c r="X39" s="368">
        <f t="shared" si="11"/>
        <v>65264.681400000001</v>
      </c>
      <c r="Y39" s="350">
        <v>0.64329999999999998</v>
      </c>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84"/>
      <c r="BT39" s="84"/>
      <c r="BU39" s="84"/>
      <c r="BV39" s="84"/>
      <c r="BW39" s="84"/>
      <c r="BX39" s="84"/>
      <c r="BY39" s="84"/>
      <c r="BZ39" s="84"/>
      <c r="CA39" s="84"/>
      <c r="CB39" s="84"/>
      <c r="CC39" s="84"/>
      <c r="CD39" s="84"/>
      <c r="CE39" s="84"/>
      <c r="CF39" s="84"/>
      <c r="CG39" s="84"/>
      <c r="CH39" s="84"/>
      <c r="CI39" s="84"/>
      <c r="CJ39" s="84"/>
      <c r="CK39" s="84"/>
      <c r="CL39" s="84"/>
      <c r="CM39" s="84"/>
      <c r="CN39" s="84"/>
      <c r="CO39" s="84"/>
      <c r="CP39" s="84"/>
      <c r="CQ39" s="84"/>
      <c r="CR39" s="84"/>
      <c r="CS39" s="84"/>
      <c r="CT39" s="84"/>
      <c r="CU39" s="84"/>
      <c r="CV39" s="84"/>
      <c r="CW39" s="84"/>
      <c r="CX39" s="84"/>
      <c r="CY39" s="84"/>
      <c r="CZ39" s="84"/>
      <c r="DA39" s="84"/>
      <c r="DB39" s="84"/>
      <c r="DC39" s="84"/>
      <c r="DD39" s="84"/>
      <c r="DE39" s="84"/>
      <c r="DF39" s="84"/>
      <c r="DG39" s="84"/>
      <c r="DH39" s="84"/>
      <c r="DI39" s="84"/>
      <c r="DJ39" s="84"/>
      <c r="DK39" s="84"/>
      <c r="DL39" s="84"/>
      <c r="DM39" s="84"/>
      <c r="DN39" s="84"/>
      <c r="DO39" s="84"/>
      <c r="DP39" s="84"/>
      <c r="DQ39" s="84"/>
      <c r="DR39" s="84"/>
      <c r="DS39" s="84"/>
      <c r="DT39" s="84"/>
      <c r="DU39" s="84"/>
      <c r="DV39" s="84"/>
      <c r="DW39" s="84"/>
      <c r="DX39" s="84"/>
      <c r="DY39" s="84"/>
      <c r="DZ39" s="84"/>
      <c r="EA39" s="84"/>
      <c r="EB39" s="84"/>
      <c r="EC39" s="84"/>
      <c r="ED39" s="84"/>
      <c r="EE39" s="84"/>
      <c r="EF39" s="84"/>
      <c r="EG39" s="84"/>
      <c r="EH39" s="84"/>
      <c r="EI39" s="84"/>
      <c r="EJ39" s="84"/>
      <c r="EK39" s="84"/>
      <c r="EL39" s="84"/>
      <c r="EM39" s="84"/>
      <c r="EN39" s="84"/>
      <c r="EO39" s="84"/>
      <c r="EP39" s="84"/>
      <c r="EQ39" s="84"/>
      <c r="ER39" s="84"/>
      <c r="ES39" s="84"/>
      <c r="ET39" s="84"/>
      <c r="EU39" s="84"/>
      <c r="EV39" s="84"/>
      <c r="EW39" s="84"/>
      <c r="EX39" s="84"/>
      <c r="EY39" s="84"/>
      <c r="EZ39" s="84"/>
      <c r="FA39" s="84"/>
      <c r="FB39" s="84"/>
      <c r="FC39" s="84"/>
      <c r="FD39" s="84"/>
      <c r="FE39" s="84"/>
      <c r="FF39" s="84"/>
      <c r="FG39" s="84"/>
      <c r="FH39" s="84"/>
      <c r="FI39" s="84"/>
      <c r="FJ39" s="84"/>
      <c r="FK39" s="84"/>
      <c r="FL39" s="84"/>
      <c r="FM39" s="84"/>
      <c r="FN39" s="84"/>
      <c r="FO39" s="84"/>
      <c r="FP39" s="84"/>
      <c r="FQ39" s="84"/>
      <c r="FR39" s="84"/>
      <c r="FS39" s="84"/>
      <c r="FT39" s="84"/>
      <c r="FU39" s="84"/>
      <c r="FV39" s="84"/>
      <c r="FW39" s="84"/>
      <c r="FX39" s="84"/>
      <c r="FY39" s="84"/>
      <c r="FZ39" s="84"/>
      <c r="GA39" s="84"/>
      <c r="GB39" s="84"/>
      <c r="GC39" s="84"/>
      <c r="GD39" s="84"/>
      <c r="GE39" s="84"/>
      <c r="GF39" s="84"/>
      <c r="GG39" s="84"/>
      <c r="GH39" s="84"/>
      <c r="GI39" s="84"/>
      <c r="GJ39" s="84"/>
      <c r="GK39" s="84"/>
      <c r="GL39" s="84"/>
      <c r="GM39" s="84"/>
      <c r="GN39" s="84"/>
      <c r="GO39" s="84"/>
      <c r="GP39" s="84"/>
      <c r="GQ39" s="84"/>
      <c r="GR39" s="84"/>
      <c r="GS39" s="84"/>
      <c r="GT39" s="84"/>
      <c r="GU39" s="84"/>
      <c r="GV39" s="84"/>
      <c r="GW39" s="84"/>
      <c r="GX39" s="84"/>
      <c r="GY39" s="84"/>
      <c r="GZ39" s="84"/>
      <c r="HA39" s="84"/>
      <c r="HB39" s="84"/>
      <c r="HC39" s="84"/>
      <c r="HD39" s="84"/>
      <c r="HE39" s="84"/>
      <c r="HF39" s="84"/>
      <c r="HG39" s="84"/>
      <c r="HH39" s="84"/>
      <c r="HI39" s="84"/>
      <c r="HJ39" s="84"/>
      <c r="HK39" s="84"/>
      <c r="HL39" s="84"/>
      <c r="HM39" s="84"/>
      <c r="HN39" s="84"/>
      <c r="HO39" s="84"/>
      <c r="HP39" s="84"/>
      <c r="HQ39" s="84"/>
      <c r="HR39" s="84"/>
      <c r="HS39" s="84"/>
      <c r="HT39" s="84"/>
      <c r="HU39" s="84"/>
      <c r="HV39" s="84"/>
      <c r="HW39" s="84"/>
      <c r="HX39" s="84"/>
      <c r="HY39" s="84"/>
      <c r="HZ39" s="84"/>
      <c r="IA39" s="84"/>
      <c r="IB39" s="84"/>
      <c r="IC39" s="84"/>
      <c r="ID39" s="84"/>
      <c r="IE39" s="84"/>
      <c r="IF39" s="84"/>
      <c r="IG39" s="84"/>
      <c r="IH39" s="84"/>
      <c r="II39" s="84"/>
      <c r="IJ39" s="84"/>
      <c r="IK39" s="84"/>
      <c r="IL39" s="84"/>
      <c r="IM39" s="84"/>
      <c r="IN39" s="84"/>
      <c r="IO39" s="84"/>
      <c r="IP39" s="84"/>
      <c r="IQ39" s="84"/>
      <c r="IR39" s="84"/>
      <c r="IS39" s="84"/>
      <c r="IT39" s="84"/>
      <c r="IU39" s="84"/>
      <c r="IV39" s="84"/>
      <c r="IW39" s="84"/>
      <c r="IX39" s="84"/>
      <c r="IY39" s="84"/>
      <c r="IZ39" s="84"/>
      <c r="JA39" s="84"/>
      <c r="JB39" s="84"/>
      <c r="JC39" s="84"/>
      <c r="JD39" s="84"/>
      <c r="JE39" s="84"/>
      <c r="JF39" s="84"/>
      <c r="JG39" s="84"/>
      <c r="JH39" s="84"/>
      <c r="JI39" s="84"/>
      <c r="JJ39" s="84"/>
      <c r="JK39" s="84"/>
      <c r="JL39" s="84"/>
      <c r="JM39" s="84"/>
      <c r="JN39" s="84"/>
      <c r="JO39" s="84"/>
      <c r="JP39" s="84"/>
      <c r="JQ39" s="84"/>
      <c r="JR39" s="84"/>
      <c r="JS39" s="84"/>
      <c r="JT39" s="84"/>
      <c r="JU39" s="84"/>
      <c r="JV39" s="84"/>
      <c r="JW39" s="84"/>
      <c r="JX39" s="84"/>
      <c r="JY39" s="84"/>
      <c r="JZ39" s="84"/>
      <c r="KA39" s="84"/>
      <c r="KB39" s="84"/>
      <c r="KC39" s="84"/>
      <c r="KD39" s="84"/>
      <c r="KE39" s="84"/>
      <c r="KF39" s="84"/>
      <c r="KG39" s="84"/>
      <c r="KH39" s="84"/>
      <c r="KI39" s="84"/>
      <c r="KJ39" s="84"/>
      <c r="KK39" s="84"/>
      <c r="KL39" s="84"/>
      <c r="KM39" s="84"/>
      <c r="KN39" s="84"/>
      <c r="KO39" s="84"/>
      <c r="KP39" s="84"/>
      <c r="KQ39" s="84"/>
      <c r="KR39" s="84"/>
    </row>
    <row r="40" spans="1:304" s="371" customFormat="1" x14ac:dyDescent="0.3">
      <c r="A40" s="371" t="s">
        <v>188</v>
      </c>
      <c r="B40" s="349">
        <v>98832.41</v>
      </c>
      <c r="C40" s="338">
        <v>1235.3800000000001</v>
      </c>
      <c r="D40" s="368">
        <v>8207.9887999999992</v>
      </c>
      <c r="E40" s="368">
        <v>20277.55</v>
      </c>
      <c r="F40" s="368">
        <f t="shared" si="8"/>
        <v>29720.918799999999</v>
      </c>
      <c r="G40" s="347">
        <v>0.30070000000000002</v>
      </c>
      <c r="H40" s="372">
        <v>103344</v>
      </c>
      <c r="I40" s="340">
        <v>1419.12</v>
      </c>
      <c r="J40" s="340">
        <v>14906.771000000001</v>
      </c>
      <c r="K40" s="340">
        <v>38401.599999999999</v>
      </c>
      <c r="L40" s="368">
        <f t="shared" si="9"/>
        <v>54727.490999999995</v>
      </c>
      <c r="M40" s="347">
        <v>0.52959999999999996</v>
      </c>
      <c r="N40" s="349">
        <v>116332</v>
      </c>
      <c r="O40" s="338">
        <v>1406.44</v>
      </c>
      <c r="P40" s="368">
        <v>19983.348099999999</v>
      </c>
      <c r="Q40" s="368">
        <v>33988.949999999997</v>
      </c>
      <c r="R40" s="368">
        <f t="shared" si="10"/>
        <v>55378.738099999995</v>
      </c>
      <c r="S40" s="350">
        <f t="shared" si="7"/>
        <v>0.47604045404531853</v>
      </c>
      <c r="T40" s="349">
        <v>102198</v>
      </c>
      <c r="U40" s="338">
        <v>826.58</v>
      </c>
      <c r="V40" s="368">
        <v>35888.712500000001</v>
      </c>
      <c r="W40" s="368">
        <v>30471.5</v>
      </c>
      <c r="X40" s="368">
        <f t="shared" si="11"/>
        <v>67186.79250000001</v>
      </c>
      <c r="Y40" s="350">
        <v>0.64329999999999998</v>
      </c>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c r="BJ40" s="84"/>
      <c r="BK40" s="84"/>
      <c r="BL40" s="84"/>
      <c r="BM40" s="84"/>
      <c r="BN40" s="84"/>
      <c r="BO40" s="84"/>
      <c r="BP40" s="84"/>
      <c r="BQ40" s="84"/>
      <c r="BR40" s="84"/>
      <c r="BS40" s="84"/>
      <c r="BT40" s="84"/>
      <c r="BU40" s="84"/>
      <c r="BV40" s="84"/>
      <c r="BW40" s="84"/>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84"/>
      <c r="EY40" s="84"/>
      <c r="EZ40" s="84"/>
      <c r="FA40" s="84"/>
      <c r="FB40" s="84"/>
      <c r="FC40" s="84"/>
      <c r="FD40" s="84"/>
      <c r="FE40" s="84"/>
      <c r="FF40" s="84"/>
      <c r="FG40" s="84"/>
      <c r="FH40" s="84"/>
      <c r="FI40" s="84"/>
      <c r="FJ40" s="84"/>
      <c r="FK40" s="84"/>
      <c r="FL40" s="84"/>
      <c r="FM40" s="84"/>
      <c r="FN40" s="84"/>
      <c r="FO40" s="84"/>
      <c r="FP40" s="84"/>
      <c r="FQ40" s="84"/>
      <c r="FR40" s="84"/>
      <c r="FS40" s="84"/>
      <c r="FT40" s="84"/>
      <c r="FU40" s="84"/>
      <c r="FV40" s="84"/>
      <c r="FW40" s="84"/>
      <c r="FX40" s="84"/>
      <c r="FY40" s="84"/>
      <c r="FZ40" s="84"/>
      <c r="GA40" s="84"/>
      <c r="GB40" s="84"/>
      <c r="GC40" s="84"/>
      <c r="GD40" s="84"/>
      <c r="GE40" s="84"/>
      <c r="GF40" s="84"/>
      <c r="GG40" s="84"/>
      <c r="GH40" s="84"/>
      <c r="GI40" s="84"/>
      <c r="GJ40" s="84"/>
      <c r="GK40" s="84"/>
      <c r="GL40" s="84"/>
      <c r="GM40" s="84"/>
      <c r="GN40" s="84"/>
      <c r="GO40" s="84"/>
      <c r="GP40" s="84"/>
      <c r="GQ40" s="84"/>
      <c r="GR40" s="84"/>
      <c r="GS40" s="84"/>
      <c r="GT40" s="84"/>
      <c r="GU40" s="84"/>
      <c r="GV40" s="84"/>
      <c r="GW40" s="84"/>
      <c r="GX40" s="84"/>
      <c r="GY40" s="84"/>
      <c r="GZ40" s="84"/>
      <c r="HA40" s="84"/>
      <c r="HB40" s="84"/>
      <c r="HC40" s="84"/>
      <c r="HD40" s="84"/>
      <c r="HE40" s="84"/>
      <c r="HF40" s="84"/>
      <c r="HG40" s="84"/>
      <c r="HH40" s="84"/>
      <c r="HI40" s="84"/>
      <c r="HJ40" s="84"/>
      <c r="HK40" s="84"/>
      <c r="HL40" s="84"/>
      <c r="HM40" s="84"/>
      <c r="HN40" s="84"/>
      <c r="HO40" s="84"/>
      <c r="HP40" s="84"/>
      <c r="HQ40" s="84"/>
      <c r="HR40" s="84"/>
      <c r="HS40" s="84"/>
      <c r="HT40" s="84"/>
      <c r="HU40" s="84"/>
      <c r="HV40" s="84"/>
      <c r="HW40" s="84"/>
      <c r="HX40" s="84"/>
      <c r="HY40" s="84"/>
      <c r="HZ40" s="84"/>
      <c r="IA40" s="84"/>
      <c r="IB40" s="84"/>
      <c r="IC40" s="84"/>
      <c r="ID40" s="84"/>
      <c r="IE40" s="84"/>
      <c r="IF40" s="84"/>
      <c r="IG40" s="84"/>
      <c r="IH40" s="84"/>
      <c r="II40" s="84"/>
      <c r="IJ40" s="84"/>
      <c r="IK40" s="84"/>
      <c r="IL40" s="84"/>
      <c r="IM40" s="84"/>
      <c r="IN40" s="84"/>
      <c r="IO40" s="84"/>
      <c r="IP40" s="84"/>
      <c r="IQ40" s="84"/>
      <c r="IR40" s="84"/>
      <c r="IS40" s="84"/>
      <c r="IT40" s="84"/>
      <c r="IU40" s="84"/>
      <c r="IV40" s="84"/>
      <c r="IW40" s="84"/>
      <c r="IX40" s="84"/>
      <c r="IY40" s="84"/>
      <c r="IZ40" s="84"/>
      <c r="JA40" s="84"/>
      <c r="JB40" s="84"/>
      <c r="JC40" s="84"/>
      <c r="JD40" s="84"/>
      <c r="JE40" s="84"/>
      <c r="JF40" s="84"/>
      <c r="JG40" s="84"/>
      <c r="JH40" s="84"/>
      <c r="JI40" s="84"/>
      <c r="JJ40" s="84"/>
      <c r="JK40" s="84"/>
      <c r="JL40" s="84"/>
      <c r="JM40" s="84"/>
      <c r="JN40" s="84"/>
      <c r="JO40" s="84"/>
      <c r="JP40" s="84"/>
      <c r="JQ40" s="84"/>
      <c r="JR40" s="84"/>
      <c r="JS40" s="84"/>
      <c r="JT40" s="84"/>
      <c r="JU40" s="84"/>
      <c r="JV40" s="84"/>
      <c r="JW40" s="84"/>
      <c r="JX40" s="84"/>
      <c r="JY40" s="84"/>
      <c r="JZ40" s="84"/>
      <c r="KA40" s="84"/>
      <c r="KB40" s="84"/>
      <c r="KC40" s="84"/>
      <c r="KD40" s="84"/>
      <c r="KE40" s="84"/>
      <c r="KF40" s="84"/>
      <c r="KG40" s="84"/>
      <c r="KH40" s="84"/>
      <c r="KI40" s="84"/>
      <c r="KJ40" s="84"/>
      <c r="KK40" s="84"/>
      <c r="KL40" s="84"/>
      <c r="KM40" s="84"/>
      <c r="KN40" s="84"/>
      <c r="KO40" s="84"/>
      <c r="KP40" s="84"/>
      <c r="KQ40" s="84"/>
      <c r="KR40" s="84"/>
    </row>
    <row r="41" spans="1:304" s="371" customFormat="1" x14ac:dyDescent="0.3">
      <c r="A41" s="371" t="s">
        <v>189</v>
      </c>
      <c r="B41" s="349">
        <v>102081.99</v>
      </c>
      <c r="C41" s="338">
        <v>1508.36</v>
      </c>
      <c r="D41" s="337">
        <v>2945.6725999999999</v>
      </c>
      <c r="E41" s="337">
        <v>27347.79</v>
      </c>
      <c r="F41" s="368">
        <f t="shared" si="8"/>
        <v>31801.8226</v>
      </c>
      <c r="G41" s="347">
        <v>0.3115</v>
      </c>
      <c r="H41" s="372">
        <v>124567</v>
      </c>
      <c r="I41" s="340">
        <v>2067.06</v>
      </c>
      <c r="J41" s="340">
        <v>22182.744999999999</v>
      </c>
      <c r="K41" s="340">
        <v>51791.22</v>
      </c>
      <c r="L41" s="368">
        <f t="shared" si="9"/>
        <v>76041.024999999994</v>
      </c>
      <c r="M41" s="347">
        <v>0.61040000000000005</v>
      </c>
      <c r="N41" s="349">
        <v>148169</v>
      </c>
      <c r="O41" s="335">
        <v>2411.48</v>
      </c>
      <c r="P41" s="337">
        <v>29584.7552</v>
      </c>
      <c r="Q41" s="337">
        <v>37139.54</v>
      </c>
      <c r="R41" s="337">
        <f t="shared" si="10"/>
        <v>69135.775200000004</v>
      </c>
      <c r="S41" s="351">
        <f t="shared" si="7"/>
        <v>0.46660080853619856</v>
      </c>
      <c r="T41" s="349">
        <v>114343</v>
      </c>
      <c r="U41" s="335">
        <v>1639.05</v>
      </c>
      <c r="V41" s="337">
        <v>36060.232499999998</v>
      </c>
      <c r="W41" s="368">
        <v>30471.5</v>
      </c>
      <c r="X41" s="337">
        <f t="shared" si="11"/>
        <v>68170.782500000001</v>
      </c>
      <c r="Y41" s="350">
        <v>0.64329999999999998</v>
      </c>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4"/>
      <c r="EY41" s="84"/>
      <c r="EZ41" s="84"/>
      <c r="FA41" s="84"/>
      <c r="FB41" s="84"/>
      <c r="FC41" s="84"/>
      <c r="FD41" s="84"/>
      <c r="FE41" s="84"/>
      <c r="FF41" s="84"/>
      <c r="FG41" s="84"/>
      <c r="FH41" s="84"/>
      <c r="FI41" s="84"/>
      <c r="FJ41" s="84"/>
      <c r="FK41" s="84"/>
      <c r="FL41" s="84"/>
      <c r="FM41" s="84"/>
      <c r="FN41" s="84"/>
      <c r="FO41" s="84"/>
      <c r="FP41" s="84"/>
      <c r="FQ41" s="84"/>
      <c r="FR41" s="84"/>
      <c r="FS41" s="84"/>
      <c r="FT41" s="84"/>
      <c r="FU41" s="84"/>
      <c r="FV41" s="84"/>
      <c r="FW41" s="84"/>
      <c r="FX41" s="84"/>
      <c r="FY41" s="84"/>
      <c r="FZ41" s="84"/>
      <c r="GA41" s="84"/>
      <c r="GB41" s="84"/>
      <c r="GC41" s="84"/>
      <c r="GD41" s="84"/>
      <c r="GE41" s="84"/>
      <c r="GF41" s="84"/>
      <c r="GG41" s="84"/>
      <c r="GH41" s="84"/>
      <c r="GI41" s="84"/>
      <c r="GJ41" s="84"/>
      <c r="GK41" s="84"/>
      <c r="GL41" s="84"/>
      <c r="GM41" s="84"/>
      <c r="GN41" s="84"/>
      <c r="GO41" s="84"/>
      <c r="GP41" s="84"/>
      <c r="GQ41" s="84"/>
      <c r="GR41" s="84"/>
      <c r="GS41" s="84"/>
      <c r="GT41" s="84"/>
      <c r="GU41" s="84"/>
      <c r="GV41" s="84"/>
      <c r="GW41" s="84"/>
      <c r="GX41" s="84"/>
      <c r="GY41" s="84"/>
      <c r="GZ41" s="84"/>
      <c r="HA41" s="84"/>
      <c r="HB41" s="84"/>
      <c r="HC41" s="84"/>
      <c r="HD41" s="84"/>
      <c r="HE41" s="84"/>
      <c r="HF41" s="84"/>
      <c r="HG41" s="84"/>
      <c r="HH41" s="84"/>
      <c r="HI41" s="84"/>
      <c r="HJ41" s="84"/>
      <c r="HK41" s="84"/>
      <c r="HL41" s="84"/>
      <c r="HM41" s="84"/>
      <c r="HN41" s="84"/>
      <c r="HO41" s="84"/>
      <c r="HP41" s="84"/>
      <c r="HQ41" s="84"/>
      <c r="HR41" s="84"/>
      <c r="HS41" s="84"/>
      <c r="HT41" s="84"/>
      <c r="HU41" s="84"/>
      <c r="HV41" s="84"/>
      <c r="HW41" s="84"/>
      <c r="HX41" s="84"/>
      <c r="HY41" s="84"/>
      <c r="HZ41" s="84"/>
      <c r="IA41" s="84"/>
      <c r="IB41" s="84"/>
      <c r="IC41" s="84"/>
      <c r="ID41" s="84"/>
      <c r="IE41" s="84"/>
      <c r="IF41" s="84"/>
      <c r="IG41" s="84"/>
      <c r="IH41" s="84"/>
      <c r="II41" s="84"/>
      <c r="IJ41" s="84"/>
      <c r="IK41" s="84"/>
      <c r="IL41" s="84"/>
      <c r="IM41" s="84"/>
      <c r="IN41" s="84"/>
      <c r="IO41" s="84"/>
      <c r="IP41" s="84"/>
      <c r="IQ41" s="84"/>
      <c r="IR41" s="84"/>
      <c r="IS41" s="84"/>
      <c r="IT41" s="84"/>
      <c r="IU41" s="84"/>
      <c r="IV41" s="84"/>
      <c r="IW41" s="84"/>
      <c r="IX41" s="84"/>
      <c r="IY41" s="84"/>
      <c r="IZ41" s="84"/>
      <c r="JA41" s="84"/>
      <c r="JB41" s="84"/>
      <c r="JC41" s="84"/>
      <c r="JD41" s="84"/>
      <c r="JE41" s="84"/>
      <c r="JF41" s="84"/>
      <c r="JG41" s="84"/>
      <c r="JH41" s="84"/>
      <c r="JI41" s="84"/>
      <c r="JJ41" s="84"/>
      <c r="JK41" s="84"/>
      <c r="JL41" s="84"/>
      <c r="JM41" s="84"/>
      <c r="JN41" s="84"/>
      <c r="JO41" s="84"/>
      <c r="JP41" s="84"/>
      <c r="JQ41" s="84"/>
      <c r="JR41" s="84"/>
      <c r="JS41" s="84"/>
      <c r="JT41" s="84"/>
      <c r="JU41" s="84"/>
      <c r="JV41" s="84"/>
      <c r="JW41" s="84"/>
      <c r="JX41" s="84"/>
      <c r="JY41" s="84"/>
      <c r="JZ41" s="84"/>
      <c r="KA41" s="84"/>
      <c r="KB41" s="84"/>
      <c r="KC41" s="84"/>
      <c r="KD41" s="84"/>
      <c r="KE41" s="84"/>
      <c r="KF41" s="84"/>
      <c r="KG41" s="84"/>
      <c r="KH41" s="84"/>
      <c r="KI41" s="84"/>
      <c r="KJ41" s="84"/>
      <c r="KK41" s="84"/>
      <c r="KL41" s="84"/>
      <c r="KM41" s="84"/>
      <c r="KN41" s="84"/>
      <c r="KO41" s="84"/>
      <c r="KP41" s="84"/>
      <c r="KQ41" s="84"/>
      <c r="KR41" s="84"/>
    </row>
    <row r="42" spans="1:304" x14ac:dyDescent="0.3">
      <c r="A42" s="314" t="s">
        <v>221</v>
      </c>
      <c r="B42" s="329">
        <f>SUM(B30:B41)</f>
        <v>837921.02</v>
      </c>
      <c r="C42" s="329">
        <f>SUM(C30:C41)</f>
        <v>14637.690000000002</v>
      </c>
      <c r="D42" s="329">
        <f>SUM(D30:D41)</f>
        <v>132942.61999999997</v>
      </c>
      <c r="E42" s="329">
        <f>SUM(E30:E41)</f>
        <v>160327.01999999999</v>
      </c>
      <c r="F42" s="329">
        <f>SUM(F30:F41)</f>
        <v>307907.33000000007</v>
      </c>
      <c r="G42" s="330"/>
      <c r="H42" s="329">
        <f>SUM(H30:H41)</f>
        <v>835017.03</v>
      </c>
      <c r="I42" s="329">
        <f>SUM(I30:I41)</f>
        <v>15145.159999999998</v>
      </c>
      <c r="J42" s="329">
        <f>SUM(J30:J41)</f>
        <v>140652.1881</v>
      </c>
      <c r="K42" s="329">
        <f>SUM(K30:K41)</f>
        <v>303667.11</v>
      </c>
      <c r="L42" s="329">
        <f>SUM(L30:L41)</f>
        <v>459464.45810000005</v>
      </c>
      <c r="M42" s="330"/>
      <c r="N42" s="331">
        <f>SUM(N30:N41)</f>
        <v>827652.6</v>
      </c>
      <c r="O42" s="329">
        <f>SUM(O30:O41)</f>
        <v>15169.769999999999</v>
      </c>
      <c r="P42" s="329">
        <f>SUM(P30:P41)</f>
        <v>151607.6305</v>
      </c>
      <c r="Q42" s="329">
        <f>SUM(Q30:Q41)</f>
        <v>288353.36999999994</v>
      </c>
      <c r="R42" s="329">
        <f>SUM(R30:R41)</f>
        <v>455130.77049999998</v>
      </c>
      <c r="S42" s="330"/>
      <c r="T42" s="331">
        <f>SUM(T30:T41)</f>
        <v>774186.72</v>
      </c>
      <c r="U42" s="329">
        <f>SUM(U30:U41)</f>
        <v>11462.08</v>
      </c>
      <c r="V42" s="329">
        <f>SUM(V30:V41)</f>
        <v>271373.72089999996</v>
      </c>
      <c r="W42" s="329">
        <f>SUM(W30:W41)</f>
        <v>365658</v>
      </c>
      <c r="X42" s="329">
        <f>SUM(X30:X41)</f>
        <v>648493.80090000003</v>
      </c>
      <c r="Y42" s="330"/>
    </row>
    <row r="43" spans="1:304" x14ac:dyDescent="0.3">
      <c r="B43" s="339"/>
      <c r="C43" s="339"/>
      <c r="D43" s="339"/>
      <c r="E43" s="339"/>
      <c r="F43" s="341" t="s">
        <v>242</v>
      </c>
      <c r="G43" s="310">
        <f>AVERAGE(G30:G41)</f>
        <v>0.33021666666666666</v>
      </c>
      <c r="H43" s="339"/>
      <c r="I43" s="339"/>
      <c r="J43" s="339"/>
      <c r="K43" s="339"/>
      <c r="L43" s="341" t="s">
        <v>242</v>
      </c>
      <c r="M43" s="310">
        <f>AVERAGE(M30:M41)</f>
        <v>0.53185000000000004</v>
      </c>
      <c r="N43" s="369"/>
      <c r="O43" s="339"/>
      <c r="P43" s="339"/>
      <c r="Q43" s="339"/>
      <c r="R43" s="341" t="s">
        <v>242</v>
      </c>
      <c r="S43" s="310">
        <f>AVERAGE(S30:S41)</f>
        <v>0.61795411573635672</v>
      </c>
      <c r="T43" s="369"/>
      <c r="U43" s="339"/>
      <c r="V43" s="339"/>
      <c r="W43" s="339"/>
      <c r="X43" s="341" t="s">
        <v>242</v>
      </c>
      <c r="Y43" s="310">
        <f>AVERAGE(Y30:Y41)</f>
        <v>0.64329999999999998</v>
      </c>
    </row>
    <row r="44" spans="1:304" x14ac:dyDescent="0.3">
      <c r="B44" s="370"/>
      <c r="C44" s="370"/>
      <c r="D44" s="370"/>
      <c r="E44" s="320"/>
      <c r="F44" s="321"/>
      <c r="G44" s="321"/>
      <c r="H44" s="370"/>
      <c r="I44" s="370"/>
      <c r="J44" s="370"/>
      <c r="K44" s="320"/>
      <c r="L44" s="321"/>
      <c r="M44" s="321"/>
      <c r="N44" s="370"/>
      <c r="O44" s="370"/>
      <c r="P44" s="370"/>
      <c r="Q44" s="320"/>
      <c r="R44" s="321"/>
      <c r="S44" s="321"/>
    </row>
  </sheetData>
  <mergeCells count="8">
    <mergeCell ref="B9:F9"/>
    <mergeCell ref="G9:K9"/>
    <mergeCell ref="L9:P9"/>
    <mergeCell ref="Q9:U9"/>
    <mergeCell ref="B28:G28"/>
    <mergeCell ref="H28:M28"/>
    <mergeCell ref="N28:S28"/>
    <mergeCell ref="T28:Y28"/>
  </mergeCells>
  <pageMargins left="0.7" right="0.7" top="0.75" bottom="0.75" header="0.3" footer="0.3"/>
  <pageSetup orientation="portrait" verticalDpi="0"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3300"/>
  </sheetPr>
  <dimension ref="A1:I106"/>
  <sheetViews>
    <sheetView workbookViewId="0">
      <selection activeCell="F26" sqref="F26"/>
    </sheetView>
  </sheetViews>
  <sheetFormatPr defaultColWidth="9.109375" defaultRowHeight="14.4" x14ac:dyDescent="0.3"/>
  <cols>
    <col min="1" max="1" width="7.88671875" style="16" customWidth="1"/>
    <col min="2" max="2" width="11.6640625" style="16" customWidth="1"/>
    <col min="3" max="9" width="16.33203125" style="16" customWidth="1"/>
    <col min="10" max="16384" width="9.109375" style="16"/>
  </cols>
  <sheetData>
    <row r="1" spans="1:9" x14ac:dyDescent="0.3">
      <c r="A1" s="334" t="s">
        <v>0</v>
      </c>
      <c r="B1" s="334"/>
      <c r="C1" s="333"/>
      <c r="D1" s="333"/>
      <c r="E1" s="333"/>
      <c r="F1" s="333"/>
      <c r="G1" s="333"/>
      <c r="H1" s="333"/>
      <c r="I1" s="333"/>
    </row>
    <row r="2" spans="1:9" x14ac:dyDescent="0.3">
      <c r="A2" s="334" t="s">
        <v>247</v>
      </c>
      <c r="B2" s="334"/>
      <c r="C2" s="333"/>
      <c r="D2" s="333"/>
      <c r="E2" s="333"/>
      <c r="F2" s="333"/>
      <c r="G2" s="333"/>
      <c r="H2" s="333"/>
      <c r="I2" s="333"/>
    </row>
    <row r="3" spans="1:9" x14ac:dyDescent="0.3">
      <c r="A3" s="334" t="s">
        <v>266</v>
      </c>
      <c r="B3" s="334"/>
      <c r="C3" s="333"/>
      <c r="D3" s="333"/>
      <c r="E3" s="333"/>
      <c r="F3" s="333"/>
      <c r="G3" s="333"/>
      <c r="H3" s="333"/>
      <c r="I3" s="333"/>
    </row>
    <row r="4" spans="1:9" x14ac:dyDescent="0.3">
      <c r="A4" s="334" t="s">
        <v>250</v>
      </c>
      <c r="B4" s="336">
        <f ca="1">TODAY()</f>
        <v>42578</v>
      </c>
      <c r="C4" s="333"/>
      <c r="D4" s="333"/>
      <c r="E4" s="333"/>
      <c r="F4" s="332"/>
      <c r="G4" s="333"/>
      <c r="H4" s="333"/>
      <c r="I4" s="333"/>
    </row>
    <row r="5" spans="1:9" x14ac:dyDescent="0.3">
      <c r="A5" s="334"/>
      <c r="B5" s="334"/>
      <c r="C5" s="333"/>
      <c r="D5" s="333"/>
      <c r="E5" s="333"/>
      <c r="F5" s="332"/>
      <c r="G5" s="333"/>
      <c r="H5" s="333"/>
      <c r="I5" s="333"/>
    </row>
    <row r="6" spans="1:9" x14ac:dyDescent="0.3">
      <c r="A6" s="334"/>
      <c r="B6" s="334"/>
      <c r="C6" s="333"/>
      <c r="D6" s="333"/>
      <c r="E6" s="333"/>
      <c r="F6" s="332"/>
      <c r="G6" s="333"/>
      <c r="H6" s="333"/>
      <c r="I6" s="333"/>
    </row>
    <row r="7" spans="1:9" x14ac:dyDescent="0.3">
      <c r="A7" s="334" t="s">
        <v>305</v>
      </c>
      <c r="B7" s="334"/>
      <c r="C7" s="342"/>
      <c r="D7" s="333"/>
      <c r="E7" s="333"/>
      <c r="F7" s="333"/>
      <c r="G7" s="333"/>
      <c r="H7" s="333"/>
      <c r="I7" s="333"/>
    </row>
    <row r="8" spans="1:9" ht="14.4" customHeight="1" x14ac:dyDescent="0.3">
      <c r="A8" s="518" t="s">
        <v>251</v>
      </c>
      <c r="B8" s="358"/>
      <c r="C8" s="373" t="s">
        <v>252</v>
      </c>
      <c r="D8" s="374" t="s">
        <v>253</v>
      </c>
      <c r="E8" s="375" t="s">
        <v>254</v>
      </c>
      <c r="F8" s="376" t="s">
        <v>41</v>
      </c>
      <c r="G8" s="375" t="s">
        <v>49</v>
      </c>
      <c r="H8" s="376" t="s">
        <v>54</v>
      </c>
      <c r="I8" s="375" t="s">
        <v>57</v>
      </c>
    </row>
    <row r="9" spans="1:9" x14ac:dyDescent="0.3">
      <c r="A9" s="518"/>
      <c r="B9" s="359" t="s">
        <v>255</v>
      </c>
      <c r="C9" s="343" t="s">
        <v>256</v>
      </c>
      <c r="D9" s="344" t="s">
        <v>256</v>
      </c>
      <c r="E9" s="343" t="s">
        <v>256</v>
      </c>
      <c r="F9" s="344" t="s">
        <v>256</v>
      </c>
      <c r="G9" s="343" t="s">
        <v>256</v>
      </c>
      <c r="H9" s="344" t="s">
        <v>256</v>
      </c>
      <c r="I9" s="343" t="s">
        <v>256</v>
      </c>
    </row>
    <row r="10" spans="1:9" x14ac:dyDescent="0.3">
      <c r="A10" s="345"/>
      <c r="B10" s="360"/>
      <c r="C10" s="354"/>
      <c r="D10" s="355"/>
      <c r="E10" s="356"/>
      <c r="F10" s="355"/>
      <c r="G10" s="357"/>
      <c r="H10" s="355"/>
      <c r="I10" s="356"/>
    </row>
    <row r="11" spans="1:9" x14ac:dyDescent="0.3">
      <c r="A11" s="352" t="s">
        <v>257</v>
      </c>
      <c r="B11" s="361" t="s">
        <v>259</v>
      </c>
      <c r="C11" s="353">
        <v>5.3464999999999998</v>
      </c>
      <c r="D11" s="348">
        <v>8.1929999999999996</v>
      </c>
      <c r="E11" s="346">
        <v>9.2600000000000002E-2</v>
      </c>
      <c r="F11" s="348">
        <v>0.64329999999999998</v>
      </c>
      <c r="G11" s="346">
        <v>5.4206000000000003</v>
      </c>
      <c r="H11" s="348">
        <v>0.2273</v>
      </c>
      <c r="I11" s="346">
        <v>3.3548</v>
      </c>
    </row>
    <row r="12" spans="1:9" x14ac:dyDescent="0.3">
      <c r="A12" s="352" t="s">
        <v>232</v>
      </c>
      <c r="B12" s="361" t="s">
        <v>259</v>
      </c>
      <c r="C12" s="353">
        <v>5.3464999999999998</v>
      </c>
      <c r="D12" s="348">
        <v>8.1929999999999996</v>
      </c>
      <c r="E12" s="346">
        <v>9.2600000000000002E-2</v>
      </c>
      <c r="F12" s="348">
        <v>0.64329999999999998</v>
      </c>
      <c r="G12" s="346">
        <v>5.4206000000000003</v>
      </c>
      <c r="H12" s="348">
        <v>0.2273</v>
      </c>
      <c r="I12" s="346">
        <v>3.3548</v>
      </c>
    </row>
    <row r="13" spans="1:9" x14ac:dyDescent="0.3">
      <c r="A13" s="352" t="s">
        <v>233</v>
      </c>
      <c r="B13" s="361" t="s">
        <v>259</v>
      </c>
      <c r="C13" s="353">
        <v>5.3464999999999998</v>
      </c>
      <c r="D13" s="348">
        <v>8.1929999999999996</v>
      </c>
      <c r="E13" s="346">
        <v>9.2600000000000002E-2</v>
      </c>
      <c r="F13" s="348">
        <v>0.64329999999999998</v>
      </c>
      <c r="G13" s="346">
        <v>5.4206000000000003</v>
      </c>
      <c r="H13" s="348">
        <v>0.2273</v>
      </c>
      <c r="I13" s="346">
        <v>3.3548</v>
      </c>
    </row>
    <row r="14" spans="1:9" x14ac:dyDescent="0.3">
      <c r="A14" s="352" t="s">
        <v>234</v>
      </c>
      <c r="B14" s="361" t="s">
        <v>259</v>
      </c>
      <c r="C14" s="353">
        <v>5.3464999999999998</v>
      </c>
      <c r="D14" s="348">
        <v>8.1929999999999996</v>
      </c>
      <c r="E14" s="346">
        <v>9.2600000000000002E-2</v>
      </c>
      <c r="F14" s="348">
        <v>0.64329999999999998</v>
      </c>
      <c r="G14" s="346">
        <v>5.4206000000000003</v>
      </c>
      <c r="H14" s="348">
        <v>0.2273</v>
      </c>
      <c r="I14" s="346">
        <v>3.3548</v>
      </c>
    </row>
    <row r="15" spans="1:9" x14ac:dyDescent="0.3">
      <c r="A15" s="352" t="s">
        <v>235</v>
      </c>
      <c r="B15" s="361" t="s">
        <v>259</v>
      </c>
      <c r="C15" s="353">
        <v>5.3464999999999998</v>
      </c>
      <c r="D15" s="348">
        <v>8.1929999999999996</v>
      </c>
      <c r="E15" s="346">
        <v>9.2600000000000002E-2</v>
      </c>
      <c r="F15" s="348">
        <v>0.64329999999999998</v>
      </c>
      <c r="G15" s="346">
        <v>5.4206000000000003</v>
      </c>
      <c r="H15" s="348">
        <v>0.2273</v>
      </c>
      <c r="I15" s="346">
        <v>3.3548</v>
      </c>
    </row>
    <row r="16" spans="1:9" x14ac:dyDescent="0.3">
      <c r="A16" s="352" t="s">
        <v>236</v>
      </c>
      <c r="B16" s="361" t="s">
        <v>259</v>
      </c>
      <c r="C16" s="353">
        <v>5.3464999999999998</v>
      </c>
      <c r="D16" s="348">
        <v>8.1929999999999996</v>
      </c>
      <c r="E16" s="346">
        <v>9.2600000000000002E-2</v>
      </c>
      <c r="F16" s="348">
        <v>0.64329999999999998</v>
      </c>
      <c r="G16" s="346">
        <v>5.4206000000000003</v>
      </c>
      <c r="H16" s="348">
        <v>0.2273</v>
      </c>
      <c r="I16" s="346">
        <v>3.3548</v>
      </c>
    </row>
    <row r="17" spans="1:9" x14ac:dyDescent="0.3">
      <c r="A17" s="352" t="s">
        <v>178</v>
      </c>
      <c r="B17" s="361" t="s">
        <v>306</v>
      </c>
      <c r="C17" s="353">
        <v>5.3464999999999998</v>
      </c>
      <c r="D17" s="348">
        <v>8.1929999999999996</v>
      </c>
      <c r="E17" s="346">
        <v>9.2600000000000002E-2</v>
      </c>
      <c r="F17" s="348">
        <v>0.64329999999999998</v>
      </c>
      <c r="G17" s="346">
        <v>5.4206000000000003</v>
      </c>
      <c r="H17" s="348">
        <v>0.2273</v>
      </c>
      <c r="I17" s="346">
        <v>3.3548</v>
      </c>
    </row>
    <row r="18" spans="1:9" x14ac:dyDescent="0.3">
      <c r="A18" s="352" t="s">
        <v>179</v>
      </c>
      <c r="B18" s="361" t="s">
        <v>306</v>
      </c>
      <c r="C18" s="353">
        <v>5.3464999999999998</v>
      </c>
      <c r="D18" s="348">
        <v>8.1929999999999996</v>
      </c>
      <c r="E18" s="346">
        <v>9.2600000000000002E-2</v>
      </c>
      <c r="F18" s="348">
        <v>0.64329999999999998</v>
      </c>
      <c r="G18" s="346">
        <v>5.4206000000000003</v>
      </c>
      <c r="H18" s="348">
        <v>0.2273</v>
      </c>
      <c r="I18" s="346">
        <v>3.3548</v>
      </c>
    </row>
    <row r="19" spans="1:9" x14ac:dyDescent="0.3">
      <c r="A19" s="352" t="s">
        <v>181</v>
      </c>
      <c r="B19" s="361" t="s">
        <v>306</v>
      </c>
      <c r="C19" s="353">
        <v>5.3464999999999998</v>
      </c>
      <c r="D19" s="348">
        <v>8.1929999999999996</v>
      </c>
      <c r="E19" s="346">
        <v>9.2600000000000002E-2</v>
      </c>
      <c r="F19" s="348">
        <v>0.64329999999999998</v>
      </c>
      <c r="G19" s="346">
        <v>5.4206000000000003</v>
      </c>
      <c r="H19" s="348">
        <v>0.2273</v>
      </c>
      <c r="I19" s="346">
        <v>3.3548</v>
      </c>
    </row>
    <row r="20" spans="1:9" x14ac:dyDescent="0.3">
      <c r="A20" s="352" t="s">
        <v>237</v>
      </c>
      <c r="B20" s="361" t="s">
        <v>306</v>
      </c>
      <c r="C20" s="353">
        <v>5.3464999999999998</v>
      </c>
      <c r="D20" s="348">
        <v>8.1929999999999996</v>
      </c>
      <c r="E20" s="346">
        <v>9.2600000000000002E-2</v>
      </c>
      <c r="F20" s="348">
        <v>0.64329999999999998</v>
      </c>
      <c r="G20" s="346">
        <v>5.4206000000000003</v>
      </c>
      <c r="H20" s="348">
        <v>0.2273</v>
      </c>
      <c r="I20" s="346">
        <v>3.3548</v>
      </c>
    </row>
    <row r="21" spans="1:9" x14ac:dyDescent="0.3">
      <c r="A21" s="352" t="s">
        <v>188</v>
      </c>
      <c r="B21" s="361" t="s">
        <v>306</v>
      </c>
      <c r="C21" s="353">
        <v>5.3464999999999998</v>
      </c>
      <c r="D21" s="348">
        <v>8.1929999999999996</v>
      </c>
      <c r="E21" s="346">
        <v>9.2600000000000002E-2</v>
      </c>
      <c r="F21" s="348">
        <v>0.64329999999999998</v>
      </c>
      <c r="G21" s="346">
        <v>5.4206000000000003</v>
      </c>
      <c r="H21" s="348">
        <v>0.2273</v>
      </c>
      <c r="I21" s="346">
        <v>3.3548</v>
      </c>
    </row>
    <row r="22" spans="1:9" s="377" customFormat="1" x14ac:dyDescent="0.3">
      <c r="A22" s="352" t="s">
        <v>189</v>
      </c>
      <c r="B22" s="361" t="s">
        <v>306</v>
      </c>
      <c r="C22" s="353">
        <v>5.3464999999999998</v>
      </c>
      <c r="D22" s="348">
        <v>8.1929999999999996</v>
      </c>
      <c r="E22" s="346">
        <v>9.2600000000000002E-2</v>
      </c>
      <c r="F22" s="348">
        <v>0.64329999999999998</v>
      </c>
      <c r="G22" s="346">
        <v>5.4206000000000003</v>
      </c>
      <c r="H22" s="348">
        <v>0.2273</v>
      </c>
      <c r="I22" s="346">
        <v>3.3548</v>
      </c>
    </row>
    <row r="23" spans="1:9" x14ac:dyDescent="0.3">
      <c r="A23" s="363"/>
      <c r="B23" s="364"/>
      <c r="C23" s="365"/>
      <c r="D23" s="366"/>
      <c r="E23" s="367"/>
      <c r="F23" s="366"/>
      <c r="G23" s="367"/>
      <c r="H23" s="366"/>
      <c r="I23" s="367"/>
    </row>
    <row r="24" spans="1:9" x14ac:dyDescent="0.3">
      <c r="A24" s="519" t="s">
        <v>260</v>
      </c>
      <c r="B24" s="519"/>
      <c r="C24" s="362">
        <f>AVERAGE(C11:C22)</f>
        <v>5.3464999999999998</v>
      </c>
      <c r="D24" s="362">
        <f t="shared" ref="D24:I24" si="0">AVERAGE(D11:D22)</f>
        <v>8.1929999999999996</v>
      </c>
      <c r="E24" s="362">
        <f t="shared" si="0"/>
        <v>9.2600000000000002E-2</v>
      </c>
      <c r="F24" s="362">
        <f t="shared" si="0"/>
        <v>0.64329999999999998</v>
      </c>
      <c r="G24" s="362">
        <f t="shared" si="0"/>
        <v>5.4206000000000003</v>
      </c>
      <c r="H24" s="362">
        <f t="shared" si="0"/>
        <v>0.22730000000000003</v>
      </c>
      <c r="I24" s="362">
        <f t="shared" si="0"/>
        <v>3.3547999999999996</v>
      </c>
    </row>
    <row r="25" spans="1:9" x14ac:dyDescent="0.3">
      <c r="A25" s="334"/>
      <c r="B25" s="334"/>
      <c r="C25" s="333"/>
      <c r="D25" s="333"/>
      <c r="E25" s="333"/>
      <c r="F25" s="332"/>
      <c r="G25" s="333"/>
      <c r="H25" s="333"/>
      <c r="I25" s="333"/>
    </row>
    <row r="26" spans="1:9" x14ac:dyDescent="0.3">
      <c r="A26" s="334"/>
      <c r="B26" s="334"/>
      <c r="C26" s="333"/>
      <c r="D26" s="333"/>
      <c r="E26" s="333"/>
      <c r="F26" s="332"/>
      <c r="G26" s="333"/>
      <c r="H26" s="333"/>
      <c r="I26" s="333"/>
    </row>
    <row r="27" spans="1:9" x14ac:dyDescent="0.3">
      <c r="A27" s="334" t="s">
        <v>265</v>
      </c>
      <c r="B27" s="334"/>
      <c r="C27" s="342"/>
      <c r="D27" s="333"/>
      <c r="E27" s="333"/>
      <c r="F27" s="333"/>
      <c r="G27" s="333"/>
      <c r="H27" s="333"/>
      <c r="I27" s="333"/>
    </row>
    <row r="28" spans="1:9" ht="14.4" customHeight="1" x14ac:dyDescent="0.3">
      <c r="A28" s="518" t="s">
        <v>251</v>
      </c>
      <c r="B28" s="358"/>
      <c r="C28" s="373" t="s">
        <v>252</v>
      </c>
      <c r="D28" s="374" t="s">
        <v>253</v>
      </c>
      <c r="E28" s="375" t="s">
        <v>254</v>
      </c>
      <c r="F28" s="376" t="s">
        <v>41</v>
      </c>
      <c r="G28" s="375" t="s">
        <v>49</v>
      </c>
      <c r="H28" s="376" t="s">
        <v>54</v>
      </c>
      <c r="I28" s="375" t="s">
        <v>57</v>
      </c>
    </row>
    <row r="29" spans="1:9" x14ac:dyDescent="0.3">
      <c r="A29" s="518"/>
      <c r="B29" s="359" t="s">
        <v>255</v>
      </c>
      <c r="C29" s="343" t="s">
        <v>256</v>
      </c>
      <c r="D29" s="344" t="s">
        <v>256</v>
      </c>
      <c r="E29" s="343" t="s">
        <v>256</v>
      </c>
      <c r="F29" s="344" t="s">
        <v>256</v>
      </c>
      <c r="G29" s="343" t="s">
        <v>256</v>
      </c>
      <c r="H29" s="344" t="s">
        <v>256</v>
      </c>
      <c r="I29" s="343" t="s">
        <v>256</v>
      </c>
    </row>
    <row r="30" spans="1:9" x14ac:dyDescent="0.3">
      <c r="A30" s="345"/>
      <c r="B30" s="360"/>
      <c r="C30" s="354"/>
      <c r="D30" s="355"/>
      <c r="E30" s="356"/>
      <c r="F30" s="355"/>
      <c r="G30" s="357"/>
      <c r="H30" s="355"/>
      <c r="I30" s="356"/>
    </row>
    <row r="31" spans="1:9" x14ac:dyDescent="0.3">
      <c r="A31" s="352" t="s">
        <v>257</v>
      </c>
      <c r="B31" s="361" t="s">
        <v>258</v>
      </c>
      <c r="C31" s="353">
        <v>4.6677</v>
      </c>
      <c r="D31" s="348">
        <v>7.7370000000000001</v>
      </c>
      <c r="E31" s="346">
        <v>0.10290000000000001</v>
      </c>
      <c r="F31" s="348">
        <v>0.59660000000000002</v>
      </c>
      <c r="G31" s="346">
        <v>6.0462999999999996</v>
      </c>
      <c r="H31" s="348">
        <v>0.21010000000000001</v>
      </c>
      <c r="I31" s="346">
        <v>3.3403999999999998</v>
      </c>
    </row>
    <row r="32" spans="1:9" x14ac:dyDescent="0.3">
      <c r="A32" s="352" t="s">
        <v>232</v>
      </c>
      <c r="B32" s="361" t="s">
        <v>258</v>
      </c>
      <c r="C32" s="353">
        <v>4.5453999999999999</v>
      </c>
      <c r="D32" s="348">
        <v>9.8206000000000007</v>
      </c>
      <c r="E32" s="346">
        <v>9.6100000000000005E-2</v>
      </c>
      <c r="F32" s="348">
        <v>0.65539999999999998</v>
      </c>
      <c r="G32" s="346">
        <v>6.4101999999999997</v>
      </c>
      <c r="H32" s="347">
        <v>0.2147</v>
      </c>
      <c r="I32" s="346">
        <v>3.3374999999999999</v>
      </c>
    </row>
    <row r="33" spans="1:9" x14ac:dyDescent="0.3">
      <c r="A33" s="352" t="s">
        <v>233</v>
      </c>
      <c r="B33" s="361" t="s">
        <v>258</v>
      </c>
      <c r="C33" s="353">
        <v>4.4935</v>
      </c>
      <c r="D33" s="348">
        <v>7.1924000000000001</v>
      </c>
      <c r="E33" s="346">
        <v>9.4200000000000006E-2</v>
      </c>
      <c r="F33" s="348">
        <v>0.63939999999999997</v>
      </c>
      <c r="G33" s="346">
        <v>5.3593000000000002</v>
      </c>
      <c r="H33" s="347">
        <v>0.19700000000000001</v>
      </c>
      <c r="I33" s="346">
        <v>3.4510000000000001</v>
      </c>
    </row>
    <row r="34" spans="1:9" x14ac:dyDescent="0.3">
      <c r="A34" s="352" t="s">
        <v>234</v>
      </c>
      <c r="B34" s="361" t="s">
        <v>258</v>
      </c>
      <c r="C34" s="353">
        <v>4.4688999999999997</v>
      </c>
      <c r="D34" s="348">
        <v>6.5377999999999998</v>
      </c>
      <c r="E34" s="346">
        <v>7.7299999999999994E-2</v>
      </c>
      <c r="F34" s="348">
        <v>0.47799999999999998</v>
      </c>
      <c r="G34" s="346">
        <v>3.8254999999999999</v>
      </c>
      <c r="H34" s="348">
        <v>0.2339</v>
      </c>
      <c r="I34" s="346">
        <v>3.3249</v>
      </c>
    </row>
    <row r="35" spans="1:9" x14ac:dyDescent="0.3">
      <c r="A35" s="352" t="s">
        <v>235</v>
      </c>
      <c r="B35" s="361" t="s">
        <v>258</v>
      </c>
      <c r="C35" s="353">
        <v>4.7018000000000004</v>
      </c>
      <c r="D35" s="348">
        <v>6.9775999999999998</v>
      </c>
      <c r="E35" s="346">
        <v>7.3499999999999996E-2</v>
      </c>
      <c r="F35" s="347">
        <v>0.89049999999999996</v>
      </c>
      <c r="G35" s="346">
        <v>4.4172000000000002</v>
      </c>
      <c r="H35" s="347">
        <v>0.22339999999999999</v>
      </c>
      <c r="I35" s="346">
        <v>3.3288000000000002</v>
      </c>
    </row>
    <row r="36" spans="1:9" x14ac:dyDescent="0.3">
      <c r="A36" s="352" t="s">
        <v>236</v>
      </c>
      <c r="B36" s="361" t="s">
        <v>258</v>
      </c>
      <c r="C36" s="353">
        <v>4.1139999999999999</v>
      </c>
      <c r="D36" s="347">
        <v>5.7111999999999998</v>
      </c>
      <c r="E36" s="346">
        <v>6.9400000000000003E-2</v>
      </c>
      <c r="F36" s="348">
        <v>0.80320000000000003</v>
      </c>
      <c r="G36" s="346">
        <v>5.1341999999999999</v>
      </c>
      <c r="H36" s="348">
        <v>0.24129999999999999</v>
      </c>
      <c r="I36" s="346">
        <v>3.2399</v>
      </c>
    </row>
    <row r="37" spans="1:9" x14ac:dyDescent="0.3">
      <c r="A37" s="352" t="s">
        <v>178</v>
      </c>
      <c r="B37" s="361" t="s">
        <v>259</v>
      </c>
      <c r="C37" s="353">
        <v>5.6769999999999996</v>
      </c>
      <c r="D37" s="348">
        <v>7.4710000000000001</v>
      </c>
      <c r="E37" s="346">
        <v>9.2999999999999999E-2</v>
      </c>
      <c r="F37" s="348">
        <v>0.93520000000000003</v>
      </c>
      <c r="G37" s="346">
        <v>6.1558999999999999</v>
      </c>
      <c r="H37" s="348">
        <v>0.24129999999999999</v>
      </c>
      <c r="I37" s="346">
        <v>3.1497999999999999</v>
      </c>
    </row>
    <row r="38" spans="1:9" x14ac:dyDescent="0.3">
      <c r="A38" s="352" t="s">
        <v>179</v>
      </c>
      <c r="B38" s="361" t="s">
        <v>259</v>
      </c>
      <c r="C38" s="353">
        <v>6.2808999999999999</v>
      </c>
      <c r="D38" s="348">
        <v>8.4403000000000006</v>
      </c>
      <c r="E38" s="346">
        <v>9.6199999999999994E-2</v>
      </c>
      <c r="F38" s="348">
        <v>0.55279999999999996</v>
      </c>
      <c r="G38" s="346">
        <v>6.5209000000000001</v>
      </c>
      <c r="H38" s="348">
        <v>0.24759999999999999</v>
      </c>
      <c r="I38" s="346">
        <v>3.2334000000000001</v>
      </c>
    </row>
    <row r="39" spans="1:9" x14ac:dyDescent="0.3">
      <c r="A39" s="352" t="s">
        <v>181</v>
      </c>
      <c r="B39" s="361" t="s">
        <v>259</v>
      </c>
      <c r="C39" s="353">
        <v>6.4836999999999998</v>
      </c>
      <c r="D39" s="347">
        <v>8.7132000000000005</v>
      </c>
      <c r="E39" s="346">
        <v>0.1065</v>
      </c>
      <c r="F39" s="348">
        <v>0.47589999999999999</v>
      </c>
      <c r="G39" s="346">
        <v>4.5930999999999997</v>
      </c>
      <c r="H39" s="348">
        <v>0.3201</v>
      </c>
      <c r="I39" s="346">
        <v>3.2690000000000001</v>
      </c>
    </row>
    <row r="40" spans="1:9" x14ac:dyDescent="0.3">
      <c r="A40" s="352" t="s">
        <v>237</v>
      </c>
      <c r="B40" s="361" t="s">
        <v>259</v>
      </c>
      <c r="C40" s="353">
        <v>5.56</v>
      </c>
      <c r="D40" s="348">
        <v>7.5500999999999996</v>
      </c>
      <c r="E40" s="346">
        <v>7.3499999999999996E-2</v>
      </c>
      <c r="F40" s="348">
        <v>0.44579999999999997</v>
      </c>
      <c r="G40" s="346">
        <v>7.9905999999999997</v>
      </c>
      <c r="H40" s="348">
        <v>0.21290000000000001</v>
      </c>
      <c r="I40" s="346">
        <v>3.1894999999999998</v>
      </c>
    </row>
    <row r="41" spans="1:9" x14ac:dyDescent="0.3">
      <c r="A41" s="352" t="s">
        <v>188</v>
      </c>
      <c r="B41" s="361" t="s">
        <v>259</v>
      </c>
      <c r="C41" s="353">
        <v>5.7424999999999997</v>
      </c>
      <c r="D41" s="348">
        <v>8.1338000000000008</v>
      </c>
      <c r="E41" s="346">
        <v>8.9700000000000002E-2</v>
      </c>
      <c r="F41" s="348">
        <v>0.47599999999999998</v>
      </c>
      <c r="G41" s="346">
        <v>5.2649999999999997</v>
      </c>
      <c r="H41" s="348">
        <v>0.222</v>
      </c>
      <c r="I41" s="346">
        <v>2.8946000000000001</v>
      </c>
    </row>
    <row r="42" spans="1:9" s="377" customFormat="1" x14ac:dyDescent="0.3">
      <c r="A42" s="352" t="s">
        <v>189</v>
      </c>
      <c r="B42" s="361" t="s">
        <v>259</v>
      </c>
      <c r="C42" s="353">
        <v>5.4608999999999996</v>
      </c>
      <c r="D42" s="348">
        <v>8.2652000000000001</v>
      </c>
      <c r="E42" s="346">
        <v>0.104</v>
      </c>
      <c r="F42" s="348">
        <v>0.46660000000000001</v>
      </c>
      <c r="G42" s="346">
        <v>2.6566000000000001</v>
      </c>
      <c r="H42" s="348">
        <v>0.21609999999999999</v>
      </c>
      <c r="I42" s="346">
        <v>3.2292000000000001</v>
      </c>
    </row>
    <row r="43" spans="1:9" x14ac:dyDescent="0.3">
      <c r="A43" s="363"/>
      <c r="B43" s="364"/>
      <c r="C43" s="365"/>
      <c r="D43" s="366"/>
      <c r="E43" s="367"/>
      <c r="F43" s="366"/>
      <c r="G43" s="367"/>
      <c r="H43" s="366"/>
      <c r="I43" s="367"/>
    </row>
    <row r="44" spans="1:9" x14ac:dyDescent="0.3">
      <c r="A44" s="519" t="s">
        <v>260</v>
      </c>
      <c r="B44" s="519"/>
      <c r="C44" s="362">
        <f>AVERAGE(C31:C42)</f>
        <v>5.1830250000000007</v>
      </c>
      <c r="D44" s="362">
        <f t="shared" ref="D44:I44" si="1">AVERAGE(D31:D42)</f>
        <v>7.7125166666666658</v>
      </c>
      <c r="E44" s="362">
        <f t="shared" si="1"/>
        <v>8.969166666666667E-2</v>
      </c>
      <c r="F44" s="362">
        <f t="shared" si="1"/>
        <v>0.61795</v>
      </c>
      <c r="G44" s="362">
        <f t="shared" si="1"/>
        <v>5.3645666666666676</v>
      </c>
      <c r="H44" s="362">
        <f t="shared" si="1"/>
        <v>0.23169999999999999</v>
      </c>
      <c r="I44" s="362">
        <f t="shared" si="1"/>
        <v>3.2489999999999992</v>
      </c>
    </row>
    <row r="45" spans="1:9" x14ac:dyDescent="0.3">
      <c r="A45" s="334"/>
      <c r="B45" s="334"/>
      <c r="C45" s="333"/>
      <c r="D45" s="333"/>
      <c r="E45" s="333"/>
      <c r="F45" s="332"/>
      <c r="G45" s="333"/>
      <c r="H45" s="333"/>
      <c r="I45" s="333"/>
    </row>
    <row r="46" spans="1:9" x14ac:dyDescent="0.3">
      <c r="A46" s="333"/>
      <c r="B46" s="333"/>
      <c r="C46" s="333"/>
      <c r="D46" s="333"/>
      <c r="E46" s="333"/>
      <c r="F46" s="332"/>
      <c r="G46" s="333"/>
      <c r="H46" s="333"/>
      <c r="I46" s="333"/>
    </row>
    <row r="47" spans="1:9" x14ac:dyDescent="0.3">
      <c r="A47" s="334" t="s">
        <v>264</v>
      </c>
      <c r="B47" s="334"/>
      <c r="C47" s="342"/>
      <c r="D47" s="333"/>
      <c r="E47" s="333"/>
      <c r="F47" s="333"/>
      <c r="G47" s="333"/>
      <c r="H47" s="333"/>
      <c r="I47" s="333"/>
    </row>
    <row r="48" spans="1:9" ht="14.4" customHeight="1" x14ac:dyDescent="0.3">
      <c r="A48" s="518" t="s">
        <v>251</v>
      </c>
      <c r="B48" s="358"/>
      <c r="C48" s="373" t="s">
        <v>252</v>
      </c>
      <c r="D48" s="374" t="s">
        <v>253</v>
      </c>
      <c r="E48" s="375" t="s">
        <v>254</v>
      </c>
      <c r="F48" s="376" t="s">
        <v>41</v>
      </c>
      <c r="G48" s="375" t="s">
        <v>49</v>
      </c>
      <c r="H48" s="376" t="s">
        <v>54</v>
      </c>
      <c r="I48" s="375" t="s">
        <v>57</v>
      </c>
    </row>
    <row r="49" spans="1:9" x14ac:dyDescent="0.3">
      <c r="A49" s="518"/>
      <c r="B49" s="359" t="s">
        <v>255</v>
      </c>
      <c r="C49" s="343" t="s">
        <v>256</v>
      </c>
      <c r="D49" s="344" t="s">
        <v>256</v>
      </c>
      <c r="E49" s="343" t="s">
        <v>256</v>
      </c>
      <c r="F49" s="344" t="s">
        <v>256</v>
      </c>
      <c r="G49" s="343" t="s">
        <v>256</v>
      </c>
      <c r="H49" s="344" t="s">
        <v>256</v>
      </c>
      <c r="I49" s="343" t="s">
        <v>256</v>
      </c>
    </row>
    <row r="50" spans="1:9" x14ac:dyDescent="0.3">
      <c r="A50" s="345"/>
      <c r="B50" s="360"/>
      <c r="C50" s="354"/>
      <c r="D50" s="355"/>
      <c r="E50" s="356"/>
      <c r="F50" s="355"/>
      <c r="G50" s="357"/>
      <c r="H50" s="355"/>
      <c r="I50" s="356"/>
    </row>
    <row r="51" spans="1:9" x14ac:dyDescent="0.3">
      <c r="A51" s="352" t="s">
        <v>257</v>
      </c>
      <c r="B51" s="361" t="s">
        <v>261</v>
      </c>
      <c r="C51" s="353">
        <v>5.2676999999999996</v>
      </c>
      <c r="D51" s="348">
        <v>8.0579000000000001</v>
      </c>
      <c r="E51" s="346">
        <v>0.1038</v>
      </c>
      <c r="F51" s="348">
        <v>0.65529999999999999</v>
      </c>
      <c r="G51" s="346">
        <v>3.5068000000000001</v>
      </c>
      <c r="H51" s="348">
        <v>0.19819999999999999</v>
      </c>
      <c r="I51" s="346">
        <v>3.8887</v>
      </c>
    </row>
    <row r="52" spans="1:9" x14ac:dyDescent="0.3">
      <c r="A52" s="352" t="s">
        <v>232</v>
      </c>
      <c r="B52" s="361" t="s">
        <v>261</v>
      </c>
      <c r="C52" s="353">
        <v>5.1574999999999998</v>
      </c>
      <c r="D52" s="348">
        <v>7.8792999999999997</v>
      </c>
      <c r="E52" s="346">
        <v>0.1065</v>
      </c>
      <c r="F52" s="348">
        <v>0.58679999999999999</v>
      </c>
      <c r="G52" s="346">
        <v>5.0655000000000001</v>
      </c>
      <c r="H52" s="347">
        <v>0.1585</v>
      </c>
      <c r="I52" s="346">
        <v>3.7631000000000001</v>
      </c>
    </row>
    <row r="53" spans="1:9" x14ac:dyDescent="0.3">
      <c r="A53" s="352" t="s">
        <v>233</v>
      </c>
      <c r="B53" s="361" t="s">
        <v>261</v>
      </c>
      <c r="C53" s="353">
        <v>3.7456999999999998</v>
      </c>
      <c r="D53" s="348">
        <v>6.1173999999999999</v>
      </c>
      <c r="E53" s="346">
        <v>9.9500000000000005E-2</v>
      </c>
      <c r="F53" s="348">
        <v>0.56859999999999999</v>
      </c>
      <c r="G53" s="346">
        <v>3.5863999999999998</v>
      </c>
      <c r="H53" s="347">
        <v>0.22090000000000001</v>
      </c>
      <c r="I53" s="346">
        <v>3.6488999999999998</v>
      </c>
    </row>
    <row r="54" spans="1:9" x14ac:dyDescent="0.3">
      <c r="A54" s="352" t="s">
        <v>234</v>
      </c>
      <c r="B54" s="361" t="s">
        <v>261</v>
      </c>
      <c r="C54" s="353">
        <v>3.9007999999999998</v>
      </c>
      <c r="D54" s="348">
        <v>6.0628000000000002</v>
      </c>
      <c r="E54" s="346">
        <v>8.0199999999999994E-2</v>
      </c>
      <c r="F54" s="348">
        <v>0.5071</v>
      </c>
      <c r="G54" s="346">
        <v>4.6989999999999998</v>
      </c>
      <c r="H54" s="348">
        <v>0.1709</v>
      </c>
      <c r="I54" s="346">
        <v>3.7519</v>
      </c>
    </row>
    <row r="55" spans="1:9" x14ac:dyDescent="0.3">
      <c r="A55" s="352" t="s">
        <v>235</v>
      </c>
      <c r="B55" s="361" t="s">
        <v>261</v>
      </c>
      <c r="C55" s="353">
        <v>4.5284000000000004</v>
      </c>
      <c r="D55" s="348">
        <v>6.1718000000000002</v>
      </c>
      <c r="E55" s="346">
        <v>7.6700000000000004E-2</v>
      </c>
      <c r="F55" s="347">
        <v>0.41060000000000002</v>
      </c>
      <c r="G55" s="346">
        <v>5.4016000000000002</v>
      </c>
      <c r="H55" s="347">
        <v>0.15970000000000001</v>
      </c>
      <c r="I55" s="346">
        <v>3.7267999999999999</v>
      </c>
    </row>
    <row r="56" spans="1:9" x14ac:dyDescent="0.3">
      <c r="A56" s="352" t="s">
        <v>236</v>
      </c>
      <c r="B56" s="361" t="s">
        <v>261</v>
      </c>
      <c r="C56" s="353">
        <v>4.8766999999999996</v>
      </c>
      <c r="D56" s="348">
        <v>6.5303000000000004</v>
      </c>
      <c r="E56" s="346">
        <v>7.7100000000000002E-2</v>
      </c>
      <c r="F56" s="348">
        <v>0.4526</v>
      </c>
      <c r="G56" s="346">
        <v>5.6696</v>
      </c>
      <c r="H56" s="348">
        <v>0.1749</v>
      </c>
      <c r="I56" s="346">
        <v>3.8479000000000001</v>
      </c>
    </row>
    <row r="57" spans="1:9" x14ac:dyDescent="0.3">
      <c r="A57" s="352" t="s">
        <v>178</v>
      </c>
      <c r="B57" s="361" t="s">
        <v>258</v>
      </c>
      <c r="C57" s="353">
        <v>4.4896000000000003</v>
      </c>
      <c r="D57" s="348">
        <v>5.9805999999999999</v>
      </c>
      <c r="E57" s="346">
        <v>7.4499999999999997E-2</v>
      </c>
      <c r="F57" s="348">
        <v>0.51570000000000005</v>
      </c>
      <c r="G57" s="346">
        <v>5.4329999999999998</v>
      </c>
      <c r="H57" s="348">
        <v>0.2271</v>
      </c>
      <c r="I57" s="346">
        <v>3.3650000000000002</v>
      </c>
    </row>
    <row r="58" spans="1:9" x14ac:dyDescent="0.3">
      <c r="A58" s="352" t="s">
        <v>179</v>
      </c>
      <c r="B58" s="361" t="s">
        <v>258</v>
      </c>
      <c r="C58" s="353">
        <v>4.4804000000000004</v>
      </c>
      <c r="D58" s="348">
        <v>6.1542000000000003</v>
      </c>
      <c r="E58" s="346">
        <v>8.0399999999999999E-2</v>
      </c>
      <c r="F58" s="348">
        <v>0.63549999999999995</v>
      </c>
      <c r="G58" s="346">
        <v>5.1947999999999999</v>
      </c>
      <c r="H58" s="348">
        <v>0.26790000000000003</v>
      </c>
      <c r="I58" s="346">
        <v>3.5322</v>
      </c>
    </row>
    <row r="59" spans="1:9" x14ac:dyDescent="0.3">
      <c r="A59" s="352" t="s">
        <v>181</v>
      </c>
      <c r="B59" s="361" t="s">
        <v>258</v>
      </c>
      <c r="C59" s="353">
        <v>4.4226999999999999</v>
      </c>
      <c r="D59" s="347">
        <v>6.0065</v>
      </c>
      <c r="E59" s="346">
        <v>7.5499999999999998E-2</v>
      </c>
      <c r="F59" s="348">
        <v>0.50509999999999999</v>
      </c>
      <c r="G59" s="346">
        <v>5.0946999999999996</v>
      </c>
      <c r="H59" s="348">
        <v>0.2152</v>
      </c>
      <c r="I59" s="346">
        <v>3.7787999999999999</v>
      </c>
    </row>
    <row r="60" spans="1:9" x14ac:dyDescent="0.3">
      <c r="A60" s="352" t="s">
        <v>237</v>
      </c>
      <c r="B60" s="361" t="s">
        <v>258</v>
      </c>
      <c r="C60" s="353">
        <v>4.9660000000000002</v>
      </c>
      <c r="D60" s="348">
        <v>7.1028000000000002</v>
      </c>
      <c r="E60" s="346">
        <v>7.5200000000000003E-2</v>
      </c>
      <c r="F60" s="348">
        <v>0.40489999999999998</v>
      </c>
      <c r="G60" s="346">
        <v>5.3433999999999999</v>
      </c>
      <c r="H60" s="348">
        <v>0.19450000000000001</v>
      </c>
      <c r="I60" s="346">
        <v>3.7313999999999998</v>
      </c>
    </row>
    <row r="61" spans="1:9" x14ac:dyDescent="0.3">
      <c r="A61" s="352" t="s">
        <v>188</v>
      </c>
      <c r="B61" s="361" t="s">
        <v>258</v>
      </c>
      <c r="C61" s="353">
        <v>5.0865</v>
      </c>
      <c r="D61" s="348">
        <v>7.0693999999999999</v>
      </c>
      <c r="E61" s="346">
        <v>8.0399999999999999E-2</v>
      </c>
      <c r="F61" s="348">
        <v>0.52959999999999996</v>
      </c>
      <c r="G61" s="346">
        <v>3.5680000000000001</v>
      </c>
      <c r="H61" s="348">
        <v>0.17280000000000001</v>
      </c>
      <c r="I61" s="346">
        <v>3.7458999999999998</v>
      </c>
    </row>
    <row r="62" spans="1:9" s="377" customFormat="1" x14ac:dyDescent="0.3">
      <c r="A62" s="352" t="s">
        <v>189</v>
      </c>
      <c r="B62" s="361" t="s">
        <v>258</v>
      </c>
      <c r="C62" s="353">
        <v>5.0941999999999998</v>
      </c>
      <c r="D62" s="348">
        <v>7.8075000000000001</v>
      </c>
      <c r="E62" s="346">
        <v>9.8400000000000001E-2</v>
      </c>
      <c r="F62" s="348">
        <v>0.61040000000000005</v>
      </c>
      <c r="G62" s="346">
        <v>5.6902999999999997</v>
      </c>
      <c r="H62" s="348">
        <v>0.1739</v>
      </c>
      <c r="I62" s="346">
        <v>3.7576000000000001</v>
      </c>
    </row>
    <row r="63" spans="1:9" x14ac:dyDescent="0.3">
      <c r="A63" s="363"/>
      <c r="B63" s="364"/>
      <c r="C63" s="365"/>
      <c r="D63" s="366"/>
      <c r="E63" s="367"/>
      <c r="F63" s="366"/>
      <c r="G63" s="367"/>
      <c r="H63" s="366"/>
      <c r="I63" s="367"/>
    </row>
    <row r="64" spans="1:9" x14ac:dyDescent="0.3">
      <c r="A64" s="519" t="s">
        <v>260</v>
      </c>
      <c r="B64" s="519"/>
      <c r="C64" s="362">
        <f>AVERAGE(C51:C62)</f>
        <v>4.6680166666666674</v>
      </c>
      <c r="D64" s="362">
        <f t="shared" ref="D64:I64" si="2">AVERAGE(D51:D62)</f>
        <v>6.7450416666666682</v>
      </c>
      <c r="E64" s="362">
        <f>AVERAGE(E51:E62)</f>
        <v>8.5683333333333334E-2</v>
      </c>
      <c r="F64" s="362">
        <f t="shared" si="2"/>
        <v>0.53185000000000004</v>
      </c>
      <c r="G64" s="362">
        <f t="shared" si="2"/>
        <v>4.8544250000000009</v>
      </c>
      <c r="H64" s="362">
        <f t="shared" si="2"/>
        <v>0.1945416666666667</v>
      </c>
      <c r="I64" s="362">
        <f t="shared" si="2"/>
        <v>3.7115166666666668</v>
      </c>
    </row>
    <row r="65" spans="1:9" x14ac:dyDescent="0.3">
      <c r="A65" s="333"/>
      <c r="B65" s="333"/>
      <c r="C65" s="333"/>
      <c r="D65" s="333"/>
      <c r="E65" s="333"/>
      <c r="F65" s="332"/>
      <c r="G65" s="333"/>
      <c r="H65" s="333"/>
      <c r="I65" s="333"/>
    </row>
    <row r="66" spans="1:9" x14ac:dyDescent="0.3">
      <c r="A66" s="333"/>
      <c r="B66" s="333"/>
      <c r="C66" s="333"/>
      <c r="D66" s="333"/>
      <c r="E66" s="333"/>
      <c r="F66" s="332"/>
      <c r="G66" s="333"/>
      <c r="H66" s="333"/>
      <c r="I66" s="333"/>
    </row>
    <row r="67" spans="1:9" x14ac:dyDescent="0.3">
      <c r="A67" s="334" t="s">
        <v>263</v>
      </c>
      <c r="B67" s="334"/>
      <c r="C67" s="342"/>
      <c r="D67" s="333"/>
      <c r="E67" s="333"/>
      <c r="F67" s="333"/>
      <c r="G67" s="333"/>
      <c r="H67" s="333"/>
      <c r="I67" s="333"/>
    </row>
    <row r="68" spans="1:9" ht="14.4" customHeight="1" x14ac:dyDescent="0.3">
      <c r="A68" s="518" t="s">
        <v>251</v>
      </c>
      <c r="B68" s="358"/>
      <c r="C68" s="373" t="s">
        <v>252</v>
      </c>
      <c r="D68" s="374" t="s">
        <v>253</v>
      </c>
      <c r="E68" s="375" t="s">
        <v>254</v>
      </c>
      <c r="F68" s="376" t="s">
        <v>41</v>
      </c>
      <c r="G68" s="375" t="s">
        <v>49</v>
      </c>
      <c r="H68" s="376" t="s">
        <v>54</v>
      </c>
      <c r="I68" s="375" t="s">
        <v>57</v>
      </c>
    </row>
    <row r="69" spans="1:9" x14ac:dyDescent="0.3">
      <c r="A69" s="518"/>
      <c r="B69" s="359" t="s">
        <v>255</v>
      </c>
      <c r="C69" s="343" t="s">
        <v>256</v>
      </c>
      <c r="D69" s="344" t="s">
        <v>256</v>
      </c>
      <c r="E69" s="343" t="s">
        <v>256</v>
      </c>
      <c r="F69" s="344" t="s">
        <v>256</v>
      </c>
      <c r="G69" s="343" t="s">
        <v>256</v>
      </c>
      <c r="H69" s="344" t="s">
        <v>256</v>
      </c>
      <c r="I69" s="343" t="s">
        <v>256</v>
      </c>
    </row>
    <row r="70" spans="1:9" x14ac:dyDescent="0.3">
      <c r="A70" s="345"/>
      <c r="B70" s="360"/>
      <c r="C70" s="354"/>
      <c r="D70" s="355"/>
      <c r="E70" s="356"/>
      <c r="F70" s="355"/>
      <c r="G70" s="357"/>
      <c r="H70" s="355"/>
      <c r="I70" s="356"/>
    </row>
    <row r="71" spans="1:9" x14ac:dyDescent="0.3">
      <c r="A71" s="352" t="s">
        <v>257</v>
      </c>
      <c r="B71" s="361">
        <v>2011</v>
      </c>
      <c r="C71" s="353">
        <v>6.0820999999999996</v>
      </c>
      <c r="D71" s="348">
        <v>10.042400000000001</v>
      </c>
      <c r="E71" s="346">
        <v>0.1149</v>
      </c>
      <c r="F71" s="348">
        <v>0.48089999999999999</v>
      </c>
      <c r="G71" s="346">
        <v>4.3376999999999999</v>
      </c>
      <c r="H71" s="348">
        <v>0.17150000000000001</v>
      </c>
      <c r="I71" s="346">
        <v>4.3053999999999997</v>
      </c>
    </row>
    <row r="72" spans="1:9" x14ac:dyDescent="0.3">
      <c r="A72" s="352" t="s">
        <v>232</v>
      </c>
      <c r="B72" s="361">
        <v>2011</v>
      </c>
      <c r="C72" s="353">
        <v>5.0622999999999996</v>
      </c>
      <c r="D72" s="348">
        <v>9.7529000000000003</v>
      </c>
      <c r="E72" s="346">
        <v>0.1143</v>
      </c>
      <c r="F72" s="348">
        <v>0.44240000000000002</v>
      </c>
      <c r="G72" s="346">
        <v>4.6647999999999996</v>
      </c>
      <c r="H72" s="348">
        <v>0.16850000000000001</v>
      </c>
      <c r="I72" s="346">
        <v>4.0872000000000002</v>
      </c>
    </row>
    <row r="73" spans="1:9" x14ac:dyDescent="0.3">
      <c r="A73" s="352" t="s">
        <v>233</v>
      </c>
      <c r="B73" s="361" t="s">
        <v>262</v>
      </c>
      <c r="C73" s="353">
        <v>4.9214000000000002</v>
      </c>
      <c r="D73" s="348">
        <v>8.3233999999999995</v>
      </c>
      <c r="E73" s="346">
        <v>0.10680000000000001</v>
      </c>
      <c r="F73" s="348">
        <v>0.33279999999999998</v>
      </c>
      <c r="G73" s="346">
        <v>4.0422000000000002</v>
      </c>
      <c r="H73" s="347">
        <v>0.21179999999999999</v>
      </c>
      <c r="I73" s="346">
        <v>3.9257</v>
      </c>
    </row>
    <row r="74" spans="1:9" x14ac:dyDescent="0.3">
      <c r="A74" s="352" t="s">
        <v>234</v>
      </c>
      <c r="B74" s="361" t="s">
        <v>262</v>
      </c>
      <c r="C74" s="353">
        <v>5.2603999999999997</v>
      </c>
      <c r="D74" s="348">
        <v>8.1841000000000008</v>
      </c>
      <c r="E74" s="346">
        <v>9.35E-2</v>
      </c>
      <c r="F74" s="348">
        <v>5.6800000000000003E-2</v>
      </c>
      <c r="G74" s="346">
        <v>4.0721999999999996</v>
      </c>
      <c r="H74" s="348">
        <v>0.16139999999999999</v>
      </c>
      <c r="I74" s="346">
        <v>4.0631000000000004</v>
      </c>
    </row>
    <row r="75" spans="1:9" x14ac:dyDescent="0.3">
      <c r="A75" s="352" t="s">
        <v>235</v>
      </c>
      <c r="B75" s="361" t="s">
        <v>262</v>
      </c>
      <c r="C75" s="353">
        <v>5.3151999999999999</v>
      </c>
      <c r="D75" s="348">
        <v>8.0690000000000008</v>
      </c>
      <c r="E75" s="346">
        <v>8.5099999999999995E-2</v>
      </c>
      <c r="F75" s="347">
        <v>0.2329</v>
      </c>
      <c r="G75" s="346">
        <v>5.2088000000000001</v>
      </c>
      <c r="H75" s="347">
        <v>0.18340000000000001</v>
      </c>
      <c r="I75" s="346">
        <v>4.0757000000000003</v>
      </c>
    </row>
    <row r="76" spans="1:9" x14ac:dyDescent="0.3">
      <c r="A76" s="352" t="s">
        <v>236</v>
      </c>
      <c r="B76" s="361" t="s">
        <v>262</v>
      </c>
      <c r="C76" s="353">
        <v>5.2698</v>
      </c>
      <c r="D76" s="348">
        <v>7.3540999999999999</v>
      </c>
      <c r="E76" s="346">
        <v>8.7900000000000006E-2</v>
      </c>
      <c r="F76" s="348">
        <v>0.53339999999999999</v>
      </c>
      <c r="G76" s="346">
        <v>6.5395000000000003</v>
      </c>
      <c r="H76" s="348">
        <v>0.18210000000000001</v>
      </c>
      <c r="I76" s="346">
        <v>4.1029</v>
      </c>
    </row>
    <row r="77" spans="1:9" x14ac:dyDescent="0.3">
      <c r="A77" s="352" t="s">
        <v>178</v>
      </c>
      <c r="B77" s="361" t="s">
        <v>261</v>
      </c>
      <c r="C77" s="353">
        <v>5.4635999999999996</v>
      </c>
      <c r="D77" s="348">
        <v>7.8525</v>
      </c>
      <c r="E77" s="346">
        <v>9.0800000000000006E-2</v>
      </c>
      <c r="F77" s="348">
        <v>0.17319999999999999</v>
      </c>
      <c r="G77" s="346">
        <v>7.0972999999999997</v>
      </c>
      <c r="H77" s="348">
        <v>0.18410000000000001</v>
      </c>
      <c r="I77" s="346">
        <v>4.1721000000000004</v>
      </c>
    </row>
    <row r="78" spans="1:9" x14ac:dyDescent="0.3">
      <c r="A78" s="352" t="s">
        <v>179</v>
      </c>
      <c r="B78" s="361" t="s">
        <v>261</v>
      </c>
      <c r="C78" s="353">
        <v>5.3715999999999999</v>
      </c>
      <c r="D78" s="348">
        <v>7.9572000000000003</v>
      </c>
      <c r="E78" s="346">
        <v>9.01E-2</v>
      </c>
      <c r="F78" s="348">
        <v>0.34439999999999998</v>
      </c>
      <c r="G78" s="346">
        <v>6.3506999999999998</v>
      </c>
      <c r="H78" s="348">
        <v>0.21510000000000001</v>
      </c>
      <c r="I78" s="346">
        <v>3.9952999999999999</v>
      </c>
    </row>
    <row r="79" spans="1:9" x14ac:dyDescent="0.3">
      <c r="A79" s="352" t="s">
        <v>181</v>
      </c>
      <c r="B79" s="361" t="s">
        <v>261</v>
      </c>
      <c r="C79" s="353">
        <v>5.2274000000000003</v>
      </c>
      <c r="D79" s="348">
        <v>7.4164000000000003</v>
      </c>
      <c r="E79" s="346">
        <v>0.08</v>
      </c>
      <c r="F79" s="348">
        <v>0.40739999999999998</v>
      </c>
      <c r="G79" s="346">
        <v>7.2511999999999999</v>
      </c>
      <c r="H79" s="348">
        <v>0.20119999999999999</v>
      </c>
      <c r="I79" s="346">
        <v>3.827</v>
      </c>
    </row>
    <row r="80" spans="1:9" x14ac:dyDescent="0.3">
      <c r="A80" s="352" t="s">
        <v>237</v>
      </c>
      <c r="B80" s="361" t="s">
        <v>261</v>
      </c>
      <c r="C80" s="353">
        <v>5.1760000000000002</v>
      </c>
      <c r="D80" s="348">
        <v>8.8574999999999999</v>
      </c>
      <c r="E80" s="346">
        <v>8.2100000000000006E-2</v>
      </c>
      <c r="F80" s="348">
        <v>0.34620000000000001</v>
      </c>
      <c r="G80" s="346">
        <v>6.5781999999999998</v>
      </c>
      <c r="H80" s="348">
        <v>0.1711</v>
      </c>
      <c r="I80" s="346">
        <v>3.9969999999999999</v>
      </c>
    </row>
    <row r="81" spans="1:9" x14ac:dyDescent="0.3">
      <c r="A81" s="352" t="s">
        <v>188</v>
      </c>
      <c r="B81" s="361" t="s">
        <v>261</v>
      </c>
      <c r="C81" s="353">
        <v>5.0505000000000004</v>
      </c>
      <c r="D81" s="348">
        <v>8.0793999999999997</v>
      </c>
      <c r="E81" s="346">
        <v>8.0199999999999994E-2</v>
      </c>
      <c r="F81" s="348">
        <v>0.30070000000000002</v>
      </c>
      <c r="G81" s="346">
        <v>3.7959000000000001</v>
      </c>
      <c r="H81" s="348">
        <v>0.16950000000000001</v>
      </c>
      <c r="I81" s="346">
        <v>4.0701999999999998</v>
      </c>
    </row>
    <row r="82" spans="1:9" s="377" customFormat="1" x14ac:dyDescent="0.3">
      <c r="A82" s="352" t="s">
        <v>189</v>
      </c>
      <c r="B82" s="361" t="s">
        <v>261</v>
      </c>
      <c r="C82" s="353">
        <v>5.3036000000000003</v>
      </c>
      <c r="D82" s="348">
        <v>9.2645</v>
      </c>
      <c r="E82" s="346">
        <v>9.6299999999999997E-2</v>
      </c>
      <c r="F82" s="348">
        <v>0.3115</v>
      </c>
      <c r="G82" s="346">
        <v>6.4241999999999999</v>
      </c>
      <c r="H82" s="348">
        <v>0.17050000000000001</v>
      </c>
      <c r="I82" s="346">
        <v>3.9672000000000001</v>
      </c>
    </row>
    <row r="83" spans="1:9" x14ac:dyDescent="0.3">
      <c r="A83" s="363"/>
      <c r="B83" s="364"/>
      <c r="C83" s="365"/>
      <c r="D83" s="366"/>
      <c r="E83" s="367"/>
      <c r="F83" s="366"/>
      <c r="G83" s="367"/>
      <c r="H83" s="366"/>
      <c r="I83" s="367"/>
    </row>
    <row r="84" spans="1:9" x14ac:dyDescent="0.3">
      <c r="A84" s="519" t="s">
        <v>260</v>
      </c>
      <c r="B84" s="519"/>
      <c r="C84" s="362">
        <f>AVERAGE(C71:C82)</f>
        <v>5.2919916666666671</v>
      </c>
      <c r="D84" s="362">
        <f t="shared" ref="D84:I84" si="3">AVERAGE(D71:D82)</f>
        <v>8.429450000000001</v>
      </c>
      <c r="E84" s="362">
        <f t="shared" si="3"/>
        <v>9.3499999999999986E-2</v>
      </c>
      <c r="F84" s="362">
        <f t="shared" si="3"/>
        <v>0.33021666666666666</v>
      </c>
      <c r="G84" s="362">
        <f t="shared" si="3"/>
        <v>5.5302250000000006</v>
      </c>
      <c r="H84" s="362">
        <f t="shared" si="3"/>
        <v>0.18251666666666669</v>
      </c>
      <c r="I84" s="362">
        <f t="shared" si="3"/>
        <v>4.0490666666666666</v>
      </c>
    </row>
    <row r="91" spans="1:9" x14ac:dyDescent="0.3">
      <c r="A91" s="333"/>
      <c r="B91" s="333"/>
      <c r="C91" s="333"/>
      <c r="D91" s="333"/>
      <c r="E91" s="333"/>
    </row>
    <row r="92" spans="1:9" x14ac:dyDescent="0.3">
      <c r="A92" s="333"/>
      <c r="B92" s="333"/>
      <c r="C92" s="333"/>
      <c r="D92" s="333"/>
      <c r="E92" s="333"/>
    </row>
    <row r="93" spans="1:9" x14ac:dyDescent="0.3">
      <c r="A93" s="333"/>
      <c r="B93" s="333"/>
      <c r="C93" s="333"/>
      <c r="D93" s="333"/>
      <c r="E93" s="333"/>
    </row>
    <row r="94" spans="1:9" x14ac:dyDescent="0.3">
      <c r="A94" s="333"/>
      <c r="B94" s="333"/>
      <c r="C94" s="333"/>
      <c r="D94" s="333"/>
      <c r="E94" s="333"/>
    </row>
    <row r="95" spans="1:9" x14ac:dyDescent="0.3">
      <c r="A95" s="333"/>
      <c r="B95" s="333"/>
      <c r="C95" s="333"/>
      <c r="D95" s="333"/>
      <c r="E95" s="333"/>
    </row>
    <row r="96" spans="1:9" x14ac:dyDescent="0.3">
      <c r="A96" s="333"/>
      <c r="B96" s="333"/>
      <c r="C96" s="333"/>
      <c r="D96" s="333"/>
      <c r="E96" s="333"/>
    </row>
    <row r="97" spans="1:5" x14ac:dyDescent="0.3">
      <c r="A97" s="333"/>
      <c r="B97" s="333"/>
      <c r="C97" s="333"/>
      <c r="D97" s="333"/>
      <c r="E97" s="333"/>
    </row>
    <row r="98" spans="1:5" x14ac:dyDescent="0.3">
      <c r="A98" s="333"/>
      <c r="B98" s="333"/>
      <c r="C98" s="333"/>
      <c r="D98" s="333"/>
      <c r="E98" s="333"/>
    </row>
    <row r="99" spans="1:5" x14ac:dyDescent="0.3">
      <c r="A99" s="333"/>
      <c r="B99" s="333"/>
      <c r="C99" s="333"/>
      <c r="D99" s="333"/>
      <c r="E99" s="333"/>
    </row>
    <row r="100" spans="1:5" x14ac:dyDescent="0.3">
      <c r="A100" s="333"/>
      <c r="B100" s="333"/>
      <c r="C100" s="333"/>
      <c r="D100" s="333"/>
      <c r="E100" s="333"/>
    </row>
    <row r="101" spans="1:5" x14ac:dyDescent="0.3">
      <c r="A101" s="333"/>
      <c r="B101" s="333"/>
      <c r="C101" s="333"/>
      <c r="D101" s="333"/>
      <c r="E101" s="333"/>
    </row>
    <row r="102" spans="1:5" x14ac:dyDescent="0.3">
      <c r="A102" s="333"/>
      <c r="B102" s="333"/>
      <c r="C102" s="333"/>
      <c r="D102" s="333"/>
      <c r="E102" s="333"/>
    </row>
    <row r="103" spans="1:5" x14ac:dyDescent="0.3">
      <c r="A103" s="333"/>
      <c r="B103" s="333"/>
      <c r="C103" s="333"/>
      <c r="D103" s="333"/>
      <c r="E103" s="333"/>
    </row>
    <row r="104" spans="1:5" x14ac:dyDescent="0.3">
      <c r="A104" s="333"/>
      <c r="B104" s="333"/>
      <c r="C104" s="333"/>
      <c r="D104" s="333"/>
      <c r="E104" s="333"/>
    </row>
    <row r="105" spans="1:5" x14ac:dyDescent="0.3">
      <c r="A105" s="333"/>
      <c r="B105" s="333"/>
      <c r="C105" s="333"/>
      <c r="D105" s="333"/>
      <c r="E105" s="333"/>
    </row>
    <row r="106" spans="1:5" x14ac:dyDescent="0.3">
      <c r="B106" s="235"/>
    </row>
  </sheetData>
  <mergeCells count="8">
    <mergeCell ref="A68:A69"/>
    <mergeCell ref="A84:B84"/>
    <mergeCell ref="A8:A9"/>
    <mergeCell ref="A24:B24"/>
    <mergeCell ref="A28:A29"/>
    <mergeCell ref="A44:B44"/>
    <mergeCell ref="A48:A49"/>
    <mergeCell ref="A64:B6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33CC"/>
    <pageSetUpPr fitToPage="1"/>
  </sheetPr>
  <dimension ref="A1:K176"/>
  <sheetViews>
    <sheetView tabSelected="1" zoomScale="80" zoomScaleNormal="80" workbookViewId="0">
      <selection activeCell="D137" sqref="D137"/>
    </sheetView>
  </sheetViews>
  <sheetFormatPr defaultColWidth="8.88671875" defaultRowHeight="14.4" x14ac:dyDescent="0.3"/>
  <cols>
    <col min="1" max="1" width="23.33203125" style="84" customWidth="1"/>
    <col min="2" max="2" width="17.5546875" style="84" customWidth="1"/>
    <col min="3" max="3" width="17.6640625" style="84" customWidth="1"/>
    <col min="4" max="4" width="20.6640625" style="84" bestFit="1" customWidth="1"/>
    <col min="5" max="5" width="15.6640625" style="84" customWidth="1"/>
    <col min="6" max="6" width="26" style="84" customWidth="1"/>
    <col min="7" max="7" width="13.88671875" style="84" customWidth="1"/>
    <col min="8" max="8" width="20.44140625" style="84" customWidth="1"/>
    <col min="9" max="9" width="8.88671875" style="84"/>
    <col min="10" max="10" width="9.332031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324</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15"/>
      <c r="E8" s="12">
        <f>+C47</f>
        <v>850</v>
      </c>
      <c r="F8" s="112" t="s">
        <v>174</v>
      </c>
      <c r="G8" s="33">
        <v>3940.18</v>
      </c>
      <c r="H8" s="113" t="s">
        <v>15</v>
      </c>
      <c r="I8" s="113"/>
      <c r="J8" s="114">
        <f>E8*0.9756</f>
        <v>829.26</v>
      </c>
    </row>
    <row r="9" spans="1:11" ht="15.6" x14ac:dyDescent="0.3">
      <c r="A9" s="153" t="s">
        <v>16</v>
      </c>
      <c r="B9" s="115" t="s">
        <v>17</v>
      </c>
      <c r="C9" s="115" t="s">
        <v>13</v>
      </c>
      <c r="D9" s="215"/>
      <c r="E9" s="17">
        <f>+C50</f>
        <v>0</v>
      </c>
      <c r="F9" s="113"/>
      <c r="G9" s="34">
        <v>1064.28</v>
      </c>
      <c r="H9" s="84" t="s">
        <v>18</v>
      </c>
    </row>
    <row r="10" spans="1:11" ht="15.6" x14ac:dyDescent="0.3">
      <c r="A10" s="153" t="s">
        <v>19</v>
      </c>
      <c r="B10" s="115" t="s">
        <v>17</v>
      </c>
      <c r="C10" s="115" t="s">
        <v>13</v>
      </c>
      <c r="D10" s="215"/>
      <c r="E10" s="17">
        <f>+C51</f>
        <v>41260</v>
      </c>
      <c r="F10" s="113"/>
      <c r="G10" s="34">
        <v>119050.14</v>
      </c>
      <c r="H10" s="84" t="s">
        <v>20</v>
      </c>
    </row>
    <row r="11" spans="1:11" ht="15.6" x14ac:dyDescent="0.3">
      <c r="A11" s="153" t="s">
        <v>21</v>
      </c>
      <c r="B11" s="115" t="s">
        <v>17</v>
      </c>
      <c r="C11" s="115" t="s">
        <v>13</v>
      </c>
      <c r="D11" s="215"/>
      <c r="E11" s="17">
        <f>+C52</f>
        <v>10625</v>
      </c>
      <c r="F11" s="113"/>
      <c r="G11" s="34">
        <v>31408.75</v>
      </c>
      <c r="H11" s="84" t="s">
        <v>22</v>
      </c>
    </row>
    <row r="12" spans="1:11" ht="15.6" x14ac:dyDescent="0.3">
      <c r="A12" s="153" t="s">
        <v>23</v>
      </c>
      <c r="B12" s="115" t="s">
        <v>17</v>
      </c>
      <c r="C12" s="115" t="s">
        <v>13</v>
      </c>
      <c r="D12" s="215"/>
      <c r="E12" s="12">
        <f>+C53</f>
        <v>51885</v>
      </c>
      <c r="F12" s="113" t="s">
        <v>24</v>
      </c>
      <c r="G12" s="2"/>
    </row>
    <row r="13" spans="1:11" ht="15.6" x14ac:dyDescent="0.3">
      <c r="A13" s="152" t="s">
        <v>25</v>
      </c>
      <c r="B13" s="112" t="s">
        <v>26</v>
      </c>
      <c r="C13" s="112" t="s">
        <v>27</v>
      </c>
      <c r="D13" s="12">
        <f>+C63</f>
        <v>282940032</v>
      </c>
      <c r="E13" s="208">
        <f>+E63</f>
        <v>264704</v>
      </c>
      <c r="F13" s="113" t="s">
        <v>28</v>
      </c>
      <c r="G13" s="154"/>
      <c r="H13" s="19"/>
      <c r="I13" s="19"/>
      <c r="J13" s="20"/>
      <c r="K13" s="20"/>
    </row>
    <row r="14" spans="1:11" ht="15.6" x14ac:dyDescent="0.3">
      <c r="A14" s="152" t="s">
        <v>29</v>
      </c>
      <c r="B14" s="112" t="s">
        <v>26</v>
      </c>
      <c r="C14" s="112" t="s">
        <v>30</v>
      </c>
      <c r="D14" s="215"/>
      <c r="E14" s="17">
        <f>+B150</f>
        <v>0</v>
      </c>
      <c r="F14" s="113" t="s">
        <v>31</v>
      </c>
      <c r="G14" s="21"/>
      <c r="H14" s="113"/>
      <c r="I14" s="113"/>
      <c r="J14" s="116"/>
      <c r="K14" s="116"/>
    </row>
    <row r="15" spans="1:11" ht="15.6" x14ac:dyDescent="0.3">
      <c r="A15" s="152" t="s">
        <v>32</v>
      </c>
      <c r="B15" s="112" t="s">
        <v>26</v>
      </c>
      <c r="C15" s="112" t="s">
        <v>33</v>
      </c>
      <c r="D15" s="215"/>
      <c r="E15" s="17">
        <f>+B145</f>
        <v>441940</v>
      </c>
      <c r="F15" s="113" t="s">
        <v>31</v>
      </c>
      <c r="G15" s="21"/>
      <c r="H15" s="113"/>
      <c r="I15" s="113"/>
      <c r="J15" s="116"/>
      <c r="K15" s="116"/>
    </row>
    <row r="16" spans="1:11" ht="15.6" x14ac:dyDescent="0.3">
      <c r="A16" s="152" t="s">
        <v>34</v>
      </c>
      <c r="B16" s="112" t="s">
        <v>26</v>
      </c>
      <c r="C16" s="112" t="s">
        <v>35</v>
      </c>
      <c r="D16" s="215"/>
      <c r="E16" s="17">
        <f>+C137</f>
        <v>16016</v>
      </c>
      <c r="F16" s="113" t="s">
        <v>36</v>
      </c>
      <c r="G16" s="23" t="s">
        <v>37</v>
      </c>
      <c r="H16" s="117"/>
      <c r="I16" s="113"/>
      <c r="J16" s="113"/>
      <c r="K16" s="113"/>
    </row>
    <row r="17" spans="1:11" ht="15.6" x14ac:dyDescent="0.3">
      <c r="A17" s="152" t="s">
        <v>38</v>
      </c>
      <c r="B17" s="112" t="s">
        <v>26</v>
      </c>
      <c r="C17" s="112" t="s">
        <v>27</v>
      </c>
      <c r="D17" s="215"/>
      <c r="E17" s="12">
        <f>+C60</f>
        <v>5767156</v>
      </c>
      <c r="F17" s="113"/>
      <c r="G17" s="155">
        <v>245565.17</v>
      </c>
      <c r="H17" s="113" t="s">
        <v>39</v>
      </c>
      <c r="I17" s="156"/>
      <c r="J17" s="156"/>
      <c r="K17" s="156"/>
    </row>
    <row r="18" spans="1:11" ht="15.6" x14ac:dyDescent="0.3">
      <c r="A18" s="152" t="s">
        <v>40</v>
      </c>
      <c r="B18" s="112" t="s">
        <v>41</v>
      </c>
      <c r="C18" s="112" t="s">
        <v>42</v>
      </c>
      <c r="D18" s="215"/>
      <c r="E18" s="12">
        <f>+C87</f>
        <v>111617</v>
      </c>
      <c r="F18" s="113" t="s">
        <v>43</v>
      </c>
      <c r="G18" s="33">
        <v>1587.19</v>
      </c>
      <c r="H18" s="113" t="s">
        <v>44</v>
      </c>
      <c r="I18" s="113"/>
      <c r="J18" s="113"/>
      <c r="K18" s="113"/>
    </row>
    <row r="19" spans="1:11" ht="15.6" x14ac:dyDescent="0.3">
      <c r="A19" s="84" t="s">
        <v>45</v>
      </c>
      <c r="B19" s="115" t="s">
        <v>41</v>
      </c>
      <c r="C19" s="115" t="s">
        <v>42</v>
      </c>
      <c r="D19" s="12">
        <f>+D91</f>
        <v>59200022</v>
      </c>
      <c r="E19" s="215"/>
      <c r="G19" s="2"/>
    </row>
    <row r="20" spans="1:11" ht="15.6" x14ac:dyDescent="0.3">
      <c r="A20" s="84" t="s">
        <v>46</v>
      </c>
      <c r="B20" s="115" t="s">
        <v>41</v>
      </c>
      <c r="C20" s="115" t="s">
        <v>42</v>
      </c>
      <c r="D20" s="215"/>
      <c r="E20" s="12">
        <f>+B107</f>
        <v>1256.27</v>
      </c>
      <c r="G20" s="2"/>
    </row>
    <row r="21" spans="1:11" ht="15.6" x14ac:dyDescent="0.3">
      <c r="A21" s="84" t="s">
        <v>47</v>
      </c>
      <c r="B21" s="115" t="s">
        <v>41</v>
      </c>
      <c r="C21" s="115" t="s">
        <v>42</v>
      </c>
      <c r="D21" s="215"/>
      <c r="E21" s="12">
        <f>+B108</f>
        <v>4.6399999999999997</v>
      </c>
      <c r="G21" s="2"/>
    </row>
    <row r="22" spans="1:11" ht="15.6" x14ac:dyDescent="0.3">
      <c r="A22" s="152" t="s">
        <v>48</v>
      </c>
      <c r="B22" s="112" t="s">
        <v>49</v>
      </c>
      <c r="C22" s="112" t="s">
        <v>50</v>
      </c>
      <c r="D22" s="215"/>
      <c r="E22" s="12">
        <f>+C136</f>
        <v>0</v>
      </c>
      <c r="F22" s="113" t="s">
        <v>36</v>
      </c>
      <c r="G22" s="21" t="s">
        <v>51</v>
      </c>
      <c r="H22" s="113"/>
      <c r="I22" s="113"/>
      <c r="J22" s="113"/>
      <c r="K22" s="113"/>
    </row>
    <row r="23" spans="1:11" ht="15.6" x14ac:dyDescent="0.3">
      <c r="A23" s="152" t="s">
        <v>52</v>
      </c>
      <c r="B23" s="112" t="s">
        <v>49</v>
      </c>
      <c r="C23" s="112" t="s">
        <v>50</v>
      </c>
      <c r="D23" s="215"/>
      <c r="E23" s="12">
        <f>+C137</f>
        <v>16016</v>
      </c>
      <c r="F23" s="113" t="s">
        <v>36</v>
      </c>
      <c r="G23" s="21" t="s">
        <v>37</v>
      </c>
      <c r="H23" s="113"/>
      <c r="I23" s="113"/>
      <c r="J23" s="113"/>
      <c r="K23" s="113"/>
    </row>
    <row r="24" spans="1:11" ht="15.6" x14ac:dyDescent="0.3">
      <c r="A24" s="152" t="s">
        <v>53</v>
      </c>
      <c r="B24" s="112" t="s">
        <v>54</v>
      </c>
      <c r="C24" s="112" t="s">
        <v>55</v>
      </c>
      <c r="D24" s="215"/>
      <c r="E24" s="12">
        <f>+B165</f>
        <v>2115038</v>
      </c>
      <c r="F24" s="113" t="s">
        <v>31</v>
      </c>
      <c r="G24" s="21"/>
      <c r="H24" s="113"/>
      <c r="I24" s="113"/>
      <c r="J24" s="113"/>
      <c r="K24" s="113"/>
    </row>
    <row r="25" spans="1:11" ht="15.6" x14ac:dyDescent="0.3">
      <c r="A25" s="152" t="s">
        <v>56</v>
      </c>
      <c r="B25" s="112" t="s">
        <v>57</v>
      </c>
      <c r="C25" s="112" t="s">
        <v>42</v>
      </c>
      <c r="D25" s="215"/>
      <c r="E25" s="12">
        <f>+C170</f>
        <v>10990</v>
      </c>
      <c r="F25" s="113" t="s">
        <v>58</v>
      </c>
      <c r="G25" s="33">
        <v>29538.61</v>
      </c>
      <c r="H25" s="113" t="s">
        <v>44</v>
      </c>
      <c r="I25" s="113"/>
      <c r="J25" s="113"/>
      <c r="K25" s="113"/>
    </row>
    <row r="26" spans="1:11" ht="15.6" x14ac:dyDescent="0.3">
      <c r="A26" s="152" t="s">
        <v>165</v>
      </c>
      <c r="B26" s="112" t="s">
        <v>57</v>
      </c>
      <c r="C26" s="112" t="s">
        <v>42</v>
      </c>
      <c r="D26" s="215"/>
      <c r="E26" s="12">
        <f>+B174</f>
        <v>2330</v>
      </c>
      <c r="G26" s="2" t="s">
        <v>183</v>
      </c>
    </row>
    <row r="27" spans="1:11" ht="15.6" x14ac:dyDescent="0.3">
      <c r="A27" s="152" t="s">
        <v>186</v>
      </c>
      <c r="B27" s="112" t="s">
        <v>26</v>
      </c>
      <c r="C27" s="112" t="s">
        <v>27</v>
      </c>
      <c r="D27" s="12">
        <f>+E76</f>
        <v>12443688.800000001</v>
      </c>
      <c r="E27" s="225"/>
      <c r="G27" s="2"/>
    </row>
    <row r="28" spans="1:11" ht="15.6" x14ac:dyDescent="0.3">
      <c r="A28" s="152" t="s">
        <v>302</v>
      </c>
      <c r="B28" s="112" t="s">
        <v>41</v>
      </c>
      <c r="C28" s="112" t="s">
        <v>303</v>
      </c>
      <c r="D28" s="12">
        <f>+C117</f>
        <v>11658.5</v>
      </c>
      <c r="E28" s="225"/>
      <c r="G28" s="2"/>
    </row>
    <row r="29" spans="1:11" ht="15.6" x14ac:dyDescent="0.3">
      <c r="A29" s="152" t="s">
        <v>125</v>
      </c>
      <c r="B29" s="112"/>
      <c r="C29" s="112"/>
      <c r="D29" s="12">
        <f>+C122</f>
        <v>31454.151052066001</v>
      </c>
      <c r="E29" s="225"/>
      <c r="G29" s="2"/>
    </row>
    <row r="30" spans="1:11" ht="15.6" x14ac:dyDescent="0.3">
      <c r="A30" s="152" t="s">
        <v>127</v>
      </c>
      <c r="B30" s="112"/>
      <c r="C30" s="112"/>
      <c r="D30" s="12">
        <f>+C123</f>
        <v>4869.7890690634067</v>
      </c>
      <c r="E30" s="225"/>
      <c r="G30" s="2"/>
    </row>
    <row r="31" spans="1:11" ht="15.6" x14ac:dyDescent="0.3">
      <c r="A31" s="152" t="s">
        <v>128</v>
      </c>
      <c r="B31" s="112"/>
      <c r="C31" s="112"/>
      <c r="D31" s="12">
        <f>+C124</f>
        <v>15008.616999256637</v>
      </c>
      <c r="E31" s="225"/>
      <c r="G31" s="2"/>
    </row>
    <row r="32" spans="1:11" ht="15.6" x14ac:dyDescent="0.3">
      <c r="A32" s="152"/>
      <c r="B32" s="112"/>
      <c r="C32" s="112"/>
      <c r="D32" s="383"/>
      <c r="E32" s="225"/>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151523.16999999998</v>
      </c>
      <c r="F37" s="121"/>
    </row>
    <row r="38" spans="1:11" x14ac:dyDescent="0.3">
      <c r="A38" s="119" t="s">
        <v>63</v>
      </c>
      <c r="B38" s="119" t="s">
        <v>63</v>
      </c>
      <c r="C38" s="119"/>
      <c r="D38" s="119"/>
      <c r="E38" s="122">
        <f>+G8</f>
        <v>3940.18</v>
      </c>
      <c r="F38" s="121"/>
    </row>
    <row r="39" spans="1:11" x14ac:dyDescent="0.3">
      <c r="A39" s="119"/>
      <c r="B39" s="119" t="s">
        <v>64</v>
      </c>
      <c r="C39" s="119"/>
      <c r="D39" s="119"/>
      <c r="E39" s="120">
        <f>SUM(E37:E38)</f>
        <v>155463.34999999998</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850</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41260</v>
      </c>
    </row>
    <row r="52" spans="1:11" x14ac:dyDescent="0.3">
      <c r="A52" s="2" t="s">
        <v>74</v>
      </c>
      <c r="B52" s="2" t="s">
        <v>13</v>
      </c>
      <c r="C52" s="45">
        <v>10625</v>
      </c>
    </row>
    <row r="53" spans="1:11" x14ac:dyDescent="0.3">
      <c r="A53" s="2"/>
      <c r="B53" s="2" t="s">
        <v>69</v>
      </c>
      <c r="C53" s="38">
        <f>SUM(C50:C52)</f>
        <v>51885</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x14ac:dyDescent="0.3">
      <c r="A58" s="146" t="s">
        <v>78</v>
      </c>
      <c r="B58" s="124">
        <f>+C58/1000</f>
        <v>3138.6559999999999</v>
      </c>
      <c r="C58" s="40">
        <v>3138656</v>
      </c>
      <c r="D58" s="84" t="s">
        <v>79</v>
      </c>
      <c r="E58" s="41"/>
      <c r="F58" s="458" t="s">
        <v>268</v>
      </c>
      <c r="G58" s="458"/>
      <c r="H58" s="458"/>
      <c r="I58" s="84">
        <f>82371376-79232720</f>
        <v>3138656</v>
      </c>
    </row>
    <row r="59" spans="1:11" x14ac:dyDescent="0.3">
      <c r="A59" s="146" t="s">
        <v>81</v>
      </c>
      <c r="B59" s="125"/>
      <c r="C59" s="34">
        <v>2628500</v>
      </c>
      <c r="D59" s="84" t="s">
        <v>79</v>
      </c>
      <c r="E59" s="41"/>
      <c r="F59" s="84" t="s">
        <v>82</v>
      </c>
    </row>
    <row r="60" spans="1:11" x14ac:dyDescent="0.3">
      <c r="A60" s="146" t="s">
        <v>83</v>
      </c>
      <c r="C60" s="40">
        <f>SUM(C58:C59)</f>
        <v>5767156</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+'May 2016'!C63</f>
        <v>282675328</v>
      </c>
      <c r="C63" s="126">
        <v>282940032</v>
      </c>
      <c r="D63" s="84" t="s">
        <v>79</v>
      </c>
      <c r="E63" s="160">
        <f>+C63-B63</f>
        <v>264704</v>
      </c>
      <c r="F63" s="84" t="s">
        <v>88</v>
      </c>
    </row>
    <row r="66" spans="1:11" x14ac:dyDescent="0.3">
      <c r="A66" s="163" t="s">
        <v>89</v>
      </c>
      <c r="B66" s="127"/>
      <c r="C66" s="127"/>
      <c r="D66" s="125"/>
      <c r="E66" s="125"/>
    </row>
    <row r="67" spans="1:11" x14ac:dyDescent="0.3">
      <c r="A67" s="163" t="s">
        <v>90</v>
      </c>
      <c r="B67" s="127"/>
      <c r="C67" s="127"/>
      <c r="D67" s="125"/>
      <c r="E67" s="125"/>
    </row>
    <row r="68" spans="1:11" x14ac:dyDescent="0.3">
      <c r="A68" s="457" t="s">
        <v>167</v>
      </c>
      <c r="B68" s="457"/>
      <c r="C68" s="127" t="s">
        <v>188</v>
      </c>
      <c r="D68" s="125"/>
      <c r="E68" s="191">
        <f>+'May 2016'!E69</f>
        <v>12333507</v>
      </c>
    </row>
    <row r="69" spans="1:11" x14ac:dyDescent="0.3">
      <c r="A69" s="457" t="s">
        <v>167</v>
      </c>
      <c r="B69" s="457"/>
      <c r="C69" s="211" t="s">
        <v>189</v>
      </c>
      <c r="D69" s="125"/>
      <c r="E69" s="128">
        <v>12448680</v>
      </c>
      <c r="F69" s="84" t="s">
        <v>184</v>
      </c>
    </row>
    <row r="70" spans="1:11" x14ac:dyDescent="0.3">
      <c r="A70" s="457" t="s">
        <v>168</v>
      </c>
      <c r="B70" s="457"/>
      <c r="C70" s="127" t="s">
        <v>189</v>
      </c>
      <c r="D70" s="125"/>
      <c r="E70" s="216">
        <f>+E69-E68</f>
        <v>115173</v>
      </c>
    </row>
    <row r="71" spans="1:11" x14ac:dyDescent="0.3">
      <c r="A71" s="457" t="s">
        <v>169</v>
      </c>
      <c r="B71" s="457"/>
      <c r="C71" s="127" t="s">
        <v>188</v>
      </c>
      <c r="D71" s="125"/>
      <c r="E71" s="192">
        <f>+'May 2016'!E72</f>
        <v>306461</v>
      </c>
    </row>
    <row r="72" spans="1:11" x14ac:dyDescent="0.3">
      <c r="A72" s="457" t="s">
        <v>170</v>
      </c>
      <c r="B72" s="457"/>
      <c r="C72" s="127" t="s">
        <v>189</v>
      </c>
      <c r="D72" s="125"/>
      <c r="E72" s="128">
        <v>311452.2</v>
      </c>
      <c r="F72" s="84" t="s">
        <v>185</v>
      </c>
    </row>
    <row r="73" spans="1:11" x14ac:dyDescent="0.3">
      <c r="A73" s="457" t="s">
        <v>173</v>
      </c>
      <c r="B73" s="457"/>
      <c r="C73" s="127" t="s">
        <v>189</v>
      </c>
      <c r="D73" s="125"/>
      <c r="E73" s="162">
        <f>+E72-E71</f>
        <v>4991.2000000000116</v>
      </c>
    </row>
    <row r="74" spans="1:11" x14ac:dyDescent="0.3">
      <c r="A74" s="448" t="s">
        <v>91</v>
      </c>
      <c r="B74" s="448"/>
      <c r="C74" s="164" t="s">
        <v>189</v>
      </c>
      <c r="D74" s="125"/>
      <c r="E74" s="217">
        <f>+E70-E73</f>
        <v>110181.79999999999</v>
      </c>
    </row>
    <row r="75" spans="1:11" x14ac:dyDescent="0.3">
      <c r="A75" s="127"/>
      <c r="B75" s="127"/>
      <c r="C75" s="127"/>
      <c r="D75" s="125"/>
      <c r="E75" s="125"/>
    </row>
    <row r="76" spans="1:11" x14ac:dyDescent="0.3">
      <c r="A76" s="449" t="s">
        <v>92</v>
      </c>
      <c r="B76" s="449"/>
      <c r="C76" s="166" t="s">
        <v>189</v>
      </c>
      <c r="D76" s="167"/>
      <c r="E76" s="218">
        <f>+E68+E74</f>
        <v>12443688.800000001</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27.6" customHeight="1" x14ac:dyDescent="0.3">
      <c r="A81" s="84" t="s">
        <v>96</v>
      </c>
      <c r="B81" s="129"/>
      <c r="E81" s="458" t="s">
        <v>97</v>
      </c>
      <c r="F81" s="458"/>
      <c r="G81" s="458"/>
      <c r="H81" s="458"/>
      <c r="I81" s="115"/>
      <c r="J81" s="115"/>
    </row>
    <row r="82" spans="1:10" x14ac:dyDescent="0.3">
      <c r="A82" s="130" t="s">
        <v>98</v>
      </c>
      <c r="B82" s="131">
        <v>18600000</v>
      </c>
      <c r="C82" s="84">
        <f>B82/1000</f>
        <v>18600</v>
      </c>
      <c r="D82" s="446"/>
      <c r="E82" s="446">
        <f>724119-706132</f>
        <v>17987</v>
      </c>
    </row>
    <row r="83" spans="1:10" x14ac:dyDescent="0.3">
      <c r="A83" s="130" t="s">
        <v>99</v>
      </c>
      <c r="B83" s="131">
        <v>0</v>
      </c>
      <c r="C83" s="84">
        <f>B83/1000</f>
        <v>0</v>
      </c>
      <c r="D83" s="446"/>
      <c r="E83" s="446">
        <f>474508-474508</f>
        <v>0</v>
      </c>
    </row>
    <row r="84" spans="1:10" x14ac:dyDescent="0.3">
      <c r="A84" s="130" t="s">
        <v>100</v>
      </c>
      <c r="B84" s="131">
        <v>47055000</v>
      </c>
      <c r="C84" s="84">
        <f>B84/1000</f>
        <v>47055</v>
      </c>
      <c r="D84" s="446"/>
      <c r="E84" s="446">
        <f>1520358-1474505</f>
        <v>45853</v>
      </c>
    </row>
    <row r="85" spans="1:10" x14ac:dyDescent="0.3">
      <c r="A85" s="130" t="s">
        <v>101</v>
      </c>
      <c r="B85" s="131">
        <v>45375000</v>
      </c>
      <c r="C85" s="84">
        <f>B85/1000</f>
        <v>45375</v>
      </c>
      <c r="D85" s="446"/>
      <c r="E85" s="446">
        <f>569301-525181</f>
        <v>44120</v>
      </c>
    </row>
    <row r="86" spans="1:10" x14ac:dyDescent="0.3">
      <c r="A86" s="84" t="s">
        <v>102</v>
      </c>
      <c r="B86" s="75">
        <v>587000</v>
      </c>
      <c r="C86" s="132">
        <f t="shared" ref="C86" si="0">B86/1000</f>
        <v>587</v>
      </c>
      <c r="F86" s="84" t="s">
        <v>103</v>
      </c>
    </row>
    <row r="87" spans="1:10" x14ac:dyDescent="0.3">
      <c r="A87" s="84" t="s">
        <v>104</v>
      </c>
      <c r="B87" s="170">
        <f>SUM(B82:B86)</f>
        <v>111617000</v>
      </c>
      <c r="C87" s="133">
        <f>SUM(C81:C86)</f>
        <v>111617</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422">
        <v>2509800</v>
      </c>
      <c r="C91" s="171">
        <f>+'May 2016'!D91</f>
        <v>56690222</v>
      </c>
      <c r="D91" s="100">
        <f>+C91+B91</f>
        <v>59200022</v>
      </c>
      <c r="E91" s="84" t="s">
        <v>108</v>
      </c>
    </row>
    <row r="92" spans="1:10" x14ac:dyDescent="0.3">
      <c r="A92" s="84" t="s">
        <v>109</v>
      </c>
      <c r="B92" s="172" t="s">
        <v>110</v>
      </c>
      <c r="C92" s="172" t="s">
        <v>111</v>
      </c>
      <c r="D92" s="173" t="s">
        <v>112</v>
      </c>
    </row>
    <row r="93" spans="1:10" x14ac:dyDescent="0.3">
      <c r="A93" s="84" t="s">
        <v>45</v>
      </c>
      <c r="B93" s="124">
        <f>+'May 2016'!C93</f>
        <v>11612304</v>
      </c>
      <c r="C93" s="124">
        <v>11862924</v>
      </c>
      <c r="D93" s="190">
        <f>+C93-B93</f>
        <v>250620</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f>+'May 2016'!C96</f>
        <v>19645152</v>
      </c>
      <c r="C96" s="77">
        <v>20589192</v>
      </c>
      <c r="D96" s="134">
        <f>C96-B96</f>
        <v>944040</v>
      </c>
      <c r="E96" s="63"/>
    </row>
    <row r="97" spans="1:6" x14ac:dyDescent="0.3">
      <c r="A97" s="84" t="s">
        <v>117</v>
      </c>
      <c r="B97" s="78">
        <f>+'May 2016'!C97</f>
        <v>16414553</v>
      </c>
      <c r="C97" s="78">
        <v>16654113</v>
      </c>
      <c r="D97" s="134">
        <f t="shared" ref="D97:D99" si="1">C97-B97</f>
        <v>239560</v>
      </c>
      <c r="E97" s="63"/>
      <c r="F97" s="86"/>
    </row>
    <row r="98" spans="1:6" x14ac:dyDescent="0.3">
      <c r="A98" s="84" t="s">
        <v>118</v>
      </c>
      <c r="B98" s="78">
        <f>+'May 2016'!C98</f>
        <v>10408501</v>
      </c>
      <c r="C98" s="78">
        <v>10411431</v>
      </c>
      <c r="D98" s="134">
        <f t="shared" si="1"/>
        <v>2930</v>
      </c>
      <c r="E98" s="63"/>
      <c r="F98" s="86"/>
    </row>
    <row r="99" spans="1:6" ht="15" thickBot="1" x14ac:dyDescent="0.35">
      <c r="A99" s="84" t="s">
        <v>119</v>
      </c>
      <c r="B99" s="79">
        <f>+'May 2016'!C99</f>
        <v>1823964</v>
      </c>
      <c r="C99" s="79">
        <v>1893704</v>
      </c>
      <c r="D99" s="134">
        <f t="shared" si="1"/>
        <v>69740</v>
      </c>
      <c r="E99" s="63"/>
      <c r="F99" s="86"/>
    </row>
    <row r="100" spans="1:6" x14ac:dyDescent="0.3">
      <c r="B100" s="134"/>
      <c r="C100" s="64"/>
      <c r="D100" s="174">
        <f>SUM(D96:D99)</f>
        <v>1256270</v>
      </c>
      <c r="E100" s="175"/>
      <c r="F100" s="158"/>
    </row>
    <row r="101" spans="1:6" ht="15" thickBot="1" x14ac:dyDescent="0.35">
      <c r="B101" s="146" t="s">
        <v>114</v>
      </c>
      <c r="C101" s="146" t="s">
        <v>115</v>
      </c>
      <c r="D101" s="134"/>
    </row>
    <row r="102" spans="1:6" x14ac:dyDescent="0.3">
      <c r="A102" s="84" t="s">
        <v>120</v>
      </c>
      <c r="B102" s="80">
        <f>+'May 2016'!C102</f>
        <v>20739928</v>
      </c>
      <c r="C102" s="80">
        <v>20744568</v>
      </c>
      <c r="D102" s="2">
        <f>C102-B102</f>
        <v>4640</v>
      </c>
    </row>
    <row r="103" spans="1:6" ht="15" thickBot="1" x14ac:dyDescent="0.35">
      <c r="A103" s="84" t="s">
        <v>121</v>
      </c>
      <c r="B103" s="81">
        <f>+'May 2016'!C103</f>
        <v>1116501</v>
      </c>
      <c r="C103" s="81">
        <v>1116501</v>
      </c>
      <c r="D103" s="2">
        <f>C103-B103</f>
        <v>0</v>
      </c>
    </row>
    <row r="104" spans="1:6" x14ac:dyDescent="0.3">
      <c r="D104" s="148">
        <f>SUM(D102:D103)</f>
        <v>4640</v>
      </c>
    </row>
    <row r="105" spans="1:6" x14ac:dyDescent="0.3">
      <c r="D105" s="2"/>
    </row>
    <row r="106" spans="1:6" x14ac:dyDescent="0.3">
      <c r="B106" s="84" t="s">
        <v>42</v>
      </c>
      <c r="D106" s="2"/>
    </row>
    <row r="107" spans="1:6" x14ac:dyDescent="0.3">
      <c r="A107" s="84" t="s">
        <v>46</v>
      </c>
      <c r="B107" s="135">
        <f>D100/1000</f>
        <v>1256.27</v>
      </c>
      <c r="D107" s="2"/>
    </row>
    <row r="108" spans="1:6" x14ac:dyDescent="0.3">
      <c r="A108" s="84" t="s">
        <v>47</v>
      </c>
      <c r="B108" s="136">
        <f>D104/1000</f>
        <v>4.6399999999999997</v>
      </c>
      <c r="D108" s="2"/>
    </row>
    <row r="109" spans="1:6" x14ac:dyDescent="0.3">
      <c r="B109" s="136"/>
      <c r="D109" s="2"/>
    </row>
    <row r="110" spans="1:6" x14ac:dyDescent="0.3">
      <c r="A110" s="84" t="s">
        <v>293</v>
      </c>
      <c r="B110" s="136"/>
      <c r="C110" s="84">
        <f>+'May 2016'!C111</f>
        <v>112078</v>
      </c>
      <c r="D110" s="2" t="s">
        <v>301</v>
      </c>
    </row>
    <row r="111" spans="1:6" x14ac:dyDescent="0.3">
      <c r="A111" s="84" t="s">
        <v>294</v>
      </c>
      <c r="B111" s="136"/>
      <c r="C111" s="132">
        <v>121736</v>
      </c>
      <c r="D111" s="2" t="s">
        <v>301</v>
      </c>
    </row>
    <row r="112" spans="1:6" x14ac:dyDescent="0.3">
      <c r="A112" s="84" t="s">
        <v>295</v>
      </c>
      <c r="B112" s="136"/>
      <c r="C112" s="339">
        <f>+C111-C110</f>
        <v>9658</v>
      </c>
      <c r="D112" s="2"/>
    </row>
    <row r="113" spans="1:11" x14ac:dyDescent="0.3">
      <c r="A113" s="84" t="s">
        <v>296</v>
      </c>
      <c r="B113" s="136"/>
      <c r="C113" s="370">
        <f>+'May 2016'!C114</f>
        <v>90960</v>
      </c>
      <c r="D113" s="2" t="s">
        <v>301</v>
      </c>
    </row>
    <row r="114" spans="1:11" x14ac:dyDescent="0.3">
      <c r="A114" s="84" t="s">
        <v>297</v>
      </c>
      <c r="B114" s="136"/>
      <c r="C114" s="132">
        <v>99700</v>
      </c>
      <c r="D114" s="2" t="s">
        <v>301</v>
      </c>
    </row>
    <row r="115" spans="1:11" x14ac:dyDescent="0.3">
      <c r="A115" s="84" t="s">
        <v>298</v>
      </c>
      <c r="B115" s="136"/>
      <c r="C115" s="370">
        <f>+C114-C113</f>
        <v>8740</v>
      </c>
      <c r="D115" s="2"/>
    </row>
    <row r="116" spans="1:11" ht="15" thickBot="1" x14ac:dyDescent="0.35">
      <c r="A116" s="84" t="s">
        <v>299</v>
      </c>
      <c r="B116" s="136"/>
      <c r="C116" s="84">
        <f>+C112-C115</f>
        <v>918</v>
      </c>
      <c r="D116" s="2"/>
    </row>
    <row r="117" spans="1:11" ht="15" thickBot="1" x14ac:dyDescent="0.35">
      <c r="A117" s="84" t="s">
        <v>300</v>
      </c>
      <c r="B117" s="136"/>
      <c r="C117" s="418">
        <f>+'May 2016'!C117+'June 2016'!C116</f>
        <v>11658.5</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385">
        <f>$C$87*B122</f>
        <v>31454.151052066001</v>
      </c>
      <c r="D122" s="450" t="s">
        <v>176</v>
      </c>
      <c r="E122" s="451"/>
      <c r="F122" s="451"/>
      <c r="G122" s="451"/>
      <c r="H122" s="451"/>
      <c r="I122" s="452"/>
    </row>
    <row r="123" spans="1:11" x14ac:dyDescent="0.3">
      <c r="A123" s="124" t="s">
        <v>127</v>
      </c>
      <c r="B123" s="141">
        <v>4.3629456705191923E-2</v>
      </c>
      <c r="C123" s="386">
        <f>$C$87*B123</f>
        <v>4869.7890690634067</v>
      </c>
      <c r="D123" s="450"/>
      <c r="E123" s="451"/>
      <c r="F123" s="451"/>
      <c r="G123" s="451"/>
      <c r="H123" s="451"/>
      <c r="I123" s="452"/>
    </row>
    <row r="124" spans="1:11" ht="15" thickBot="1" x14ac:dyDescent="0.35">
      <c r="A124" s="124" t="s">
        <v>128</v>
      </c>
      <c r="B124" s="141">
        <v>0.13446533233518762</v>
      </c>
      <c r="C124" s="386">
        <f>$C$87*B124</f>
        <v>15008.616999256637</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0</v>
      </c>
      <c r="E129" s="84" t="s">
        <v>80</v>
      </c>
    </row>
    <row r="130" spans="1:11" x14ac:dyDescent="0.3">
      <c r="A130" s="2" t="s">
        <v>132</v>
      </c>
      <c r="B130" s="2" t="s">
        <v>131</v>
      </c>
      <c r="C130" s="45">
        <v>458000</v>
      </c>
      <c r="E130" s="84" t="s">
        <v>80</v>
      </c>
    </row>
    <row r="131" spans="1:11" x14ac:dyDescent="0.3">
      <c r="A131" s="2" t="s">
        <v>133</v>
      </c>
      <c r="B131" s="2" t="s">
        <v>131</v>
      </c>
      <c r="C131" s="45">
        <v>8587000</v>
      </c>
      <c r="E131" s="84" t="s">
        <v>80</v>
      </c>
    </row>
    <row r="132" spans="1:11" x14ac:dyDescent="0.3">
      <c r="A132" s="2" t="s">
        <v>134</v>
      </c>
      <c r="B132" s="2" t="s">
        <v>131</v>
      </c>
      <c r="C132" s="45">
        <v>6971000</v>
      </c>
      <c r="E132" s="84" t="s">
        <v>80</v>
      </c>
    </row>
    <row r="133" spans="1:11" x14ac:dyDescent="0.3">
      <c r="A133" s="2"/>
      <c r="B133" s="148" t="s">
        <v>69</v>
      </c>
      <c r="C133" s="178">
        <f>SUM(C129:C132)</f>
        <v>16016000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16016000</v>
      </c>
      <c r="C137" s="88">
        <f>B137/1000</f>
        <v>16016</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366168</v>
      </c>
      <c r="C142" s="84" t="s">
        <v>144</v>
      </c>
      <c r="D142" s="125"/>
    </row>
    <row r="143" spans="1:11" x14ac:dyDescent="0.3">
      <c r="A143" s="142" t="s">
        <v>145</v>
      </c>
      <c r="B143" s="143">
        <v>75772</v>
      </c>
      <c r="C143" s="84" t="s">
        <v>144</v>
      </c>
      <c r="D143" s="125"/>
    </row>
    <row r="144" spans="1:11" x14ac:dyDescent="0.3">
      <c r="A144" s="142" t="s">
        <v>146</v>
      </c>
      <c r="B144" s="143">
        <v>0</v>
      </c>
      <c r="C144" s="84" t="s">
        <v>144</v>
      </c>
      <c r="D144" s="125"/>
      <c r="F144" s="144"/>
    </row>
    <row r="145" spans="1:6" x14ac:dyDescent="0.3">
      <c r="A145" s="181" t="s">
        <v>147</v>
      </c>
      <c r="B145" s="182">
        <f>SUM(B142:B144)</f>
        <v>441940</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+'May 2016'!C153</f>
        <v>28140768</v>
      </c>
      <c r="C153" s="124">
        <v>28785524</v>
      </c>
      <c r="D153" s="144">
        <f>C153-B153</f>
        <v>644756</v>
      </c>
      <c r="E153" s="125"/>
      <c r="F153" s="144"/>
    </row>
    <row r="154" spans="1:6" x14ac:dyDescent="0.3">
      <c r="A154" s="145"/>
      <c r="B154" s="125"/>
      <c r="C154" s="84" t="s">
        <v>144</v>
      </c>
      <c r="D154" s="100">
        <f>SUM(D153)</f>
        <v>644756</v>
      </c>
      <c r="E154" s="125"/>
      <c r="F154" s="144"/>
    </row>
    <row r="155" spans="1:6" x14ac:dyDescent="0.3">
      <c r="A155" s="142" t="s">
        <v>156</v>
      </c>
      <c r="B155" s="185" t="s">
        <v>153</v>
      </c>
      <c r="C155" s="186" t="s">
        <v>154</v>
      </c>
      <c r="D155" s="185" t="s">
        <v>155</v>
      </c>
      <c r="F155" s="144"/>
    </row>
    <row r="156" spans="1:6" x14ac:dyDescent="0.3">
      <c r="A156" s="145"/>
      <c r="B156" s="124">
        <f>+'May 2016'!C156</f>
        <v>5059875</v>
      </c>
      <c r="C156" s="124">
        <v>5224133.5</v>
      </c>
      <c r="D156" s="144">
        <f>C156-B156</f>
        <v>164258.5</v>
      </c>
      <c r="E156" s="125"/>
      <c r="F156" s="144"/>
    </row>
    <row r="157" spans="1:6" x14ac:dyDescent="0.3">
      <c r="A157" s="145"/>
      <c r="B157" s="125"/>
      <c r="C157" s="84" t="s">
        <v>144</v>
      </c>
      <c r="D157" s="100">
        <f>D156</f>
        <v>164258.5</v>
      </c>
      <c r="E157" s="125"/>
      <c r="F157" s="144"/>
    </row>
    <row r="158" spans="1:6" x14ac:dyDescent="0.3">
      <c r="A158" s="142" t="s">
        <v>187</v>
      </c>
      <c r="B158" s="185" t="s">
        <v>153</v>
      </c>
      <c r="C158" s="186" t="s">
        <v>154</v>
      </c>
      <c r="D158" s="185" t="s">
        <v>155</v>
      </c>
      <c r="E158" s="125"/>
      <c r="F158" s="144"/>
    </row>
    <row r="159" spans="1:6" x14ac:dyDescent="0.3">
      <c r="A159" s="145"/>
      <c r="B159" s="124">
        <f>+'May 2016'!C159</f>
        <v>5684350</v>
      </c>
      <c r="C159" s="124">
        <v>6548433.5</v>
      </c>
      <c r="D159" s="144">
        <f>C159-B159</f>
        <v>864083.5</v>
      </c>
      <c r="E159" s="125"/>
      <c r="F159" s="144"/>
    </row>
    <row r="160" spans="1:6" x14ac:dyDescent="0.3">
      <c r="A160" s="145"/>
      <c r="B160" s="125"/>
      <c r="C160" s="84" t="s">
        <v>144</v>
      </c>
      <c r="D160" s="100">
        <f>D159</f>
        <v>864083.5</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187">
        <f>D157+D154+D160</f>
        <v>1673098</v>
      </c>
      <c r="C163" s="84" t="s">
        <v>144</v>
      </c>
      <c r="D163" s="125"/>
      <c r="F163" s="144"/>
    </row>
    <row r="164" spans="1:11" x14ac:dyDescent="0.3">
      <c r="F164" s="144"/>
    </row>
    <row r="165" spans="1:11" x14ac:dyDescent="0.3">
      <c r="A165" s="188" t="s">
        <v>158</v>
      </c>
      <c r="B165" s="200">
        <f>B145+B150+B163</f>
        <v>2115038</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10990000</v>
      </c>
      <c r="C170" s="88">
        <f>B170/1000</f>
        <v>10990</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 sqref="C74" name="Month_1"/>
  </protectedRanges>
  <mergeCells count="12">
    <mergeCell ref="D174:I176"/>
    <mergeCell ref="A68:B68"/>
    <mergeCell ref="A69:B69"/>
    <mergeCell ref="A70:B70"/>
    <mergeCell ref="A71:B71"/>
    <mergeCell ref="A72:B72"/>
    <mergeCell ref="A73:B73"/>
    <mergeCell ref="F58:H58"/>
    <mergeCell ref="E81:H81"/>
    <mergeCell ref="A74:B74"/>
    <mergeCell ref="A76:B76"/>
    <mergeCell ref="D122:I124"/>
  </mergeCells>
  <printOptions headings="1" gridLines="1"/>
  <pageMargins left="0.25" right="0.25" top="0.25" bottom="0.25" header="0.3" footer="0.3"/>
  <pageSetup scale="53" fitToHeight="2" orientation="portrait" r:id="rId1"/>
  <rowBreaks count="1" manualBreakCount="1">
    <brk id="78"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FF"/>
    <pageSetUpPr fitToPage="1"/>
  </sheetPr>
  <dimension ref="A1:K176"/>
  <sheetViews>
    <sheetView topLeftCell="A118" zoomScale="80" zoomScaleNormal="80" workbookViewId="0">
      <selection activeCell="C133" sqref="C133"/>
    </sheetView>
  </sheetViews>
  <sheetFormatPr defaultColWidth="8.88671875" defaultRowHeight="14.4" x14ac:dyDescent="0.3"/>
  <cols>
    <col min="1" max="1" width="23.33203125" style="84" customWidth="1"/>
    <col min="2" max="2" width="17.5546875" style="84" customWidth="1"/>
    <col min="3" max="3" width="17.6640625" style="84" customWidth="1"/>
    <col min="4" max="4" width="12.6640625" style="84" customWidth="1"/>
    <col min="5" max="5" width="16.6640625" style="84" customWidth="1"/>
    <col min="6" max="6" width="26" style="84" customWidth="1"/>
    <col min="7" max="7" width="13.88671875" style="84" customWidth="1"/>
    <col min="8" max="8" width="20.44140625" style="84" customWidth="1"/>
    <col min="9" max="9" width="8.88671875" style="84"/>
    <col min="10" max="10" width="10.441406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323</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20"/>
      <c r="E8" s="381">
        <f>+C47</f>
        <v>1568</v>
      </c>
      <c r="F8" s="112" t="s">
        <v>174</v>
      </c>
      <c r="G8" s="33">
        <v>6511.65</v>
      </c>
      <c r="H8" s="113" t="s">
        <v>15</v>
      </c>
      <c r="I8" s="113"/>
      <c r="J8" s="114">
        <f>E8*0.9756</f>
        <v>1529.7408</v>
      </c>
    </row>
    <row r="9" spans="1:11" ht="15.6" x14ac:dyDescent="0.3">
      <c r="A9" s="153" t="s">
        <v>16</v>
      </c>
      <c r="B9" s="115" t="s">
        <v>17</v>
      </c>
      <c r="C9" s="115" t="s">
        <v>13</v>
      </c>
      <c r="D9" s="220"/>
      <c r="E9" s="382">
        <f>+C50</f>
        <v>0</v>
      </c>
      <c r="F9" s="113"/>
      <c r="G9" s="34">
        <v>0</v>
      </c>
      <c r="H9" s="84" t="s">
        <v>18</v>
      </c>
    </row>
    <row r="10" spans="1:11" ht="15.6" x14ac:dyDescent="0.3">
      <c r="A10" s="153" t="s">
        <v>19</v>
      </c>
      <c r="B10" s="115" t="s">
        <v>17</v>
      </c>
      <c r="C10" s="115" t="s">
        <v>13</v>
      </c>
      <c r="D10" s="220"/>
      <c r="E10" s="382">
        <f>+C51</f>
        <v>41487</v>
      </c>
      <c r="F10" s="113"/>
      <c r="G10" s="34">
        <v>119267.63</v>
      </c>
      <c r="H10" s="84" t="s">
        <v>20</v>
      </c>
    </row>
    <row r="11" spans="1:11" ht="15.6" x14ac:dyDescent="0.3">
      <c r="A11" s="153" t="s">
        <v>21</v>
      </c>
      <c r="B11" s="115" t="s">
        <v>17</v>
      </c>
      <c r="C11" s="115" t="s">
        <v>13</v>
      </c>
      <c r="D11" s="220"/>
      <c r="E11" s="382">
        <f>+C52</f>
        <v>8245</v>
      </c>
      <c r="F11" s="113"/>
      <c r="G11" s="34">
        <v>24555.65</v>
      </c>
      <c r="H11" s="84" t="s">
        <v>22</v>
      </c>
    </row>
    <row r="12" spans="1:11" ht="15.6" x14ac:dyDescent="0.3">
      <c r="A12" s="153" t="s">
        <v>23</v>
      </c>
      <c r="B12" s="115" t="s">
        <v>17</v>
      </c>
      <c r="C12" s="115" t="s">
        <v>13</v>
      </c>
      <c r="D12" s="220"/>
      <c r="E12" s="381">
        <f>+C53</f>
        <v>49732</v>
      </c>
      <c r="F12" s="113" t="s">
        <v>24</v>
      </c>
      <c r="G12" s="2"/>
    </row>
    <row r="13" spans="1:11" ht="15.6" x14ac:dyDescent="0.3">
      <c r="A13" s="152" t="s">
        <v>25</v>
      </c>
      <c r="B13" s="112" t="s">
        <v>26</v>
      </c>
      <c r="C13" s="112" t="s">
        <v>27</v>
      </c>
      <c r="D13" s="381">
        <f>+C63</f>
        <v>282675328</v>
      </c>
      <c r="E13" s="221">
        <f>+E63</f>
        <v>242880</v>
      </c>
      <c r="F13" s="113" t="s">
        <v>28</v>
      </c>
      <c r="G13" s="154"/>
      <c r="H13" s="19"/>
      <c r="I13" s="19"/>
      <c r="J13" s="20"/>
      <c r="K13" s="20"/>
    </row>
    <row r="14" spans="1:11" ht="15.6" x14ac:dyDescent="0.3">
      <c r="A14" s="152" t="s">
        <v>29</v>
      </c>
      <c r="B14" s="112" t="s">
        <v>26</v>
      </c>
      <c r="C14" s="112" t="s">
        <v>30</v>
      </c>
      <c r="D14" s="220"/>
      <c r="E14" s="382">
        <f>+B150</f>
        <v>0</v>
      </c>
      <c r="F14" s="113" t="s">
        <v>31</v>
      </c>
      <c r="G14" s="21"/>
      <c r="H14" s="113"/>
      <c r="I14" s="113"/>
      <c r="J14" s="116"/>
      <c r="K14" s="116"/>
    </row>
    <row r="15" spans="1:11" ht="15.6" x14ac:dyDescent="0.3">
      <c r="A15" s="152" t="s">
        <v>32</v>
      </c>
      <c r="B15" s="112" t="s">
        <v>26</v>
      </c>
      <c r="C15" s="112" t="s">
        <v>33</v>
      </c>
      <c r="D15" s="220"/>
      <c r="E15" s="382">
        <f>+B145</f>
        <v>829376</v>
      </c>
      <c r="F15" s="113" t="s">
        <v>31</v>
      </c>
      <c r="G15" s="21"/>
      <c r="H15" s="113"/>
      <c r="I15" s="113"/>
      <c r="J15" s="116"/>
      <c r="K15" s="116"/>
    </row>
    <row r="16" spans="1:11" ht="15.6" x14ac:dyDescent="0.3">
      <c r="A16" s="152" t="s">
        <v>34</v>
      </c>
      <c r="B16" s="112" t="s">
        <v>26</v>
      </c>
      <c r="C16" s="112" t="s">
        <v>35</v>
      </c>
      <c r="D16" s="220"/>
      <c r="E16" s="382">
        <f>+C137</f>
        <v>13742</v>
      </c>
      <c r="F16" s="113" t="s">
        <v>36</v>
      </c>
      <c r="G16" s="23" t="s">
        <v>37</v>
      </c>
      <c r="H16" s="117"/>
      <c r="I16" s="113"/>
      <c r="J16" s="113"/>
      <c r="K16" s="113"/>
    </row>
    <row r="17" spans="1:11" ht="15.6" x14ac:dyDescent="0.3">
      <c r="A17" s="152" t="s">
        <v>38</v>
      </c>
      <c r="B17" s="112" t="s">
        <v>26</v>
      </c>
      <c r="C17" s="112" t="s">
        <v>27</v>
      </c>
      <c r="D17" s="220"/>
      <c r="E17" s="381">
        <f>+C60</f>
        <v>5586391</v>
      </c>
      <c r="F17" s="113"/>
      <c r="G17" s="155">
        <v>157682.98000000001</v>
      </c>
      <c r="H17" s="113" t="s">
        <v>39</v>
      </c>
      <c r="I17" s="156"/>
      <c r="J17" s="156"/>
      <c r="K17" s="156"/>
    </row>
    <row r="18" spans="1:11" ht="15.6" x14ac:dyDescent="0.3">
      <c r="A18" s="152" t="s">
        <v>40</v>
      </c>
      <c r="B18" s="112" t="s">
        <v>41</v>
      </c>
      <c r="C18" s="112" t="s">
        <v>42</v>
      </c>
      <c r="D18" s="220"/>
      <c r="E18" s="381">
        <f>+C87</f>
        <v>91991</v>
      </c>
      <c r="F18" s="113" t="s">
        <v>43</v>
      </c>
      <c r="G18" s="33">
        <v>1108.48</v>
      </c>
      <c r="H18" s="113" t="s">
        <v>44</v>
      </c>
      <c r="I18" s="113"/>
      <c r="J18" s="113"/>
      <c r="K18" s="113"/>
    </row>
    <row r="19" spans="1:11" ht="15.6" x14ac:dyDescent="0.3">
      <c r="A19" s="84" t="s">
        <v>45</v>
      </c>
      <c r="B19" s="115" t="s">
        <v>41</v>
      </c>
      <c r="C19" s="115" t="s">
        <v>42</v>
      </c>
      <c r="D19" s="381">
        <f>+D91</f>
        <v>56690222</v>
      </c>
      <c r="E19" s="220"/>
      <c r="G19" s="2"/>
    </row>
    <row r="20" spans="1:11" ht="15.6" x14ac:dyDescent="0.3">
      <c r="A20" s="84" t="s">
        <v>46</v>
      </c>
      <c r="B20" s="115" t="s">
        <v>41</v>
      </c>
      <c r="C20" s="115" t="s">
        <v>42</v>
      </c>
      <c r="D20" s="220"/>
      <c r="E20" s="381">
        <f>+B107</f>
        <v>1832.28</v>
      </c>
      <c r="G20" s="2"/>
    </row>
    <row r="21" spans="1:11" ht="15.6" x14ac:dyDescent="0.3">
      <c r="A21" s="84" t="s">
        <v>47</v>
      </c>
      <c r="B21" s="115" t="s">
        <v>41</v>
      </c>
      <c r="C21" s="115" t="s">
        <v>42</v>
      </c>
      <c r="D21" s="220"/>
      <c r="E21" s="381">
        <f>+B108</f>
        <v>1.1879999999999999</v>
      </c>
      <c r="G21" s="2"/>
    </row>
    <row r="22" spans="1:11" ht="15.6" x14ac:dyDescent="0.3">
      <c r="A22" s="152" t="s">
        <v>48</v>
      </c>
      <c r="B22" s="112" t="s">
        <v>49</v>
      </c>
      <c r="C22" s="112" t="s">
        <v>50</v>
      </c>
      <c r="D22" s="220"/>
      <c r="E22" s="381">
        <f>+C136</f>
        <v>0</v>
      </c>
      <c r="F22" s="113" t="s">
        <v>36</v>
      </c>
      <c r="G22" s="21" t="s">
        <v>51</v>
      </c>
      <c r="H22" s="113"/>
      <c r="I22" s="113"/>
      <c r="J22" s="113"/>
      <c r="K22" s="113"/>
    </row>
    <row r="23" spans="1:11" ht="15.6" x14ac:dyDescent="0.3">
      <c r="A23" s="152" t="s">
        <v>52</v>
      </c>
      <c r="B23" s="112" t="s">
        <v>49</v>
      </c>
      <c r="C23" s="112" t="s">
        <v>50</v>
      </c>
      <c r="D23" s="220"/>
      <c r="E23" s="381">
        <f>+C137</f>
        <v>13742</v>
      </c>
      <c r="F23" s="113" t="s">
        <v>36</v>
      </c>
      <c r="G23" s="21" t="s">
        <v>37</v>
      </c>
      <c r="H23" s="113"/>
      <c r="I23" s="113"/>
      <c r="J23" s="113"/>
      <c r="K23" s="113"/>
    </row>
    <row r="24" spans="1:11" ht="15.6" x14ac:dyDescent="0.3">
      <c r="A24" s="152" t="s">
        <v>53</v>
      </c>
      <c r="B24" s="112" t="s">
        <v>54</v>
      </c>
      <c r="C24" s="112" t="s">
        <v>55</v>
      </c>
      <c r="D24" s="220"/>
      <c r="E24" s="381">
        <f>+B165</f>
        <v>1449609</v>
      </c>
      <c r="F24" s="113" t="s">
        <v>31</v>
      </c>
      <c r="G24" s="21"/>
      <c r="H24" s="113"/>
      <c r="I24" s="113"/>
      <c r="J24" s="113"/>
      <c r="K24" s="113"/>
    </row>
    <row r="25" spans="1:11" ht="15.6" x14ac:dyDescent="0.3">
      <c r="A25" s="152" t="s">
        <v>56</v>
      </c>
      <c r="B25" s="112" t="s">
        <v>57</v>
      </c>
      <c r="C25" s="112" t="s">
        <v>42</v>
      </c>
      <c r="D25" s="220"/>
      <c r="E25" s="381">
        <f>+C170</f>
        <v>12238</v>
      </c>
      <c r="F25" s="113" t="s">
        <v>58</v>
      </c>
      <c r="G25" s="33">
        <v>32826.660000000003</v>
      </c>
      <c r="H25" s="113" t="s">
        <v>44</v>
      </c>
      <c r="I25" s="113"/>
      <c r="J25" s="113"/>
      <c r="K25" s="113"/>
    </row>
    <row r="26" spans="1:11" ht="15.6" x14ac:dyDescent="0.3">
      <c r="A26" s="152" t="s">
        <v>165</v>
      </c>
      <c r="B26" s="112" t="s">
        <v>57</v>
      </c>
      <c r="C26" s="112" t="s">
        <v>42</v>
      </c>
      <c r="D26" s="220"/>
      <c r="E26" s="381">
        <f>+B174</f>
        <v>2330</v>
      </c>
      <c r="G26" s="2" t="s">
        <v>183</v>
      </c>
    </row>
    <row r="27" spans="1:11" ht="15.6" x14ac:dyDescent="0.3">
      <c r="A27" s="152" t="s">
        <v>186</v>
      </c>
      <c r="B27" s="112" t="s">
        <v>26</v>
      </c>
      <c r="C27" s="112" t="s">
        <v>27</v>
      </c>
      <c r="D27" s="381">
        <f>+E76</f>
        <v>12326798.6</v>
      </c>
      <c r="E27" s="222"/>
      <c r="G27" s="2"/>
    </row>
    <row r="28" spans="1:11" ht="15.6" x14ac:dyDescent="0.3">
      <c r="A28" s="152" t="s">
        <v>302</v>
      </c>
      <c r="B28" s="112" t="s">
        <v>41</v>
      </c>
      <c r="C28" s="112" t="s">
        <v>303</v>
      </c>
      <c r="D28" s="381">
        <f>+C117</f>
        <v>10740.5</v>
      </c>
      <c r="E28" s="222"/>
      <c r="G28" s="2"/>
    </row>
    <row r="29" spans="1:11" ht="15.6" x14ac:dyDescent="0.3">
      <c r="A29" s="152" t="s">
        <v>125</v>
      </c>
      <c r="B29" s="112"/>
      <c r="C29" s="112"/>
      <c r="D29" s="381">
        <f>+C122</f>
        <v>25923.459772531096</v>
      </c>
      <c r="E29" s="222"/>
      <c r="G29" s="2"/>
    </row>
    <row r="30" spans="1:11" ht="15.6" x14ac:dyDescent="0.3">
      <c r="A30" s="152" t="s">
        <v>127</v>
      </c>
      <c r="B30" s="112"/>
      <c r="C30" s="112"/>
      <c r="D30" s="381">
        <f>+C123</f>
        <v>4013.5173517673102</v>
      </c>
      <c r="E30" s="222"/>
      <c r="G30" s="2"/>
    </row>
    <row r="31" spans="1:11" ht="15.6" x14ac:dyDescent="0.3">
      <c r="A31" s="152" t="s">
        <v>128</v>
      </c>
      <c r="B31" s="112"/>
      <c r="C31" s="112"/>
      <c r="D31" s="381">
        <f>+C124</f>
        <v>12369.600386846245</v>
      </c>
      <c r="E31" s="222"/>
      <c r="G31" s="2"/>
    </row>
    <row r="32" spans="1:11" ht="15.6" x14ac:dyDescent="0.3">
      <c r="A32" s="152"/>
      <c r="B32" s="112"/>
      <c r="C32" s="112"/>
      <c r="D32" s="383"/>
      <c r="E32" s="222"/>
      <c r="G32" s="2"/>
    </row>
    <row r="33" spans="1:11" x14ac:dyDescent="0.3">
      <c r="A33" s="152"/>
      <c r="B33" s="112"/>
      <c r="C33" s="112"/>
      <c r="D33"/>
      <c r="E33"/>
      <c r="G33" s="2"/>
    </row>
    <row r="34" spans="1:11" x14ac:dyDescent="0.3">
      <c r="D34"/>
      <c r="E34"/>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143823.28</v>
      </c>
      <c r="F37" s="121"/>
    </row>
    <row r="38" spans="1:11" x14ac:dyDescent="0.3">
      <c r="A38" s="119" t="s">
        <v>63</v>
      </c>
      <c r="B38" s="119" t="s">
        <v>63</v>
      </c>
      <c r="C38" s="119"/>
      <c r="D38" s="119"/>
      <c r="E38" s="122">
        <f>+G8</f>
        <v>6511.65</v>
      </c>
      <c r="F38" s="121"/>
    </row>
    <row r="39" spans="1:11" x14ac:dyDescent="0.3">
      <c r="A39" s="119"/>
      <c r="B39" s="119" t="s">
        <v>64</v>
      </c>
      <c r="C39" s="119"/>
      <c r="D39" s="119"/>
      <c r="E39" s="120">
        <f>SUM(E37:E38)</f>
        <v>150334.93</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1568</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41487</v>
      </c>
    </row>
    <row r="52" spans="1:11" x14ac:dyDescent="0.3">
      <c r="A52" s="2" t="s">
        <v>74</v>
      </c>
      <c r="B52" s="2" t="s">
        <v>13</v>
      </c>
      <c r="C52" s="45">
        <v>8245</v>
      </c>
    </row>
    <row r="53" spans="1:11" x14ac:dyDescent="0.3">
      <c r="A53" s="2"/>
      <c r="B53" s="2" t="s">
        <v>69</v>
      </c>
      <c r="C53" s="38">
        <f>SUM(C50:C52)</f>
        <v>49732</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x14ac:dyDescent="0.3">
      <c r="A58" s="146" t="s">
        <v>78</v>
      </c>
      <c r="B58" s="124">
        <f>+C58/1000</f>
        <v>3273.232</v>
      </c>
      <c r="C58" s="40">
        <f>+I58</f>
        <v>3273232</v>
      </c>
      <c r="D58" s="84" t="s">
        <v>79</v>
      </c>
      <c r="E58" s="41"/>
      <c r="F58" s="458" t="s">
        <v>268</v>
      </c>
      <c r="G58" s="458"/>
      <c r="H58" s="458"/>
      <c r="I58" s="84">
        <f>79232720-75959488</f>
        <v>3273232</v>
      </c>
    </row>
    <row r="59" spans="1:11" x14ac:dyDescent="0.3">
      <c r="A59" s="146" t="s">
        <v>81</v>
      </c>
      <c r="B59" s="125"/>
      <c r="C59" s="34">
        <v>2313159</v>
      </c>
      <c r="D59" s="84" t="s">
        <v>79</v>
      </c>
      <c r="E59" s="41"/>
    </row>
    <row r="60" spans="1:11" x14ac:dyDescent="0.3">
      <c r="A60" s="146" t="s">
        <v>83</v>
      </c>
      <c r="C60" s="40">
        <f>SUM(C58:C59)</f>
        <v>5586391</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+'Apr 2016'!C63</f>
        <v>282432448</v>
      </c>
      <c r="C63" s="126">
        <v>282675328</v>
      </c>
      <c r="D63" s="84" t="s">
        <v>79</v>
      </c>
      <c r="E63" s="160">
        <f>+C63-B63</f>
        <v>242880</v>
      </c>
      <c r="F63" s="84" t="s">
        <v>88</v>
      </c>
    </row>
    <row r="66" spans="1:11" x14ac:dyDescent="0.3">
      <c r="A66" s="163" t="s">
        <v>89</v>
      </c>
      <c r="B66" s="127"/>
      <c r="C66" s="127"/>
      <c r="D66" s="125"/>
      <c r="E66" s="125"/>
    </row>
    <row r="67" spans="1:11" x14ac:dyDescent="0.3">
      <c r="A67" s="163" t="s">
        <v>90</v>
      </c>
      <c r="B67" s="127"/>
      <c r="C67" s="127"/>
      <c r="D67" s="125"/>
      <c r="E67" s="125"/>
    </row>
    <row r="68" spans="1:11" x14ac:dyDescent="0.3">
      <c r="A68" s="457" t="s">
        <v>167</v>
      </c>
      <c r="B68" s="457"/>
      <c r="C68" s="127" t="s">
        <v>182</v>
      </c>
      <c r="D68" s="125"/>
      <c r="E68" s="191">
        <f>+'Apr 2016'!E69</f>
        <v>12210910</v>
      </c>
    </row>
    <row r="69" spans="1:11" x14ac:dyDescent="0.3">
      <c r="A69" s="457" t="s">
        <v>167</v>
      </c>
      <c r="B69" s="457"/>
      <c r="C69" s="211" t="s">
        <v>188</v>
      </c>
      <c r="D69" s="125"/>
      <c r="E69" s="128">
        <v>12333507</v>
      </c>
      <c r="F69" s="84" t="s">
        <v>184</v>
      </c>
    </row>
    <row r="70" spans="1:11" x14ac:dyDescent="0.3">
      <c r="A70" s="457" t="s">
        <v>168</v>
      </c>
      <c r="B70" s="457"/>
      <c r="C70" s="127" t="s">
        <v>188</v>
      </c>
      <c r="D70" s="125"/>
      <c r="E70" s="216">
        <f>+E69-E68</f>
        <v>122597</v>
      </c>
    </row>
    <row r="71" spans="1:11" x14ac:dyDescent="0.3">
      <c r="A71" s="457" t="s">
        <v>169</v>
      </c>
      <c r="B71" s="457"/>
      <c r="C71" s="127" t="s">
        <v>182</v>
      </c>
      <c r="D71" s="125"/>
      <c r="E71" s="192">
        <f>+'Apr 2016'!E72</f>
        <v>299752.59999999998</v>
      </c>
    </row>
    <row r="72" spans="1:11" x14ac:dyDescent="0.3">
      <c r="A72" s="457" t="s">
        <v>170</v>
      </c>
      <c r="B72" s="457"/>
      <c r="C72" s="127" t="s">
        <v>188</v>
      </c>
      <c r="D72" s="125"/>
      <c r="E72" s="128">
        <v>306461</v>
      </c>
      <c r="F72" s="84" t="s">
        <v>185</v>
      </c>
    </row>
    <row r="73" spans="1:11" x14ac:dyDescent="0.3">
      <c r="A73" s="457" t="s">
        <v>173</v>
      </c>
      <c r="B73" s="457"/>
      <c r="C73" s="127" t="s">
        <v>188</v>
      </c>
      <c r="D73" s="125"/>
      <c r="E73" s="162">
        <f>+E72-E71</f>
        <v>6708.4000000000233</v>
      </c>
    </row>
    <row r="74" spans="1:11" x14ac:dyDescent="0.3">
      <c r="A74" s="448" t="s">
        <v>91</v>
      </c>
      <c r="B74" s="448"/>
      <c r="C74" s="164" t="s">
        <v>188</v>
      </c>
      <c r="D74" s="125"/>
      <c r="E74" s="165">
        <f>+E70-E73</f>
        <v>115888.59999999998</v>
      </c>
    </row>
    <row r="75" spans="1:11" x14ac:dyDescent="0.3">
      <c r="A75" s="127"/>
      <c r="B75" s="127"/>
      <c r="C75" s="127"/>
      <c r="D75" s="125"/>
      <c r="E75" s="125"/>
    </row>
    <row r="76" spans="1:11" x14ac:dyDescent="0.3">
      <c r="A76" s="449" t="s">
        <v>92</v>
      </c>
      <c r="B76" s="449"/>
      <c r="C76" s="166" t="str">
        <f>+C74</f>
        <v>May</v>
      </c>
      <c r="D76" s="167"/>
      <c r="E76" s="219">
        <f>+E68+E74</f>
        <v>12326798.6</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27.6" customHeight="1" x14ac:dyDescent="0.3">
      <c r="A81" s="84" t="s">
        <v>96</v>
      </c>
      <c r="B81" s="129"/>
      <c r="E81" s="458" t="s">
        <v>97</v>
      </c>
      <c r="F81" s="458"/>
      <c r="G81" s="458"/>
      <c r="H81" s="458"/>
      <c r="I81" s="458"/>
      <c r="J81" s="458"/>
    </row>
    <row r="82" spans="1:10" x14ac:dyDescent="0.3">
      <c r="A82" s="130" t="s">
        <v>98</v>
      </c>
      <c r="B82" s="131">
        <v>30142000</v>
      </c>
      <c r="C82" s="84">
        <f>B82/1000</f>
        <v>30142</v>
      </c>
      <c r="E82" s="446">
        <f>705128-676075</f>
        <v>29053</v>
      </c>
    </row>
    <row r="83" spans="1:10" x14ac:dyDescent="0.3">
      <c r="A83" s="130" t="s">
        <v>99</v>
      </c>
      <c r="B83" s="131">
        <v>3000</v>
      </c>
      <c r="C83" s="84">
        <f>B83/1000</f>
        <v>3</v>
      </c>
      <c r="E83" s="446">
        <f>474508-474508</f>
        <v>0</v>
      </c>
    </row>
    <row r="84" spans="1:10" x14ac:dyDescent="0.3">
      <c r="A84" s="130" t="s">
        <v>100</v>
      </c>
      <c r="B84" s="131">
        <v>33000</v>
      </c>
      <c r="C84" s="84">
        <f>B84/1000</f>
        <v>33</v>
      </c>
      <c r="D84" s="84">
        <v>133325000</v>
      </c>
      <c r="E84" s="446">
        <f>1474505-1474472</f>
        <v>33</v>
      </c>
      <c r="F84" s="84">
        <f>1474505-1474472</f>
        <v>33</v>
      </c>
    </row>
    <row r="85" spans="1:10" ht="57.6" x14ac:dyDescent="0.3">
      <c r="A85" s="130" t="s">
        <v>101</v>
      </c>
      <c r="B85" s="432">
        <v>61346000</v>
      </c>
      <c r="C85" s="84">
        <f>B85/1000</f>
        <v>61346</v>
      </c>
      <c r="D85" s="115" t="s">
        <v>330</v>
      </c>
      <c r="E85" s="446">
        <f>522914-460939</f>
        <v>61975</v>
      </c>
      <c r="F85" s="84">
        <f>509405000-448059000</f>
        <v>61346000</v>
      </c>
    </row>
    <row r="86" spans="1:10" x14ac:dyDescent="0.3">
      <c r="A86" s="84" t="s">
        <v>102</v>
      </c>
      <c r="B86" s="75">
        <v>467000</v>
      </c>
      <c r="C86" s="132">
        <f t="shared" ref="C86" si="0">B86/1000</f>
        <v>467</v>
      </c>
      <c r="F86" s="84" t="s">
        <v>103</v>
      </c>
    </row>
    <row r="87" spans="1:10" x14ac:dyDescent="0.3">
      <c r="A87" s="84" t="s">
        <v>104</v>
      </c>
      <c r="B87" s="170">
        <f>SUM(B82:B86)</f>
        <v>91991000</v>
      </c>
      <c r="C87" s="133">
        <f>SUM(C81:C86)</f>
        <v>91991</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422">
        <v>3610300</v>
      </c>
      <c r="C91" s="171">
        <f>+'Apr 2016'!D91</f>
        <v>53079922</v>
      </c>
      <c r="D91" s="100">
        <f>+C91+B91</f>
        <v>56690222</v>
      </c>
      <c r="E91" s="84" t="s">
        <v>108</v>
      </c>
    </row>
    <row r="92" spans="1:10" x14ac:dyDescent="0.3">
      <c r="A92" s="84" t="s">
        <v>109</v>
      </c>
      <c r="B92" s="172" t="s">
        <v>110</v>
      </c>
      <c r="C92" s="172" t="s">
        <v>111</v>
      </c>
      <c r="D92" s="173" t="s">
        <v>112</v>
      </c>
    </row>
    <row r="93" spans="1:10" x14ac:dyDescent="0.3">
      <c r="A93" s="84" t="s">
        <v>45</v>
      </c>
      <c r="B93" s="124">
        <f>+'Apr 2016'!C93</f>
        <v>11250634</v>
      </c>
      <c r="C93" s="124">
        <v>11612304</v>
      </c>
      <c r="D93" s="190">
        <f>+C93-B93</f>
        <v>361670</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f>+'Apr 2016'!C96</f>
        <v>18687232</v>
      </c>
      <c r="C96" s="212">
        <v>19645152</v>
      </c>
      <c r="D96" s="134">
        <f>C96-B96</f>
        <v>957920</v>
      </c>
      <c r="E96" s="63"/>
    </row>
    <row r="97" spans="1:6" x14ac:dyDescent="0.3">
      <c r="A97" s="84" t="s">
        <v>117</v>
      </c>
      <c r="B97" s="78">
        <f>+'Apr 2016'!C97</f>
        <v>15602183</v>
      </c>
      <c r="C97" s="213">
        <v>16414553</v>
      </c>
      <c r="D97" s="134">
        <f t="shared" ref="D97:D99" si="1">C97-B97</f>
        <v>812370</v>
      </c>
      <c r="E97" s="63"/>
      <c r="F97" s="86"/>
    </row>
    <row r="98" spans="1:6" x14ac:dyDescent="0.3">
      <c r="A98" s="84" t="s">
        <v>118</v>
      </c>
      <c r="B98" s="78">
        <f>+'Apr 2016'!C98</f>
        <v>10405791</v>
      </c>
      <c r="C98" s="213">
        <v>10408501</v>
      </c>
      <c r="D98" s="134">
        <f t="shared" si="1"/>
        <v>2710</v>
      </c>
      <c r="E98" s="63"/>
      <c r="F98" s="86"/>
    </row>
    <row r="99" spans="1:6" ht="15" thickBot="1" x14ac:dyDescent="0.35">
      <c r="A99" s="84" t="s">
        <v>119</v>
      </c>
      <c r="B99" s="79">
        <f>+'Apr 2016'!C99</f>
        <v>1764684</v>
      </c>
      <c r="C99" s="214">
        <v>1823964</v>
      </c>
      <c r="D99" s="134">
        <f t="shared" si="1"/>
        <v>59280</v>
      </c>
      <c r="E99" s="63"/>
      <c r="F99" s="86"/>
    </row>
    <row r="100" spans="1:6" x14ac:dyDescent="0.3">
      <c r="B100" s="134"/>
      <c r="C100" s="64"/>
      <c r="D100" s="174">
        <f>SUM(D96:D99)</f>
        <v>1832280</v>
      </c>
      <c r="E100" s="175"/>
      <c r="F100" s="158"/>
    </row>
    <row r="101" spans="1:6" ht="15" thickBot="1" x14ac:dyDescent="0.35">
      <c r="B101" s="146" t="s">
        <v>114</v>
      </c>
      <c r="C101" s="146" t="s">
        <v>115</v>
      </c>
      <c r="D101" s="134"/>
    </row>
    <row r="102" spans="1:6" ht="15" thickBot="1" x14ac:dyDescent="0.35">
      <c r="A102" s="84" t="s">
        <v>120</v>
      </c>
      <c r="B102" s="79">
        <f>+'Apr 2016'!C102</f>
        <v>20738740</v>
      </c>
      <c r="C102" s="80">
        <v>20739928</v>
      </c>
      <c r="D102" s="2">
        <f>C102-B102</f>
        <v>1188</v>
      </c>
    </row>
    <row r="103" spans="1:6" ht="15" thickBot="1" x14ac:dyDescent="0.35">
      <c r="A103" s="84" t="s">
        <v>121</v>
      </c>
      <c r="B103" s="79">
        <f>+'Apr 2016'!C103</f>
        <v>1116501</v>
      </c>
      <c r="C103" s="81">
        <v>1116501</v>
      </c>
      <c r="D103" s="2">
        <f>C103-B103</f>
        <v>0</v>
      </c>
    </row>
    <row r="104" spans="1:6" x14ac:dyDescent="0.3">
      <c r="D104" s="148">
        <f>SUM(D102:D103)</f>
        <v>1188</v>
      </c>
    </row>
    <row r="105" spans="1:6" x14ac:dyDescent="0.3">
      <c r="D105" s="2"/>
    </row>
    <row r="106" spans="1:6" x14ac:dyDescent="0.3">
      <c r="B106" s="84" t="s">
        <v>42</v>
      </c>
      <c r="D106" s="2"/>
    </row>
    <row r="107" spans="1:6" x14ac:dyDescent="0.3">
      <c r="A107" s="84" t="s">
        <v>46</v>
      </c>
      <c r="B107" s="135">
        <f>D100/1000</f>
        <v>1832.28</v>
      </c>
      <c r="D107" s="2"/>
    </row>
    <row r="108" spans="1:6" x14ac:dyDescent="0.3">
      <c r="A108" s="84" t="s">
        <v>47</v>
      </c>
      <c r="B108" s="136">
        <f>D104/1000</f>
        <v>1.1879999999999999</v>
      </c>
      <c r="D108" s="2"/>
    </row>
    <row r="109" spans="1:6" x14ac:dyDescent="0.3">
      <c r="B109" s="136"/>
      <c r="D109" s="2"/>
    </row>
    <row r="110" spans="1:6" x14ac:dyDescent="0.3">
      <c r="A110" s="84" t="s">
        <v>293</v>
      </c>
      <c r="B110" s="136"/>
      <c r="C110" s="84">
        <f>+'Apr 2016'!C111</f>
        <v>103962</v>
      </c>
      <c r="D110" s="2" t="s">
        <v>301</v>
      </c>
    </row>
    <row r="111" spans="1:6" x14ac:dyDescent="0.3">
      <c r="A111" s="84" t="s">
        <v>294</v>
      </c>
      <c r="B111" s="136"/>
      <c r="C111" s="132">
        <v>112078</v>
      </c>
      <c r="D111" s="2" t="s">
        <v>301</v>
      </c>
    </row>
    <row r="112" spans="1:6" x14ac:dyDescent="0.3">
      <c r="A112" s="84" t="s">
        <v>295</v>
      </c>
      <c r="B112" s="136"/>
      <c r="C112" s="339">
        <f>+C111-C110</f>
        <v>8116</v>
      </c>
      <c r="D112" s="2"/>
    </row>
    <row r="113" spans="1:11" x14ac:dyDescent="0.3">
      <c r="A113" s="84" t="s">
        <v>296</v>
      </c>
      <c r="B113" s="136"/>
      <c r="C113" s="370">
        <f>+'Apr 2016'!C114</f>
        <v>83790</v>
      </c>
      <c r="D113" s="2" t="s">
        <v>301</v>
      </c>
    </row>
    <row r="114" spans="1:11" x14ac:dyDescent="0.3">
      <c r="A114" s="84" t="s">
        <v>297</v>
      </c>
      <c r="B114" s="136"/>
      <c r="C114" s="132">
        <v>90960</v>
      </c>
      <c r="D114" s="2" t="s">
        <v>301</v>
      </c>
    </row>
    <row r="115" spans="1:11" x14ac:dyDescent="0.3">
      <c r="A115" s="84" t="s">
        <v>298</v>
      </c>
      <c r="B115" s="136"/>
      <c r="C115" s="370">
        <f>+C114-C113</f>
        <v>7170</v>
      </c>
      <c r="D115" s="2"/>
    </row>
    <row r="116" spans="1:11" ht="15" thickBot="1" x14ac:dyDescent="0.35">
      <c r="A116" s="84" t="s">
        <v>299</v>
      </c>
      <c r="B116" s="136"/>
      <c r="C116" s="84">
        <f>+C112-C115</f>
        <v>946</v>
      </c>
      <c r="D116" s="2"/>
    </row>
    <row r="117" spans="1:11" ht="15" thickBot="1" x14ac:dyDescent="0.35">
      <c r="A117" s="84" t="s">
        <v>300</v>
      </c>
      <c r="B117" s="136"/>
      <c r="C117" s="421">
        <f>+'Apr 2016'!C117+'May 2016'!C116</f>
        <v>10740.5</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385">
        <f>$C$87*B122</f>
        <v>25923.459772531096</v>
      </c>
      <c r="D122" s="450" t="s">
        <v>176</v>
      </c>
      <c r="E122" s="451"/>
      <c r="F122" s="451"/>
      <c r="G122" s="451"/>
      <c r="H122" s="451"/>
      <c r="I122" s="452"/>
    </row>
    <row r="123" spans="1:11" x14ac:dyDescent="0.3">
      <c r="A123" s="124" t="s">
        <v>127</v>
      </c>
      <c r="B123" s="141">
        <v>4.3629456705191923E-2</v>
      </c>
      <c r="C123" s="386">
        <f>$C$87*B123</f>
        <v>4013.5173517673102</v>
      </c>
      <c r="D123" s="450"/>
      <c r="E123" s="451"/>
      <c r="F123" s="451"/>
      <c r="G123" s="451"/>
      <c r="H123" s="451"/>
      <c r="I123" s="452"/>
    </row>
    <row r="124" spans="1:11" ht="15" thickBot="1" x14ac:dyDescent="0.35">
      <c r="A124" s="124" t="s">
        <v>128</v>
      </c>
      <c r="B124" s="141">
        <v>0.13446533233518762</v>
      </c>
      <c r="C124" s="386">
        <f>$C$87*B124</f>
        <v>12369.600386846245</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0</v>
      </c>
      <c r="E129" s="84" t="s">
        <v>80</v>
      </c>
    </row>
    <row r="130" spans="1:11" x14ac:dyDescent="0.3">
      <c r="A130" s="2" t="s">
        <v>132</v>
      </c>
      <c r="B130" s="2" t="s">
        <v>131</v>
      </c>
      <c r="C130" s="45">
        <v>4772000</v>
      </c>
      <c r="E130" s="84" t="s">
        <v>80</v>
      </c>
    </row>
    <row r="131" spans="1:11" x14ac:dyDescent="0.3">
      <c r="A131" s="2" t="s">
        <v>133</v>
      </c>
      <c r="B131" s="2" t="s">
        <v>131</v>
      </c>
      <c r="C131" s="45">
        <v>2185000</v>
      </c>
      <c r="E131" s="84" t="s">
        <v>80</v>
      </c>
    </row>
    <row r="132" spans="1:11" x14ac:dyDescent="0.3">
      <c r="A132" s="2" t="s">
        <v>134</v>
      </c>
      <c r="B132" s="2" t="s">
        <v>131</v>
      </c>
      <c r="C132" s="45">
        <v>6785000</v>
      </c>
      <c r="E132" s="84" t="s">
        <v>80</v>
      </c>
    </row>
    <row r="133" spans="1:11" x14ac:dyDescent="0.3">
      <c r="A133" s="2"/>
      <c r="B133" s="148" t="s">
        <v>69</v>
      </c>
      <c r="C133" s="178">
        <f>SUM(C129:C132)</f>
        <v>13742000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13742000</v>
      </c>
      <c r="C137" s="88">
        <f>B137/1000</f>
        <v>13742</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462199</v>
      </c>
      <c r="C142" s="84" t="s">
        <v>144</v>
      </c>
      <c r="D142" s="125"/>
    </row>
    <row r="143" spans="1:11" x14ac:dyDescent="0.3">
      <c r="A143" s="142" t="s">
        <v>145</v>
      </c>
      <c r="B143" s="143">
        <v>367177</v>
      </c>
      <c r="C143" s="84" t="s">
        <v>144</v>
      </c>
      <c r="D143" s="125"/>
    </row>
    <row r="144" spans="1:11" x14ac:dyDescent="0.3">
      <c r="A144" s="142" t="s">
        <v>146</v>
      </c>
      <c r="B144" s="143">
        <v>0</v>
      </c>
      <c r="C144" s="84" t="s">
        <v>144</v>
      </c>
      <c r="D144" s="125"/>
      <c r="F144" s="144"/>
    </row>
    <row r="145" spans="1:6" x14ac:dyDescent="0.3">
      <c r="A145" s="181" t="s">
        <v>147</v>
      </c>
      <c r="B145" s="199">
        <f>SUM(B142:B144)</f>
        <v>829376</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+'Apr 2016'!C153</f>
        <v>27975910</v>
      </c>
      <c r="C153" s="124">
        <v>28140768</v>
      </c>
      <c r="D153" s="144">
        <f>C153-B153</f>
        <v>164858</v>
      </c>
      <c r="E153" s="125"/>
      <c r="F153" s="144"/>
    </row>
    <row r="154" spans="1:6" x14ac:dyDescent="0.3">
      <c r="A154" s="145"/>
      <c r="B154" s="125"/>
      <c r="C154" s="84" t="s">
        <v>144</v>
      </c>
      <c r="D154" s="100">
        <f>SUM(D153)</f>
        <v>164858</v>
      </c>
      <c r="E154" s="125"/>
      <c r="F154" s="144"/>
    </row>
    <row r="155" spans="1:6" x14ac:dyDescent="0.3">
      <c r="A155" s="142" t="s">
        <v>156</v>
      </c>
      <c r="B155" s="185" t="s">
        <v>153</v>
      </c>
      <c r="C155" s="186" t="s">
        <v>154</v>
      </c>
      <c r="D155" s="185" t="s">
        <v>155</v>
      </c>
      <c r="F155" s="144"/>
    </row>
    <row r="156" spans="1:6" x14ac:dyDescent="0.3">
      <c r="A156" s="145"/>
      <c r="B156" s="124">
        <f>+'Apr 2016'!C156</f>
        <v>4987425</v>
      </c>
      <c r="C156" s="124">
        <v>5059875</v>
      </c>
      <c r="D156" s="144">
        <f>C156-B156</f>
        <v>72450</v>
      </c>
      <c r="E156" s="125"/>
      <c r="F156" s="144"/>
    </row>
    <row r="157" spans="1:6" x14ac:dyDescent="0.3">
      <c r="A157" s="145"/>
      <c r="B157" s="125"/>
      <c r="C157" s="84" t="s">
        <v>144</v>
      </c>
      <c r="D157" s="100">
        <f>D156</f>
        <v>72450</v>
      </c>
      <c r="E157" s="125"/>
      <c r="F157" s="144"/>
    </row>
    <row r="158" spans="1:6" x14ac:dyDescent="0.3">
      <c r="A158" s="142" t="s">
        <v>187</v>
      </c>
      <c r="B158" s="185" t="s">
        <v>153</v>
      </c>
      <c r="C158" s="186" t="s">
        <v>154</v>
      </c>
      <c r="D158" s="185" t="s">
        <v>155</v>
      </c>
      <c r="E158" s="125"/>
      <c r="F158" s="144"/>
    </row>
    <row r="159" spans="1:6" x14ac:dyDescent="0.3">
      <c r="A159" s="145"/>
      <c r="B159" s="124">
        <f>+'Apr 2016'!C159</f>
        <v>5301425</v>
      </c>
      <c r="C159" s="124">
        <v>5684350</v>
      </c>
      <c r="D159" s="144">
        <f>C159-B159</f>
        <v>382925</v>
      </c>
      <c r="E159" s="125"/>
      <c r="F159" s="144"/>
    </row>
    <row r="160" spans="1:6" x14ac:dyDescent="0.3">
      <c r="A160" s="145"/>
      <c r="B160" s="125"/>
      <c r="C160" s="84" t="s">
        <v>144</v>
      </c>
      <c r="D160" s="100">
        <f>D159</f>
        <v>382925</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187">
        <f>D157+D154+D160</f>
        <v>620233</v>
      </c>
      <c r="C163" s="84" t="s">
        <v>144</v>
      </c>
      <c r="D163" s="125"/>
      <c r="F163" s="144"/>
    </row>
    <row r="164" spans="1:11" x14ac:dyDescent="0.3">
      <c r="F164" s="144"/>
    </row>
    <row r="165" spans="1:11" x14ac:dyDescent="0.3">
      <c r="A165" s="188" t="s">
        <v>158</v>
      </c>
      <c r="B165" s="200">
        <f>B145+B150+B163</f>
        <v>1449609</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12238000</v>
      </c>
      <c r="C170" s="88">
        <f>B170/1000</f>
        <v>12238</v>
      </c>
      <c r="D170" s="84" t="s">
        <v>163</v>
      </c>
    </row>
    <row r="173" spans="1:11" x14ac:dyDescent="0.3">
      <c r="A173" s="84" t="s">
        <v>164</v>
      </c>
    </row>
    <row r="174" spans="1:11" x14ac:dyDescent="0.3">
      <c r="A174" s="84" t="s">
        <v>165</v>
      </c>
      <c r="B174" s="447">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C74" name="Month"/>
    <protectedRange sqref="B58" name="NMSU PRODUCED"/>
    <protectedRange sqref="C59" name="PURCHASED EPE"/>
    <protectedRange sqref="E68:E69" name="GERALD THOMAS 5KV"/>
    <protectedRange sqref="E71:E72" name="BLAKES"/>
    <protectedRange sqref="C102:C103" name="COOL POOL"/>
    <protectedRange sqref="C96:C99" name="TOWER READINGS"/>
    <protectedRange sqref="B92:D92 B91 D91"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 sqref="C91" name="WATER STEAM_1"/>
    <protectedRange sqref="B96:B99 B102:B103" name="TOWER READINGS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5" fitToHeight="2" orientation="portrait" r:id="rId1"/>
  <rowBreaks count="1" manualBreakCount="1">
    <brk id="78"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pageSetUpPr fitToPage="1"/>
  </sheetPr>
  <dimension ref="A1:K176"/>
  <sheetViews>
    <sheetView zoomScale="80" zoomScaleNormal="80" workbookViewId="0">
      <selection activeCell="C117" sqref="C117"/>
    </sheetView>
  </sheetViews>
  <sheetFormatPr defaultColWidth="8.88671875" defaultRowHeight="14.4" x14ac:dyDescent="0.3"/>
  <cols>
    <col min="1" max="1" width="23.33203125" style="84" customWidth="1"/>
    <col min="2" max="2" width="17.5546875" style="84" customWidth="1"/>
    <col min="3" max="3" width="17.6640625" style="84" customWidth="1"/>
    <col min="4" max="4" width="16.109375" style="84" customWidth="1"/>
    <col min="5" max="5" width="13.5546875" style="84" customWidth="1"/>
    <col min="6" max="6" width="26" style="84" customWidth="1"/>
    <col min="7" max="7" width="13.88671875" style="84" customWidth="1"/>
    <col min="8" max="8" width="20.44140625" style="84" customWidth="1"/>
    <col min="9" max="9" width="8.88671875" style="84"/>
    <col min="10" max="10" width="10.441406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322</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6"/>
      <c r="E8" s="381">
        <f>+C47</f>
        <v>2405</v>
      </c>
      <c r="F8" s="112" t="s">
        <v>174</v>
      </c>
      <c r="G8" s="33">
        <v>8816.33</v>
      </c>
      <c r="H8" s="113" t="s">
        <v>15</v>
      </c>
      <c r="I8" s="113"/>
      <c r="J8" s="114">
        <f>E8*0.9756</f>
        <v>2346.3180000000002</v>
      </c>
    </row>
    <row r="9" spans="1:11" ht="15.6" x14ac:dyDescent="0.3">
      <c r="A9" s="153" t="s">
        <v>16</v>
      </c>
      <c r="B9" s="115" t="s">
        <v>17</v>
      </c>
      <c r="C9" s="115" t="s">
        <v>13</v>
      </c>
      <c r="D9" s="26"/>
      <c r="E9" s="382">
        <f>+C50</f>
        <v>0</v>
      </c>
      <c r="F9" s="113"/>
      <c r="G9" s="34">
        <v>1064.28</v>
      </c>
      <c r="H9" s="84" t="s">
        <v>18</v>
      </c>
    </row>
    <row r="10" spans="1:11" ht="15.6" x14ac:dyDescent="0.3">
      <c r="A10" s="153" t="s">
        <v>19</v>
      </c>
      <c r="B10" s="115" t="s">
        <v>17</v>
      </c>
      <c r="C10" s="115" t="s">
        <v>13</v>
      </c>
      <c r="D10" s="26"/>
      <c r="E10" s="382">
        <f>+C51</f>
        <v>37207</v>
      </c>
      <c r="F10" s="113"/>
      <c r="G10" s="34">
        <v>96192.61</v>
      </c>
      <c r="H10" s="84" t="s">
        <v>20</v>
      </c>
    </row>
    <row r="11" spans="1:11" ht="15.6" x14ac:dyDescent="0.3">
      <c r="A11" s="153" t="s">
        <v>21</v>
      </c>
      <c r="B11" s="115" t="s">
        <v>17</v>
      </c>
      <c r="C11" s="115" t="s">
        <v>13</v>
      </c>
      <c r="D11" s="26"/>
      <c r="E11" s="382">
        <f>+C52</f>
        <v>8532</v>
      </c>
      <c r="F11" s="113"/>
      <c r="G11" s="34">
        <v>22878.31</v>
      </c>
      <c r="H11" s="84" t="s">
        <v>22</v>
      </c>
    </row>
    <row r="12" spans="1:11" ht="15.6" x14ac:dyDescent="0.3">
      <c r="A12" s="153" t="s">
        <v>23</v>
      </c>
      <c r="B12" s="115" t="s">
        <v>17</v>
      </c>
      <c r="C12" s="115" t="s">
        <v>13</v>
      </c>
      <c r="D12" s="26"/>
      <c r="E12" s="381">
        <f>+C53</f>
        <v>45739</v>
      </c>
      <c r="F12" s="113" t="s">
        <v>24</v>
      </c>
      <c r="G12" s="2"/>
    </row>
    <row r="13" spans="1:11" ht="15.6" x14ac:dyDescent="0.3">
      <c r="A13" s="152" t="s">
        <v>25</v>
      </c>
      <c r="B13" s="112" t="s">
        <v>26</v>
      </c>
      <c r="C13" s="112" t="s">
        <v>27</v>
      </c>
      <c r="D13" s="381">
        <f>+C63</f>
        <v>282432448</v>
      </c>
      <c r="E13" s="208">
        <f>+E63</f>
        <v>239936</v>
      </c>
      <c r="F13" s="113" t="s">
        <v>28</v>
      </c>
      <c r="G13" s="154"/>
      <c r="H13" s="19"/>
      <c r="I13" s="19"/>
      <c r="J13" s="20"/>
      <c r="K13" s="20"/>
    </row>
    <row r="14" spans="1:11" ht="15.6" x14ac:dyDescent="0.3">
      <c r="A14" s="152" t="s">
        <v>29</v>
      </c>
      <c r="B14" s="112" t="s">
        <v>26</v>
      </c>
      <c r="C14" s="112" t="s">
        <v>30</v>
      </c>
      <c r="D14" s="26"/>
      <c r="E14" s="382">
        <f>+B150</f>
        <v>0</v>
      </c>
      <c r="F14" s="113" t="s">
        <v>31</v>
      </c>
      <c r="G14" s="21"/>
      <c r="H14" s="113"/>
      <c r="I14" s="113"/>
      <c r="J14" s="116"/>
      <c r="K14" s="116"/>
    </row>
    <row r="15" spans="1:11" ht="15.6" x14ac:dyDescent="0.3">
      <c r="A15" s="152" t="s">
        <v>32</v>
      </c>
      <c r="B15" s="112" t="s">
        <v>26</v>
      </c>
      <c r="C15" s="112" t="s">
        <v>33</v>
      </c>
      <c r="D15" s="26"/>
      <c r="E15" s="382">
        <f>+B145</f>
        <v>777851</v>
      </c>
      <c r="F15" s="113" t="s">
        <v>31</v>
      </c>
      <c r="G15" s="21"/>
      <c r="H15" s="113"/>
      <c r="I15" s="113"/>
      <c r="J15" s="116"/>
      <c r="K15" s="116"/>
    </row>
    <row r="16" spans="1:11" ht="15.6" x14ac:dyDescent="0.3">
      <c r="A16" s="152" t="s">
        <v>34</v>
      </c>
      <c r="B16" s="112" t="s">
        <v>26</v>
      </c>
      <c r="C16" s="112" t="s">
        <v>35</v>
      </c>
      <c r="D16" s="26"/>
      <c r="E16" s="382">
        <f>+C137</f>
        <v>15155</v>
      </c>
      <c r="F16" s="113" t="s">
        <v>36</v>
      </c>
      <c r="G16" s="23" t="s">
        <v>37</v>
      </c>
      <c r="H16" s="117"/>
      <c r="I16" s="113"/>
      <c r="J16" s="113"/>
      <c r="K16" s="113"/>
    </row>
    <row r="17" spans="1:11" ht="15.6" x14ac:dyDescent="0.3">
      <c r="A17" s="152" t="s">
        <v>38</v>
      </c>
      <c r="B17" s="112" t="s">
        <v>26</v>
      </c>
      <c r="C17" s="112" t="s">
        <v>27</v>
      </c>
      <c r="D17" s="26"/>
      <c r="E17" s="381">
        <f>+C60</f>
        <v>5653107</v>
      </c>
      <c r="F17" s="113"/>
      <c r="G17" s="155">
        <v>171667.95</v>
      </c>
      <c r="H17" s="113" t="s">
        <v>39</v>
      </c>
      <c r="I17" s="156"/>
      <c r="J17" s="156"/>
      <c r="K17" s="156"/>
    </row>
    <row r="18" spans="1:11" ht="15.6" x14ac:dyDescent="0.3">
      <c r="A18" s="152" t="s">
        <v>40</v>
      </c>
      <c r="B18" s="112" t="s">
        <v>41</v>
      </c>
      <c r="C18" s="112" t="s">
        <v>42</v>
      </c>
      <c r="D18" s="26"/>
      <c r="E18" s="381">
        <f>+C87</f>
        <v>94864</v>
      </c>
      <c r="F18" s="113" t="s">
        <v>43</v>
      </c>
      <c r="G18" s="33">
        <v>581.13</v>
      </c>
      <c r="H18" s="113" t="s">
        <v>44</v>
      </c>
      <c r="I18" s="113"/>
      <c r="J18" s="113"/>
      <c r="K18" s="113"/>
    </row>
    <row r="19" spans="1:11" ht="15.6" x14ac:dyDescent="0.3">
      <c r="A19" s="84" t="s">
        <v>45</v>
      </c>
      <c r="B19" s="115" t="s">
        <v>41</v>
      </c>
      <c r="C19" s="115" t="s">
        <v>42</v>
      </c>
      <c r="D19" s="381">
        <f>+D91</f>
        <v>53079922</v>
      </c>
      <c r="E19" s="26"/>
      <c r="G19" s="2"/>
    </row>
    <row r="20" spans="1:11" ht="15.6" x14ac:dyDescent="0.3">
      <c r="A20" s="84" t="s">
        <v>46</v>
      </c>
      <c r="B20" s="115" t="s">
        <v>41</v>
      </c>
      <c r="C20" s="115" t="s">
        <v>42</v>
      </c>
      <c r="D20" s="26"/>
      <c r="E20" s="381">
        <f>+B107</f>
        <v>1757.0319999999999</v>
      </c>
      <c r="G20" s="2"/>
    </row>
    <row r="21" spans="1:11" ht="15.6" x14ac:dyDescent="0.3">
      <c r="A21" s="84" t="s">
        <v>47</v>
      </c>
      <c r="B21" s="115" t="s">
        <v>41</v>
      </c>
      <c r="C21" s="115" t="s">
        <v>42</v>
      </c>
      <c r="D21" s="26"/>
      <c r="E21" s="381">
        <f>+B108</f>
        <v>1.252</v>
      </c>
      <c r="G21" s="2"/>
    </row>
    <row r="22" spans="1:11" ht="15.6" x14ac:dyDescent="0.3">
      <c r="A22" s="152" t="s">
        <v>48</v>
      </c>
      <c r="B22" s="112" t="s">
        <v>49</v>
      </c>
      <c r="C22" s="112" t="s">
        <v>50</v>
      </c>
      <c r="D22" s="26"/>
      <c r="E22" s="381">
        <f>+C136</f>
        <v>0</v>
      </c>
      <c r="F22" s="113" t="s">
        <v>36</v>
      </c>
      <c r="G22" s="21" t="s">
        <v>51</v>
      </c>
      <c r="H22" s="113"/>
      <c r="I22" s="113"/>
      <c r="J22" s="113"/>
      <c r="K22" s="113"/>
    </row>
    <row r="23" spans="1:11" ht="15.6" x14ac:dyDescent="0.3">
      <c r="A23" s="152" t="s">
        <v>52</v>
      </c>
      <c r="B23" s="112" t="s">
        <v>49</v>
      </c>
      <c r="C23" s="112" t="s">
        <v>50</v>
      </c>
      <c r="D23" s="26"/>
      <c r="E23" s="381">
        <f>+C137</f>
        <v>15155</v>
      </c>
      <c r="F23" s="113" t="s">
        <v>36</v>
      </c>
      <c r="G23" s="21" t="s">
        <v>37</v>
      </c>
      <c r="H23" s="113"/>
      <c r="I23" s="113"/>
      <c r="J23" s="113"/>
      <c r="K23" s="113"/>
    </row>
    <row r="24" spans="1:11" ht="15.6" x14ac:dyDescent="0.3">
      <c r="A24" s="152" t="s">
        <v>53</v>
      </c>
      <c r="B24" s="112" t="s">
        <v>54</v>
      </c>
      <c r="C24" s="112" t="s">
        <v>55</v>
      </c>
      <c r="D24" s="26"/>
      <c r="E24" s="381">
        <f>+B165</f>
        <v>1170088</v>
      </c>
      <c r="F24" s="113" t="s">
        <v>31</v>
      </c>
      <c r="G24" s="21"/>
      <c r="H24" s="113"/>
      <c r="I24" s="113"/>
      <c r="J24" s="113"/>
      <c r="K24" s="113"/>
    </row>
    <row r="25" spans="1:11" ht="15.6" x14ac:dyDescent="0.3">
      <c r="A25" s="152" t="s">
        <v>56</v>
      </c>
      <c r="B25" s="112" t="s">
        <v>57</v>
      </c>
      <c r="C25" s="112" t="s">
        <v>42</v>
      </c>
      <c r="D25" s="26"/>
      <c r="E25" s="381">
        <f>+C170</f>
        <v>11186</v>
      </c>
      <c r="F25" s="113" t="s">
        <v>58</v>
      </c>
      <c r="G25" s="33">
        <v>30055</v>
      </c>
      <c r="H25" s="113" t="s">
        <v>44</v>
      </c>
      <c r="I25" s="113"/>
      <c r="J25" s="113"/>
      <c r="K25" s="113"/>
    </row>
    <row r="26" spans="1:11" ht="15.6" x14ac:dyDescent="0.3">
      <c r="A26" s="152" t="s">
        <v>165</v>
      </c>
      <c r="B26" s="112" t="s">
        <v>57</v>
      </c>
      <c r="C26" s="112" t="s">
        <v>42</v>
      </c>
      <c r="D26" s="26"/>
      <c r="E26" s="381">
        <f>+B174</f>
        <v>2330</v>
      </c>
      <c r="G26" s="2" t="s">
        <v>183</v>
      </c>
    </row>
    <row r="27" spans="1:11" ht="15.6" x14ac:dyDescent="0.3">
      <c r="A27" s="152" t="s">
        <v>186</v>
      </c>
      <c r="B27" s="112" t="s">
        <v>26</v>
      </c>
      <c r="C27" s="112" t="s">
        <v>27</v>
      </c>
      <c r="D27" s="381">
        <f>+E76</f>
        <v>12203044.4</v>
      </c>
      <c r="E27" s="209"/>
      <c r="G27" s="2"/>
    </row>
    <row r="28" spans="1:11" ht="15.6" x14ac:dyDescent="0.3">
      <c r="A28" s="152" t="s">
        <v>302</v>
      </c>
      <c r="B28" s="112" t="s">
        <v>41</v>
      </c>
      <c r="C28" s="112" t="s">
        <v>303</v>
      </c>
      <c r="D28" s="381">
        <f>+C117</f>
        <v>9794.5</v>
      </c>
      <c r="E28" s="209"/>
      <c r="G28" s="2"/>
    </row>
    <row r="29" spans="1:11" ht="15.6" x14ac:dyDescent="0.3">
      <c r="A29" s="152" t="s">
        <v>125</v>
      </c>
      <c r="B29" s="112"/>
      <c r="C29" s="112"/>
      <c r="D29" s="381">
        <f>+C122</f>
        <v>26733.083539274387</v>
      </c>
      <c r="E29" s="209"/>
      <c r="G29" s="2"/>
    </row>
    <row r="30" spans="1:11" ht="15.6" x14ac:dyDescent="0.3">
      <c r="A30" s="152" t="s">
        <v>127</v>
      </c>
      <c r="B30" s="112"/>
      <c r="C30" s="112"/>
      <c r="D30" s="381">
        <f>+C123</f>
        <v>4138.8647808813266</v>
      </c>
      <c r="E30" s="209"/>
      <c r="G30" s="2"/>
    </row>
    <row r="31" spans="1:11" ht="15.6" x14ac:dyDescent="0.3">
      <c r="A31" s="152" t="s">
        <v>128</v>
      </c>
      <c r="B31" s="112"/>
      <c r="C31" s="112"/>
      <c r="D31" s="381">
        <f>+C124</f>
        <v>12755.919286645238</v>
      </c>
      <c r="E31" s="209"/>
      <c r="G31" s="2"/>
    </row>
    <row r="32" spans="1:11" ht="15.6" x14ac:dyDescent="0.3">
      <c r="A32" s="152"/>
      <c r="B32" s="112"/>
      <c r="C32" s="112"/>
      <c r="D32" s="383"/>
      <c r="E32" s="209"/>
      <c r="G32" s="2"/>
    </row>
    <row r="33" spans="1:11" ht="15.6" x14ac:dyDescent="0.3">
      <c r="A33" s="152"/>
      <c r="B33" s="112"/>
      <c r="C33" s="112"/>
      <c r="D33" s="210"/>
      <c r="E33" s="209"/>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120135.2</v>
      </c>
      <c r="F37" s="121"/>
    </row>
    <row r="38" spans="1:11" x14ac:dyDescent="0.3">
      <c r="A38" s="119" t="s">
        <v>63</v>
      </c>
      <c r="B38" s="119" t="s">
        <v>63</v>
      </c>
      <c r="C38" s="119"/>
      <c r="D38" s="119"/>
      <c r="E38" s="122">
        <f>+G8</f>
        <v>8816.33</v>
      </c>
      <c r="F38" s="121"/>
    </row>
    <row r="39" spans="1:11" x14ac:dyDescent="0.3">
      <c r="A39" s="119"/>
      <c r="B39" s="119" t="s">
        <v>64</v>
      </c>
      <c r="C39" s="119"/>
      <c r="D39" s="119"/>
      <c r="E39" s="120">
        <f>SUM(E37:E38)</f>
        <v>128951.53</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2405</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37207</v>
      </c>
    </row>
    <row r="52" spans="1:11" x14ac:dyDescent="0.3">
      <c r="A52" s="2" t="s">
        <v>74</v>
      </c>
      <c r="B52" s="2" t="s">
        <v>13</v>
      </c>
      <c r="C52" s="45">
        <v>8532</v>
      </c>
    </row>
    <row r="53" spans="1:11" x14ac:dyDescent="0.3">
      <c r="A53" s="2"/>
      <c r="B53" s="2" t="s">
        <v>69</v>
      </c>
      <c r="C53" s="38">
        <f>SUM(C50:C52)</f>
        <v>45739</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ht="40.200000000000003" customHeight="1" x14ac:dyDescent="0.3">
      <c r="A58" s="146" t="s">
        <v>78</v>
      </c>
      <c r="B58" s="124">
        <f>+C58/1000</f>
        <v>2968.44</v>
      </c>
      <c r="C58" s="40">
        <v>2968440</v>
      </c>
      <c r="D58" s="84" t="s">
        <v>79</v>
      </c>
      <c r="E58" s="41"/>
      <c r="F58" s="458" t="s">
        <v>268</v>
      </c>
      <c r="G58" s="458"/>
      <c r="H58" s="458"/>
      <c r="J58" s="84">
        <f>75958400-72989960</f>
        <v>2968440</v>
      </c>
    </row>
    <row r="59" spans="1:11" x14ac:dyDescent="0.3">
      <c r="A59" s="146" t="s">
        <v>81</v>
      </c>
      <c r="B59" s="125"/>
      <c r="C59" s="34">
        <v>2684667</v>
      </c>
      <c r="D59" s="84" t="s">
        <v>79</v>
      </c>
      <c r="E59" s="41"/>
      <c r="F59" s="84" t="s">
        <v>82</v>
      </c>
    </row>
    <row r="60" spans="1:11" x14ac:dyDescent="0.3">
      <c r="A60" s="146" t="s">
        <v>83</v>
      </c>
      <c r="C60" s="40">
        <f>SUM(C58:C59)</f>
        <v>5653107</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+'Mar 2016'!C63</f>
        <v>282192512</v>
      </c>
      <c r="C63" s="126">
        <v>282432448</v>
      </c>
      <c r="D63" s="84" t="s">
        <v>79</v>
      </c>
      <c r="E63" s="160">
        <f>+C63-B63</f>
        <v>239936</v>
      </c>
      <c r="F63" s="84" t="s">
        <v>88</v>
      </c>
    </row>
    <row r="66" spans="1:11" x14ac:dyDescent="0.3">
      <c r="A66" s="163" t="s">
        <v>89</v>
      </c>
      <c r="B66" s="127"/>
      <c r="C66" s="127"/>
      <c r="D66" s="125"/>
      <c r="E66" s="125"/>
    </row>
    <row r="67" spans="1:11" x14ac:dyDescent="0.3">
      <c r="A67" s="163" t="s">
        <v>90</v>
      </c>
      <c r="B67" s="127"/>
      <c r="C67" s="127"/>
      <c r="D67" s="125"/>
      <c r="E67" s="125"/>
    </row>
    <row r="68" spans="1:11" x14ac:dyDescent="0.3">
      <c r="A68" s="457" t="s">
        <v>167</v>
      </c>
      <c r="B68" s="457"/>
      <c r="C68" s="127" t="s">
        <v>181</v>
      </c>
      <c r="D68" s="125"/>
      <c r="E68" s="191">
        <f>+'Mar 2016'!E69</f>
        <v>12087717</v>
      </c>
    </row>
    <row r="69" spans="1:11" x14ac:dyDescent="0.3">
      <c r="A69" s="457" t="s">
        <v>167</v>
      </c>
      <c r="B69" s="457"/>
      <c r="C69" s="127" t="s">
        <v>182</v>
      </c>
      <c r="D69" s="125"/>
      <c r="E69" s="128">
        <v>12210910</v>
      </c>
      <c r="F69" s="84" t="s">
        <v>184</v>
      </c>
    </row>
    <row r="70" spans="1:11" x14ac:dyDescent="0.3">
      <c r="A70" s="457" t="s">
        <v>168</v>
      </c>
      <c r="B70" s="457"/>
      <c r="C70" s="127" t="s">
        <v>182</v>
      </c>
      <c r="D70" s="125"/>
      <c r="E70" s="162">
        <f>+E69-E68</f>
        <v>123193</v>
      </c>
    </row>
    <row r="71" spans="1:11" x14ac:dyDescent="0.3">
      <c r="A71" s="457" t="s">
        <v>169</v>
      </c>
      <c r="B71" s="457"/>
      <c r="C71" s="127" t="s">
        <v>181</v>
      </c>
      <c r="D71" s="125"/>
      <c r="E71" s="192">
        <f>+'Mar 2016'!E72</f>
        <v>291887</v>
      </c>
    </row>
    <row r="72" spans="1:11" x14ac:dyDescent="0.3">
      <c r="A72" s="457" t="s">
        <v>170</v>
      </c>
      <c r="B72" s="457"/>
      <c r="C72" s="127" t="s">
        <v>182</v>
      </c>
      <c r="D72" s="125"/>
      <c r="E72" s="128">
        <v>299752.59999999998</v>
      </c>
      <c r="F72" s="84" t="s">
        <v>185</v>
      </c>
    </row>
    <row r="73" spans="1:11" x14ac:dyDescent="0.3">
      <c r="A73" s="457" t="s">
        <v>173</v>
      </c>
      <c r="B73" s="457"/>
      <c r="C73" s="127" t="s">
        <v>182</v>
      </c>
      <c r="D73" s="125"/>
      <c r="E73" s="162">
        <f>+E72-E71</f>
        <v>7865.5999999999767</v>
      </c>
    </row>
    <row r="74" spans="1:11" x14ac:dyDescent="0.3">
      <c r="A74" s="448" t="s">
        <v>91</v>
      </c>
      <c r="B74" s="448"/>
      <c r="C74" s="164" t="s">
        <v>182</v>
      </c>
      <c r="D74" s="125"/>
      <c r="E74" s="165">
        <f>+E70-E73</f>
        <v>115327.40000000002</v>
      </c>
    </row>
    <row r="75" spans="1:11" x14ac:dyDescent="0.3">
      <c r="A75" s="127"/>
      <c r="B75" s="127"/>
      <c r="C75" s="127"/>
      <c r="D75" s="125"/>
      <c r="E75" s="125"/>
    </row>
    <row r="76" spans="1:11" x14ac:dyDescent="0.3">
      <c r="A76" s="449" t="s">
        <v>92</v>
      </c>
      <c r="B76" s="449"/>
      <c r="C76" s="166" t="str">
        <f>+C74</f>
        <v>April</v>
      </c>
      <c r="D76" s="167"/>
      <c r="E76" s="168">
        <f>+E68+E74</f>
        <v>12203044.4</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27.6" customHeight="1" x14ac:dyDescent="0.3">
      <c r="A81" s="84" t="s">
        <v>96</v>
      </c>
      <c r="B81" s="129"/>
      <c r="E81" s="458" t="s">
        <v>97</v>
      </c>
      <c r="F81" s="458"/>
      <c r="G81" s="458"/>
      <c r="H81" s="458"/>
      <c r="I81" s="458"/>
      <c r="J81" s="458"/>
    </row>
    <row r="82" spans="1:10" x14ac:dyDescent="0.3">
      <c r="A82" s="130" t="s">
        <v>98</v>
      </c>
      <c r="B82" s="131">
        <v>27081000</v>
      </c>
      <c r="C82" s="84">
        <f>B82/1000</f>
        <v>27081</v>
      </c>
      <c r="D82" s="460" t="s">
        <v>329</v>
      </c>
      <c r="E82" s="437">
        <f>675316-648294</f>
        <v>27022</v>
      </c>
      <c r="G82" s="84">
        <f>1939276928-1912195968</f>
        <v>27080960</v>
      </c>
    </row>
    <row r="83" spans="1:10" x14ac:dyDescent="0.3">
      <c r="A83" s="130" t="s">
        <v>99</v>
      </c>
      <c r="B83" s="131">
        <v>0</v>
      </c>
      <c r="C83" s="84">
        <f>B83/1000</f>
        <v>0</v>
      </c>
      <c r="D83" s="460"/>
      <c r="E83" s="437">
        <f>474508-474508</f>
        <v>0</v>
      </c>
      <c r="G83" s="84">
        <f>3363000-3363000</f>
        <v>0</v>
      </c>
    </row>
    <row r="84" spans="1:10" x14ac:dyDescent="0.3">
      <c r="A84" s="130" t="s">
        <v>100</v>
      </c>
      <c r="B84" s="131">
        <v>8304000</v>
      </c>
      <c r="C84" s="84">
        <f>B84/1000</f>
        <v>8304</v>
      </c>
      <c r="D84" s="460"/>
      <c r="E84" s="437">
        <f>1474472-1469161</f>
        <v>5311</v>
      </c>
      <c r="G84" s="84">
        <f>2063468032-2055164032</f>
        <v>8304000</v>
      </c>
    </row>
    <row r="85" spans="1:10" x14ac:dyDescent="0.3">
      <c r="A85" s="130" t="s">
        <v>101</v>
      </c>
      <c r="B85" s="131">
        <f>ROUNDUP(59241984,-2)</f>
        <v>59242000</v>
      </c>
      <c r="C85" s="84">
        <f>B85/1000</f>
        <v>59242</v>
      </c>
      <c r="D85" s="460"/>
      <c r="E85" s="437">
        <f>459092-400463</f>
        <v>58629</v>
      </c>
      <c r="G85" s="84">
        <f>259424992-200183008</f>
        <v>59241984</v>
      </c>
    </row>
    <row r="86" spans="1:10" x14ac:dyDescent="0.3">
      <c r="A86" s="84" t="s">
        <v>102</v>
      </c>
      <c r="B86" s="75">
        <v>237000</v>
      </c>
      <c r="C86" s="132">
        <f t="shared" ref="C86" si="0">B86/1000</f>
        <v>237</v>
      </c>
      <c r="F86" s="84" t="s">
        <v>103</v>
      </c>
    </row>
    <row r="87" spans="1:10" x14ac:dyDescent="0.3">
      <c r="A87" s="84" t="s">
        <v>104</v>
      </c>
      <c r="B87" s="170">
        <f>SUM(B82:B86)</f>
        <v>94864000</v>
      </c>
      <c r="C87" s="133">
        <f>SUM(C81:C86)</f>
        <v>94864</v>
      </c>
      <c r="E87" s="438"/>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445">
        <v>3500500</v>
      </c>
      <c r="C91" s="445">
        <f>+'Mar 2016'!D91</f>
        <v>49579422</v>
      </c>
      <c r="D91" s="40">
        <f>+C91+B91</f>
        <v>53079922</v>
      </c>
      <c r="E91" s="84" t="s">
        <v>108</v>
      </c>
    </row>
    <row r="92" spans="1:10" x14ac:dyDescent="0.3">
      <c r="A92" s="84" t="s">
        <v>109</v>
      </c>
      <c r="B92" s="172" t="s">
        <v>110</v>
      </c>
      <c r="C92" s="172" t="s">
        <v>111</v>
      </c>
      <c r="D92" s="173" t="s">
        <v>112</v>
      </c>
    </row>
    <row r="93" spans="1:10" x14ac:dyDescent="0.3">
      <c r="A93" s="84" t="s">
        <v>45</v>
      </c>
      <c r="B93" s="124">
        <f>+'Mar 2016'!C93</f>
        <v>10900684</v>
      </c>
      <c r="C93" s="124">
        <v>11250634</v>
      </c>
      <c r="D93" s="391">
        <f>+C93-B93</f>
        <v>349950</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f>+'Mar 2016'!C96</f>
        <v>17712812</v>
      </c>
      <c r="C96" s="77">
        <v>18687232</v>
      </c>
      <c r="D96" s="134">
        <f>C96-B96</f>
        <v>974420</v>
      </c>
      <c r="E96" s="63"/>
    </row>
    <row r="97" spans="1:6" x14ac:dyDescent="0.3">
      <c r="A97" s="84" t="s">
        <v>117</v>
      </c>
      <c r="B97" s="78">
        <f>+'Mar 2016'!C97</f>
        <v>15560402</v>
      </c>
      <c r="C97" s="78">
        <v>15602183</v>
      </c>
      <c r="D97" s="134">
        <f t="shared" ref="D97:D99" si="1">C97-B97</f>
        <v>41781</v>
      </c>
      <c r="E97" s="63"/>
      <c r="F97" s="86"/>
    </row>
    <row r="98" spans="1:6" x14ac:dyDescent="0.3">
      <c r="A98" s="84" t="s">
        <v>118</v>
      </c>
      <c r="B98" s="78">
        <f>+'Mar 2016'!C98</f>
        <v>9715730</v>
      </c>
      <c r="C98" s="78">
        <v>10405791</v>
      </c>
      <c r="D98" s="134">
        <f t="shared" si="1"/>
        <v>690061</v>
      </c>
      <c r="E98" s="63"/>
      <c r="F98" s="86"/>
    </row>
    <row r="99" spans="1:6" ht="15" thickBot="1" x14ac:dyDescent="0.35">
      <c r="A99" s="84" t="s">
        <v>119</v>
      </c>
      <c r="B99" s="79">
        <f>+'Mar 2016'!C99</f>
        <v>1713914</v>
      </c>
      <c r="C99" s="79">
        <v>1764684</v>
      </c>
      <c r="D99" s="134">
        <f t="shared" si="1"/>
        <v>50770</v>
      </c>
      <c r="E99" s="63"/>
      <c r="F99" s="86"/>
    </row>
    <row r="100" spans="1:6" x14ac:dyDescent="0.3">
      <c r="B100" s="134"/>
      <c r="C100" s="64"/>
      <c r="D100" s="174">
        <f>SUM(D96:D99)</f>
        <v>1757032</v>
      </c>
      <c r="E100" s="175"/>
      <c r="F100" s="158"/>
    </row>
    <row r="101" spans="1:6" ht="15" thickBot="1" x14ac:dyDescent="0.35">
      <c r="B101" s="146" t="s">
        <v>114</v>
      </c>
      <c r="C101" s="146" t="s">
        <v>115</v>
      </c>
      <c r="D101" s="134"/>
    </row>
    <row r="102" spans="1:6" x14ac:dyDescent="0.3">
      <c r="A102" s="84" t="s">
        <v>120</v>
      </c>
      <c r="B102" s="80">
        <f>+'Mar 2016'!C102</f>
        <v>20737488</v>
      </c>
      <c r="C102" s="80">
        <v>20738740</v>
      </c>
      <c r="D102" s="2">
        <f>C102-B102</f>
        <v>1252</v>
      </c>
    </row>
    <row r="103" spans="1:6" ht="15" thickBot="1" x14ac:dyDescent="0.35">
      <c r="A103" s="84" t="s">
        <v>121</v>
      </c>
      <c r="B103" s="81">
        <f>+'Mar 2016'!C103</f>
        <v>1116501</v>
      </c>
      <c r="C103" s="81">
        <v>1116501</v>
      </c>
      <c r="D103" s="2">
        <f>C103-B103</f>
        <v>0</v>
      </c>
    </row>
    <row r="104" spans="1:6" x14ac:dyDescent="0.3">
      <c r="D104" s="148">
        <f>SUM(D102:D103)</f>
        <v>1252</v>
      </c>
    </row>
    <row r="105" spans="1:6" x14ac:dyDescent="0.3">
      <c r="D105" s="2"/>
    </row>
    <row r="106" spans="1:6" x14ac:dyDescent="0.3">
      <c r="B106" s="84" t="s">
        <v>42</v>
      </c>
      <c r="D106" s="2"/>
    </row>
    <row r="107" spans="1:6" x14ac:dyDescent="0.3">
      <c r="A107" s="84" t="s">
        <v>46</v>
      </c>
      <c r="B107" s="135">
        <f>D100/1000</f>
        <v>1757.0319999999999</v>
      </c>
      <c r="D107" s="2"/>
    </row>
    <row r="108" spans="1:6" x14ac:dyDescent="0.3">
      <c r="A108" s="84" t="s">
        <v>47</v>
      </c>
      <c r="B108" s="136">
        <f>D104/1000</f>
        <v>1.252</v>
      </c>
      <c r="D108" s="2"/>
    </row>
    <row r="109" spans="1:6" x14ac:dyDescent="0.3">
      <c r="B109" s="136"/>
      <c r="D109" s="2"/>
    </row>
    <row r="110" spans="1:6" x14ac:dyDescent="0.3">
      <c r="A110" s="84" t="s">
        <v>293</v>
      </c>
      <c r="B110" s="136"/>
      <c r="C110" s="84">
        <f>+'Mar 2016'!C111</f>
        <v>99384</v>
      </c>
      <c r="D110" s="2" t="s">
        <v>301</v>
      </c>
    </row>
    <row r="111" spans="1:6" x14ac:dyDescent="0.3">
      <c r="A111" s="84" t="s">
        <v>294</v>
      </c>
      <c r="B111" s="136"/>
      <c r="C111" s="132">
        <v>103962</v>
      </c>
      <c r="D111" s="2" t="s">
        <v>301</v>
      </c>
    </row>
    <row r="112" spans="1:6" x14ac:dyDescent="0.3">
      <c r="A112" s="84" t="s">
        <v>295</v>
      </c>
      <c r="B112" s="136"/>
      <c r="C112" s="339">
        <f>+C111-C110</f>
        <v>4578</v>
      </c>
      <c r="D112" s="2"/>
    </row>
    <row r="113" spans="1:11" x14ac:dyDescent="0.3">
      <c r="A113" s="84" t="s">
        <v>296</v>
      </c>
      <c r="B113" s="136"/>
      <c r="C113" s="370">
        <f>+'Mar 2016'!C114</f>
        <v>79730</v>
      </c>
      <c r="D113" s="2" t="s">
        <v>301</v>
      </c>
    </row>
    <row r="114" spans="1:11" x14ac:dyDescent="0.3">
      <c r="A114" s="84" t="s">
        <v>297</v>
      </c>
      <c r="B114" s="136"/>
      <c r="C114" s="132">
        <v>83790</v>
      </c>
      <c r="D114" s="2" t="s">
        <v>301</v>
      </c>
    </row>
    <row r="115" spans="1:11" x14ac:dyDescent="0.3">
      <c r="A115" s="84" t="s">
        <v>298</v>
      </c>
      <c r="B115" s="136"/>
      <c r="C115" s="370">
        <f>+C114-C113</f>
        <v>4060</v>
      </c>
      <c r="D115" s="2"/>
    </row>
    <row r="116" spans="1:11" ht="15" thickBot="1" x14ac:dyDescent="0.35">
      <c r="A116" s="84" t="s">
        <v>299</v>
      </c>
      <c r="B116" s="136"/>
      <c r="C116" s="84">
        <f>+C112-C115</f>
        <v>518</v>
      </c>
      <c r="D116" s="2"/>
    </row>
    <row r="117" spans="1:11" ht="15" thickBot="1" x14ac:dyDescent="0.35">
      <c r="A117" s="84" t="s">
        <v>300</v>
      </c>
      <c r="B117" s="136"/>
      <c r="C117" s="420">
        <f>+'Mar 2016'!C117+'Apr 2016'!C116</f>
        <v>9794.5</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176">
        <f>$C$87*B122</f>
        <v>26733.083539274387</v>
      </c>
      <c r="D122" s="450" t="s">
        <v>176</v>
      </c>
      <c r="E122" s="451"/>
      <c r="F122" s="451"/>
      <c r="G122" s="451"/>
      <c r="H122" s="451"/>
      <c r="I122" s="452"/>
    </row>
    <row r="123" spans="1:11" x14ac:dyDescent="0.3">
      <c r="A123" s="124" t="s">
        <v>127</v>
      </c>
      <c r="B123" s="141">
        <v>4.3629456705191923E-2</v>
      </c>
      <c r="C123" s="177">
        <f>$C$87*B123</f>
        <v>4138.8647808813266</v>
      </c>
      <c r="D123" s="450"/>
      <c r="E123" s="451"/>
      <c r="F123" s="451"/>
      <c r="G123" s="451"/>
      <c r="H123" s="451"/>
      <c r="I123" s="452"/>
    </row>
    <row r="124" spans="1:11" ht="15" thickBot="1" x14ac:dyDescent="0.35">
      <c r="A124" s="124" t="s">
        <v>128</v>
      </c>
      <c r="B124" s="141">
        <v>0.13446533233518762</v>
      </c>
      <c r="C124" s="177">
        <f>$C$87*B124</f>
        <v>12755.919286645238</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0</v>
      </c>
      <c r="E129" s="84" t="s">
        <v>80</v>
      </c>
    </row>
    <row r="130" spans="1:11" x14ac:dyDescent="0.3">
      <c r="A130" s="2" t="s">
        <v>132</v>
      </c>
      <c r="B130" s="2" t="s">
        <v>131</v>
      </c>
      <c r="C130" s="45">
        <v>3342000</v>
      </c>
      <c r="E130" s="84" t="s">
        <v>80</v>
      </c>
    </row>
    <row r="131" spans="1:11" x14ac:dyDescent="0.3">
      <c r="A131" s="2" t="s">
        <v>133</v>
      </c>
      <c r="B131" s="2" t="s">
        <v>131</v>
      </c>
      <c r="C131" s="45">
        <v>4461000</v>
      </c>
      <c r="E131" s="84" t="s">
        <v>80</v>
      </c>
    </row>
    <row r="132" spans="1:11" x14ac:dyDescent="0.3">
      <c r="A132" s="2" t="s">
        <v>134</v>
      </c>
      <c r="B132" s="2" t="s">
        <v>131</v>
      </c>
      <c r="C132" s="45">
        <v>7352000</v>
      </c>
      <c r="E132" s="84" t="s">
        <v>80</v>
      </c>
    </row>
    <row r="133" spans="1:11" x14ac:dyDescent="0.3">
      <c r="A133" s="2"/>
      <c r="B133" s="148" t="s">
        <v>69</v>
      </c>
      <c r="C133" s="178">
        <f>SUM(C129:C132)</f>
        <v>15155000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15155000</v>
      </c>
      <c r="C137" s="88">
        <f>B137/1000</f>
        <v>15155</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439991</v>
      </c>
      <c r="C142" s="84" t="s">
        <v>144</v>
      </c>
      <c r="D142" s="125"/>
    </row>
    <row r="143" spans="1:11" x14ac:dyDescent="0.3">
      <c r="A143" s="142" t="s">
        <v>145</v>
      </c>
      <c r="B143" s="143">
        <v>337860</v>
      </c>
      <c r="C143" s="84" t="s">
        <v>144</v>
      </c>
      <c r="D143" s="125"/>
    </row>
    <row r="144" spans="1:11" x14ac:dyDescent="0.3">
      <c r="A144" s="142" t="s">
        <v>146</v>
      </c>
      <c r="B144" s="143">
        <v>0</v>
      </c>
      <c r="C144" s="84" t="s">
        <v>144</v>
      </c>
      <c r="D144" s="125"/>
      <c r="F144" s="144"/>
    </row>
    <row r="145" spans="1:6" x14ac:dyDescent="0.3">
      <c r="A145" s="181" t="s">
        <v>147</v>
      </c>
      <c r="B145" s="199">
        <f>SUM(B142:B144)</f>
        <v>777851</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+'Mar 2016'!C153</f>
        <v>27788148</v>
      </c>
      <c r="C153" s="124">
        <v>27975910</v>
      </c>
      <c r="D153" s="144">
        <f>C153-B153</f>
        <v>187762</v>
      </c>
      <c r="E153" s="125"/>
      <c r="F153" s="144"/>
    </row>
    <row r="154" spans="1:6" x14ac:dyDescent="0.3">
      <c r="A154" s="145"/>
      <c r="B154" s="125"/>
      <c r="C154" s="84" t="s">
        <v>144</v>
      </c>
      <c r="D154" s="100">
        <f>SUM(D153)</f>
        <v>187762</v>
      </c>
      <c r="E154" s="125"/>
      <c r="F154" s="144"/>
    </row>
    <row r="155" spans="1:6" x14ac:dyDescent="0.3">
      <c r="A155" s="142" t="s">
        <v>156</v>
      </c>
      <c r="B155" s="185" t="s">
        <v>153</v>
      </c>
      <c r="C155" s="186" t="s">
        <v>154</v>
      </c>
      <c r="D155" s="185" t="s">
        <v>155</v>
      </c>
      <c r="F155" s="144"/>
    </row>
    <row r="156" spans="1:6" x14ac:dyDescent="0.3">
      <c r="A156" s="145"/>
      <c r="B156" s="124">
        <f>+'Mar 2016'!C156</f>
        <v>4891975</v>
      </c>
      <c r="C156" s="124">
        <v>4987425</v>
      </c>
      <c r="D156" s="144">
        <f>C156-B156</f>
        <v>95450</v>
      </c>
      <c r="E156" s="125"/>
      <c r="F156" s="144"/>
    </row>
    <row r="157" spans="1:6" x14ac:dyDescent="0.3">
      <c r="A157" s="145"/>
      <c r="B157" s="125"/>
      <c r="C157" s="84" t="s">
        <v>144</v>
      </c>
      <c r="D157" s="100">
        <f>D156</f>
        <v>95450</v>
      </c>
      <c r="E157" s="125"/>
      <c r="F157" s="144"/>
    </row>
    <row r="158" spans="1:6" ht="15" customHeight="1" x14ac:dyDescent="0.3">
      <c r="A158" s="142" t="s">
        <v>187</v>
      </c>
      <c r="B158" s="185" t="s">
        <v>153</v>
      </c>
      <c r="C158" s="186" t="s">
        <v>154</v>
      </c>
      <c r="D158" s="185" t="s">
        <v>155</v>
      </c>
      <c r="E158" s="125"/>
      <c r="F158" s="144"/>
    </row>
    <row r="159" spans="1:6" ht="15" customHeight="1" x14ac:dyDescent="0.3">
      <c r="A159" s="145"/>
      <c r="B159" s="124">
        <f>+'Mar 2016'!C159</f>
        <v>5192400</v>
      </c>
      <c r="C159" s="124">
        <v>5301425</v>
      </c>
      <c r="D159" s="144">
        <f>C159-B159</f>
        <v>109025</v>
      </c>
      <c r="E159" s="125"/>
      <c r="F159" s="144"/>
    </row>
    <row r="160" spans="1:6" ht="15" customHeight="1" x14ac:dyDescent="0.3">
      <c r="A160" s="145"/>
      <c r="B160" s="125"/>
      <c r="C160" s="84" t="s">
        <v>144</v>
      </c>
      <c r="D160" s="100">
        <f>D159</f>
        <v>109025</v>
      </c>
      <c r="E160" s="125"/>
      <c r="F160" s="144"/>
    </row>
    <row r="161" spans="1:11" ht="15" customHeight="1" x14ac:dyDescent="0.3">
      <c r="A161" s="145"/>
      <c r="B161" s="125"/>
      <c r="D161" s="100"/>
      <c r="E161" s="125"/>
      <c r="F161" s="144"/>
    </row>
    <row r="162" spans="1:11" ht="15" customHeight="1" x14ac:dyDescent="0.3">
      <c r="A162" s="145"/>
      <c r="B162" s="125"/>
      <c r="C162" s="125"/>
      <c r="D162" s="101"/>
      <c r="E162" s="125"/>
      <c r="F162" s="144"/>
    </row>
    <row r="163" spans="1:11" x14ac:dyDescent="0.3">
      <c r="A163" s="181" t="s">
        <v>157</v>
      </c>
      <c r="B163" s="205">
        <f>D157+D154+D160</f>
        <v>392237</v>
      </c>
      <c r="C163" s="84" t="s">
        <v>144</v>
      </c>
      <c r="D163" s="125"/>
      <c r="F163" s="144"/>
    </row>
    <row r="164" spans="1:11" x14ac:dyDescent="0.3">
      <c r="B164" s="204"/>
      <c r="F164" s="144"/>
    </row>
    <row r="165" spans="1:11" x14ac:dyDescent="0.3">
      <c r="A165" s="188" t="s">
        <v>158</v>
      </c>
      <c r="B165" s="207">
        <f>B145+B150+B163</f>
        <v>1170088</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11186000</v>
      </c>
      <c r="C170" s="88">
        <f>B170/1000</f>
        <v>11186</v>
      </c>
      <c r="D170" s="84" t="s">
        <v>163</v>
      </c>
    </row>
    <row r="173" spans="1:11" x14ac:dyDescent="0.3">
      <c r="A173" s="84" t="s">
        <v>164</v>
      </c>
    </row>
    <row r="174" spans="1:11" x14ac:dyDescent="0.3">
      <c r="A174" s="84" t="s">
        <v>165</v>
      </c>
      <c r="B174" s="124">
        <v>2330</v>
      </c>
      <c r="D174" s="459" t="s">
        <v>166</v>
      </c>
      <c r="E174" s="459"/>
      <c r="F174" s="459"/>
      <c r="G174" s="459"/>
      <c r="H174" s="459"/>
      <c r="I174" s="459"/>
    </row>
    <row r="175" spans="1:11" x14ac:dyDescent="0.3">
      <c r="D175" s="459"/>
      <c r="E175" s="459"/>
      <c r="F175" s="459"/>
      <c r="G175" s="459"/>
      <c r="H175" s="459"/>
      <c r="I175" s="459"/>
    </row>
    <row r="176" spans="1:11" x14ac:dyDescent="0.3">
      <c r="D176" s="459"/>
      <c r="E176" s="459"/>
      <c r="F176" s="459"/>
      <c r="G176" s="459"/>
      <c r="H176" s="459"/>
      <c r="I176" s="459"/>
    </row>
  </sheetData>
  <protectedRanges>
    <protectedRange sqref="G8:G25" name="UTILITY COSTS_1"/>
    <protectedRange sqref="B6" name="DATE_1"/>
    <protectedRange sqref="C50:C52" name="HP USAGE"/>
    <protectedRange sqref="C47" name="CLC USAGE"/>
    <protectedRange sqref="C74" name="Month"/>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57"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 sqref="B58" name="NMSU PRODUCED_1"/>
  </protectedRanges>
  <mergeCells count="13">
    <mergeCell ref="F58:H58"/>
    <mergeCell ref="A74:B74"/>
    <mergeCell ref="A76:B76"/>
    <mergeCell ref="D122:I124"/>
    <mergeCell ref="D174:I176"/>
    <mergeCell ref="A68:B68"/>
    <mergeCell ref="A69:B69"/>
    <mergeCell ref="A70:B70"/>
    <mergeCell ref="A71:B71"/>
    <mergeCell ref="A72:B72"/>
    <mergeCell ref="A73:B73"/>
    <mergeCell ref="E81:J81"/>
    <mergeCell ref="D82:D85"/>
  </mergeCells>
  <printOptions headings="1" gridLines="1"/>
  <pageMargins left="0.25" right="0.25" top="0.25" bottom="0.25" header="0.3" footer="0.3"/>
  <pageSetup scale="55" fitToHeight="2" orientation="portrait" r:id="rId1"/>
  <rowBreaks count="1" manualBreakCount="1">
    <brk id="93"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66FF"/>
    <pageSetUpPr fitToPage="1"/>
  </sheetPr>
  <dimension ref="A1:K176"/>
  <sheetViews>
    <sheetView topLeftCell="A79" zoomScale="80" zoomScaleNormal="80" workbookViewId="0">
      <selection activeCell="C117" sqref="C117"/>
    </sheetView>
  </sheetViews>
  <sheetFormatPr defaultColWidth="8.88671875" defaultRowHeight="14.4" x14ac:dyDescent="0.3"/>
  <cols>
    <col min="1" max="1" width="23.33203125" style="84" customWidth="1"/>
    <col min="2" max="2" width="17.5546875" style="84" customWidth="1"/>
    <col min="3" max="3" width="17.6640625" style="84" customWidth="1"/>
    <col min="4" max="4" width="13.6640625" style="84" customWidth="1"/>
    <col min="5" max="5" width="13.5546875" style="84" customWidth="1"/>
    <col min="6" max="6" width="26" style="84" customWidth="1"/>
    <col min="7" max="7" width="13.88671875" style="84" customWidth="1"/>
    <col min="8" max="8" width="20.44140625" style="84" customWidth="1"/>
    <col min="9" max="9" width="7.5546875" style="84" customWidth="1"/>
    <col min="10" max="10" width="10.44140625" style="84" bestFit="1" customWidth="1"/>
    <col min="11" max="11" width="6.6640625" style="84"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321</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6"/>
      <c r="E8" s="381">
        <f>+C47</f>
        <v>3889</v>
      </c>
      <c r="F8" s="112" t="s">
        <v>174</v>
      </c>
      <c r="G8" s="33">
        <v>13715.51</v>
      </c>
      <c r="H8" s="113" t="s">
        <v>15</v>
      </c>
      <c r="I8" s="113"/>
      <c r="J8" s="114">
        <f>E8*0.9756</f>
        <v>3794.1084000000001</v>
      </c>
    </row>
    <row r="9" spans="1:11" ht="15.6" x14ac:dyDescent="0.3">
      <c r="A9" s="153" t="s">
        <v>16</v>
      </c>
      <c r="B9" s="115" t="s">
        <v>17</v>
      </c>
      <c r="C9" s="115" t="s">
        <v>13</v>
      </c>
      <c r="D9" s="26"/>
      <c r="E9" s="382">
        <f>+C50</f>
        <v>0</v>
      </c>
      <c r="F9" s="113"/>
      <c r="G9" s="34">
        <v>1064.28</v>
      </c>
      <c r="H9" s="84" t="s">
        <v>18</v>
      </c>
    </row>
    <row r="10" spans="1:11" ht="15.6" x14ac:dyDescent="0.3">
      <c r="A10" s="153" t="s">
        <v>19</v>
      </c>
      <c r="B10" s="115" t="s">
        <v>17</v>
      </c>
      <c r="C10" s="115" t="s">
        <v>13</v>
      </c>
      <c r="D10" s="26"/>
      <c r="E10" s="382">
        <f>+C51</f>
        <v>39572</v>
      </c>
      <c r="F10" s="113"/>
      <c r="G10" s="34">
        <v>102239.29</v>
      </c>
      <c r="H10" s="84" t="s">
        <v>20</v>
      </c>
    </row>
    <row r="11" spans="1:11" ht="15.6" x14ac:dyDescent="0.3">
      <c r="A11" s="153" t="s">
        <v>21</v>
      </c>
      <c r="B11" s="115" t="s">
        <v>17</v>
      </c>
      <c r="C11" s="115" t="s">
        <v>13</v>
      </c>
      <c r="D11" s="26"/>
      <c r="E11" s="382">
        <f>+C52</f>
        <v>6247</v>
      </c>
      <c r="F11" s="113"/>
      <c r="G11" s="34">
        <v>17036.18</v>
      </c>
      <c r="H11" s="84" t="s">
        <v>22</v>
      </c>
    </row>
    <row r="12" spans="1:11" ht="15.6" x14ac:dyDescent="0.3">
      <c r="A12" s="153" t="s">
        <v>23</v>
      </c>
      <c r="B12" s="115" t="s">
        <v>17</v>
      </c>
      <c r="C12" s="115" t="s">
        <v>13</v>
      </c>
      <c r="D12" s="26"/>
      <c r="E12" s="381">
        <f>+C53</f>
        <v>45819</v>
      </c>
      <c r="F12" s="113" t="s">
        <v>24</v>
      </c>
      <c r="G12" s="2"/>
    </row>
    <row r="13" spans="1:11" ht="15.6" x14ac:dyDescent="0.3">
      <c r="A13" s="152" t="s">
        <v>25</v>
      </c>
      <c r="B13" s="112" t="s">
        <v>26</v>
      </c>
      <c r="C13" s="112" t="s">
        <v>27</v>
      </c>
      <c r="D13" s="381">
        <f>+C63</f>
        <v>282192512</v>
      </c>
      <c r="E13" s="208">
        <f>+E63</f>
        <v>119872</v>
      </c>
      <c r="F13" s="113" t="s">
        <v>28</v>
      </c>
      <c r="G13" s="154"/>
      <c r="H13" s="19"/>
      <c r="I13" s="19"/>
      <c r="J13" s="20"/>
      <c r="K13" s="20"/>
    </row>
    <row r="14" spans="1:11" ht="15.6" x14ac:dyDescent="0.3">
      <c r="A14" s="152" t="s">
        <v>29</v>
      </c>
      <c r="B14" s="112" t="s">
        <v>26</v>
      </c>
      <c r="C14" s="112" t="s">
        <v>30</v>
      </c>
      <c r="D14" s="26"/>
      <c r="E14" s="382">
        <f>+B150</f>
        <v>0</v>
      </c>
      <c r="F14" s="113" t="s">
        <v>31</v>
      </c>
      <c r="G14" s="21"/>
      <c r="H14" s="113"/>
      <c r="I14" s="113"/>
      <c r="J14" s="116"/>
      <c r="K14" s="116"/>
    </row>
    <row r="15" spans="1:11" ht="15.6" x14ac:dyDescent="0.3">
      <c r="A15" s="152" t="s">
        <v>32</v>
      </c>
      <c r="B15" s="112" t="s">
        <v>26</v>
      </c>
      <c r="C15" s="112" t="s">
        <v>33</v>
      </c>
      <c r="D15" s="26"/>
      <c r="E15" s="382">
        <f>+B145</f>
        <v>744508</v>
      </c>
      <c r="F15" s="113" t="s">
        <v>31</v>
      </c>
      <c r="G15" s="21"/>
      <c r="H15" s="113"/>
      <c r="I15" s="113"/>
      <c r="J15" s="116"/>
      <c r="K15" s="116"/>
    </row>
    <row r="16" spans="1:11" ht="15.6" x14ac:dyDescent="0.3">
      <c r="A16" s="152" t="s">
        <v>34</v>
      </c>
      <c r="B16" s="112" t="s">
        <v>26</v>
      </c>
      <c r="C16" s="112" t="s">
        <v>35</v>
      </c>
      <c r="D16" s="26"/>
      <c r="E16" s="382">
        <f>+C137</f>
        <v>17417</v>
      </c>
      <c r="F16" s="113" t="s">
        <v>36</v>
      </c>
      <c r="G16" s="23" t="s">
        <v>37</v>
      </c>
      <c r="H16" s="117"/>
      <c r="I16" s="113"/>
      <c r="J16" s="113"/>
      <c r="K16" s="113"/>
    </row>
    <row r="17" spans="1:11" ht="15.6" x14ac:dyDescent="0.3">
      <c r="A17" s="152" t="s">
        <v>38</v>
      </c>
      <c r="B17" s="112" t="s">
        <v>26</v>
      </c>
      <c r="C17" s="112" t="s">
        <v>27</v>
      </c>
      <c r="D17" s="26"/>
      <c r="E17" s="381">
        <f>+C60</f>
        <v>5278023</v>
      </c>
      <c r="F17" s="113"/>
      <c r="G17" s="155">
        <v>150944.26999999999</v>
      </c>
      <c r="H17" s="113" t="s">
        <v>39</v>
      </c>
      <c r="I17" s="156"/>
      <c r="J17" s="156"/>
      <c r="K17" s="156"/>
    </row>
    <row r="18" spans="1:11" ht="15.6" x14ac:dyDescent="0.3">
      <c r="A18" s="152" t="s">
        <v>40</v>
      </c>
      <c r="B18" s="112" t="s">
        <v>41</v>
      </c>
      <c r="C18" s="112" t="s">
        <v>42</v>
      </c>
      <c r="D18" s="26"/>
      <c r="E18" s="381">
        <f>+C87</f>
        <v>70644</v>
      </c>
      <c r="F18" s="113" t="s">
        <v>43</v>
      </c>
      <c r="G18" s="33">
        <v>622.4</v>
      </c>
      <c r="H18" s="113" t="s">
        <v>44</v>
      </c>
      <c r="I18" s="113"/>
      <c r="J18" s="113"/>
      <c r="K18" s="113"/>
    </row>
    <row r="19" spans="1:11" ht="15.6" x14ac:dyDescent="0.3">
      <c r="A19" s="84" t="s">
        <v>45</v>
      </c>
      <c r="B19" s="115" t="s">
        <v>41</v>
      </c>
      <c r="C19" s="115" t="s">
        <v>42</v>
      </c>
      <c r="D19" s="381">
        <f>+D91</f>
        <v>49579422</v>
      </c>
      <c r="E19" s="26"/>
      <c r="G19" s="2"/>
    </row>
    <row r="20" spans="1:11" ht="15.6" x14ac:dyDescent="0.3">
      <c r="A20" s="84" t="s">
        <v>46</v>
      </c>
      <c r="B20" s="115" t="s">
        <v>41</v>
      </c>
      <c r="C20" s="115" t="s">
        <v>42</v>
      </c>
      <c r="D20" s="26"/>
      <c r="E20" s="381">
        <f>+B107</f>
        <v>732.77</v>
      </c>
      <c r="G20" s="2"/>
    </row>
    <row r="21" spans="1:11" ht="15.6" x14ac:dyDescent="0.3">
      <c r="A21" s="84" t="s">
        <v>47</v>
      </c>
      <c r="B21" s="115" t="s">
        <v>41</v>
      </c>
      <c r="C21" s="115" t="s">
        <v>42</v>
      </c>
      <c r="D21" s="26"/>
      <c r="E21" s="381">
        <f>+B108</f>
        <v>27.4</v>
      </c>
      <c r="G21" s="2"/>
    </row>
    <row r="22" spans="1:11" ht="15.6" x14ac:dyDescent="0.3">
      <c r="A22" s="152" t="s">
        <v>48</v>
      </c>
      <c r="B22" s="112" t="s">
        <v>49</v>
      </c>
      <c r="C22" s="112" t="s">
        <v>50</v>
      </c>
      <c r="D22" s="26"/>
      <c r="E22" s="381">
        <f>+C136</f>
        <v>0</v>
      </c>
      <c r="F22" s="113" t="s">
        <v>36</v>
      </c>
      <c r="G22" s="21" t="s">
        <v>51</v>
      </c>
      <c r="H22" s="113"/>
      <c r="I22" s="113"/>
      <c r="J22" s="113"/>
      <c r="K22" s="113"/>
    </row>
    <row r="23" spans="1:11" ht="15.6" x14ac:dyDescent="0.3">
      <c r="A23" s="152" t="s">
        <v>52</v>
      </c>
      <c r="B23" s="112" t="s">
        <v>49</v>
      </c>
      <c r="C23" s="112" t="s">
        <v>50</v>
      </c>
      <c r="D23" s="26"/>
      <c r="E23" s="381">
        <f>+C137</f>
        <v>17417</v>
      </c>
      <c r="F23" s="113" t="s">
        <v>36</v>
      </c>
      <c r="G23" s="21" t="s">
        <v>37</v>
      </c>
      <c r="H23" s="113"/>
      <c r="I23" s="113"/>
      <c r="J23" s="113"/>
      <c r="K23" s="113"/>
    </row>
    <row r="24" spans="1:11" ht="15.6" x14ac:dyDescent="0.3">
      <c r="A24" s="152" t="s">
        <v>53</v>
      </c>
      <c r="B24" s="112" t="s">
        <v>54</v>
      </c>
      <c r="C24" s="112" t="s">
        <v>55</v>
      </c>
      <c r="D24" s="26"/>
      <c r="E24" s="381">
        <f>+B165</f>
        <v>1046838</v>
      </c>
      <c r="F24" s="113" t="s">
        <v>31</v>
      </c>
      <c r="G24" s="21"/>
      <c r="H24" s="113"/>
      <c r="I24" s="113"/>
      <c r="J24" s="113"/>
      <c r="K24" s="113"/>
    </row>
    <row r="25" spans="1:11" ht="15.6" x14ac:dyDescent="0.3">
      <c r="A25" s="152" t="s">
        <v>56</v>
      </c>
      <c r="B25" s="112" t="s">
        <v>57</v>
      </c>
      <c r="C25" s="112" t="s">
        <v>42</v>
      </c>
      <c r="D25" s="26"/>
      <c r="E25" s="381">
        <f>+C170</f>
        <v>11517</v>
      </c>
      <c r="F25" s="113" t="s">
        <v>58</v>
      </c>
      <c r="G25" s="33">
        <v>30927.08</v>
      </c>
      <c r="H25" s="113" t="s">
        <v>44</v>
      </c>
      <c r="I25" s="113"/>
      <c r="J25" s="113"/>
      <c r="K25" s="113"/>
    </row>
    <row r="26" spans="1:11" ht="15.6" x14ac:dyDescent="0.3">
      <c r="A26" s="152" t="s">
        <v>165</v>
      </c>
      <c r="B26" s="112" t="s">
        <v>57</v>
      </c>
      <c r="C26" s="112" t="s">
        <v>42</v>
      </c>
      <c r="D26" s="26"/>
      <c r="E26" s="381">
        <f>+B174</f>
        <v>2330</v>
      </c>
      <c r="G26" s="2" t="s">
        <v>183</v>
      </c>
    </row>
    <row r="27" spans="1:11" ht="15.6" x14ac:dyDescent="0.3">
      <c r="A27" s="152" t="s">
        <v>186</v>
      </c>
      <c r="B27" s="112" t="s">
        <v>26</v>
      </c>
      <c r="C27" s="112" t="s">
        <v>27</v>
      </c>
      <c r="D27" s="381">
        <f>+E76</f>
        <v>12079961.1</v>
      </c>
      <c r="E27" s="209"/>
      <c r="G27" s="2"/>
    </row>
    <row r="28" spans="1:11" ht="15.6" x14ac:dyDescent="0.3">
      <c r="A28" s="152" t="s">
        <v>302</v>
      </c>
      <c r="B28" s="112" t="s">
        <v>41</v>
      </c>
      <c r="C28" s="112" t="s">
        <v>303</v>
      </c>
      <c r="D28" s="381">
        <f>+C117</f>
        <v>9276.5</v>
      </c>
      <c r="E28" s="209"/>
      <c r="G28" s="2"/>
    </row>
    <row r="29" spans="1:11" ht="15.6" x14ac:dyDescent="0.3">
      <c r="A29" s="152" t="s">
        <v>125</v>
      </c>
      <c r="B29" s="112"/>
      <c r="C29" s="112"/>
      <c r="D29" s="381">
        <f>+C122</f>
        <v>19907.783285002737</v>
      </c>
      <c r="E29" s="209"/>
      <c r="G29" s="2"/>
    </row>
    <row r="30" spans="1:11" ht="15.6" x14ac:dyDescent="0.3">
      <c r="A30" s="152" t="s">
        <v>127</v>
      </c>
      <c r="B30" s="112"/>
      <c r="C30" s="112"/>
      <c r="D30" s="381">
        <f>+C123</f>
        <v>3082.1593394815782</v>
      </c>
      <c r="E30" s="209"/>
      <c r="G30" s="2"/>
    </row>
    <row r="31" spans="1:11" ht="15.6" x14ac:dyDescent="0.3">
      <c r="A31" s="152" t="s">
        <v>128</v>
      </c>
      <c r="B31" s="112"/>
      <c r="C31" s="112"/>
      <c r="D31" s="381">
        <f>+C124</f>
        <v>9499.1689374869948</v>
      </c>
      <c r="E31" s="209"/>
      <c r="G31" s="2"/>
    </row>
    <row r="32" spans="1:11" ht="15.6" x14ac:dyDescent="0.3">
      <c r="A32" s="152"/>
      <c r="B32" s="112"/>
      <c r="C32" s="112"/>
      <c r="D32" s="383"/>
      <c r="E32" s="209"/>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120339.75</v>
      </c>
      <c r="F37" s="121"/>
    </row>
    <row r="38" spans="1:11" x14ac:dyDescent="0.3">
      <c r="A38" s="119" t="s">
        <v>63</v>
      </c>
      <c r="B38" s="119" t="s">
        <v>63</v>
      </c>
      <c r="C38" s="119"/>
      <c r="D38" s="119"/>
      <c r="E38" s="122">
        <f>+G8</f>
        <v>13715.51</v>
      </c>
      <c r="F38" s="121"/>
    </row>
    <row r="39" spans="1:11" x14ac:dyDescent="0.3">
      <c r="A39" s="119"/>
      <c r="B39" s="119" t="s">
        <v>64</v>
      </c>
      <c r="C39" s="119"/>
      <c r="D39" s="119"/>
      <c r="E39" s="120">
        <f>SUM(E37:E38)</f>
        <v>134055.26</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3889</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39572</v>
      </c>
    </row>
    <row r="52" spans="1:11" x14ac:dyDescent="0.3">
      <c r="A52" s="2" t="s">
        <v>74</v>
      </c>
      <c r="B52" s="2" t="s">
        <v>13</v>
      </c>
      <c r="C52" s="45">
        <v>6247</v>
      </c>
    </row>
    <row r="53" spans="1:11" x14ac:dyDescent="0.3">
      <c r="A53" s="2"/>
      <c r="B53" s="2" t="s">
        <v>69</v>
      </c>
      <c r="C53" s="38">
        <f>SUM(C50:C52)</f>
        <v>45819</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x14ac:dyDescent="0.3">
      <c r="A58" s="146" t="s">
        <v>78</v>
      </c>
      <c r="B58" s="124">
        <f>+C58/1000</f>
        <v>3225.1439999999998</v>
      </c>
      <c r="C58" s="40">
        <v>3225144</v>
      </c>
      <c r="D58" s="84" t="s">
        <v>79</v>
      </c>
      <c r="E58" s="41"/>
      <c r="F58" s="458" t="s">
        <v>268</v>
      </c>
      <c r="G58" s="458"/>
      <c r="H58" s="458"/>
      <c r="J58" s="84">
        <f>72989960-69764816</f>
        <v>3225144</v>
      </c>
    </row>
    <row r="59" spans="1:11" x14ac:dyDescent="0.3">
      <c r="A59" s="146" t="s">
        <v>81</v>
      </c>
      <c r="B59" s="125"/>
      <c r="C59" s="34">
        <v>2052879</v>
      </c>
      <c r="D59" s="84" t="s">
        <v>79</v>
      </c>
      <c r="E59" s="41"/>
      <c r="F59" s="84" t="s">
        <v>82</v>
      </c>
    </row>
    <row r="60" spans="1:11" x14ac:dyDescent="0.3">
      <c r="A60" s="146" t="s">
        <v>83</v>
      </c>
      <c r="C60" s="40">
        <f>SUM(C58:C59)</f>
        <v>5278023</v>
      </c>
      <c r="D60" s="84" t="s">
        <v>79</v>
      </c>
      <c r="E60" s="41"/>
    </row>
    <row r="61" spans="1:11" x14ac:dyDescent="0.3">
      <c r="A61" s="146"/>
    </row>
    <row r="62" spans="1:11" x14ac:dyDescent="0.3">
      <c r="A62" s="146"/>
      <c r="B62" s="146" t="s">
        <v>84</v>
      </c>
      <c r="C62" s="146" t="s">
        <v>85</v>
      </c>
      <c r="D62" s="146"/>
      <c r="E62" s="146" t="s">
        <v>8</v>
      </c>
    </row>
    <row r="63" spans="1:11" x14ac:dyDescent="0.3">
      <c r="A63" s="146" t="s">
        <v>87</v>
      </c>
      <c r="B63" s="126">
        <f>+'Feb 2016'!C63</f>
        <v>282072640</v>
      </c>
      <c r="C63" s="126">
        <v>282192512</v>
      </c>
      <c r="D63" s="84" t="s">
        <v>79</v>
      </c>
      <c r="E63" s="160">
        <f>+C63-B63</f>
        <v>119872</v>
      </c>
      <c r="F63" s="84" t="s">
        <v>86</v>
      </c>
    </row>
    <row r="66" spans="1:11" x14ac:dyDescent="0.3">
      <c r="A66" s="163" t="s">
        <v>89</v>
      </c>
      <c r="B66" s="127"/>
      <c r="C66" s="127"/>
      <c r="D66" s="125"/>
      <c r="E66" s="125"/>
    </row>
    <row r="67" spans="1:11" x14ac:dyDescent="0.3">
      <c r="A67" s="163" t="s">
        <v>90</v>
      </c>
      <c r="B67" s="127"/>
      <c r="C67" s="127"/>
      <c r="D67" s="125"/>
      <c r="E67" s="125"/>
    </row>
    <row r="68" spans="1:11" x14ac:dyDescent="0.3">
      <c r="A68" s="457" t="s">
        <v>167</v>
      </c>
      <c r="B68" s="457"/>
      <c r="C68" s="127" t="s">
        <v>179</v>
      </c>
      <c r="D68" s="69"/>
      <c r="E68" s="191">
        <f>+'Feb 2016'!E69</f>
        <v>11957324</v>
      </c>
      <c r="F68" s="201"/>
    </row>
    <row r="69" spans="1:11" x14ac:dyDescent="0.3">
      <c r="A69" s="457" t="s">
        <v>167</v>
      </c>
      <c r="B69" s="457"/>
      <c r="C69" s="127" t="s">
        <v>181</v>
      </c>
      <c r="D69" s="125"/>
      <c r="E69" s="128">
        <v>12087717</v>
      </c>
      <c r="F69" s="84" t="s">
        <v>184</v>
      </c>
    </row>
    <row r="70" spans="1:11" x14ac:dyDescent="0.3">
      <c r="A70" s="457" t="s">
        <v>168</v>
      </c>
      <c r="B70" s="457"/>
      <c r="C70" s="127" t="s">
        <v>181</v>
      </c>
      <c r="D70" s="125"/>
      <c r="E70" s="216">
        <f>+E69-E68</f>
        <v>130393</v>
      </c>
    </row>
    <row r="71" spans="1:11" x14ac:dyDescent="0.3">
      <c r="A71" s="457" t="s">
        <v>169</v>
      </c>
      <c r="B71" s="457"/>
      <c r="C71" s="127" t="s">
        <v>179</v>
      </c>
      <c r="D71" s="125"/>
      <c r="E71" s="192">
        <f>+'Feb 2016'!E72</f>
        <v>284131.09999999998</v>
      </c>
    </row>
    <row r="72" spans="1:11" x14ac:dyDescent="0.3">
      <c r="A72" s="457" t="s">
        <v>170</v>
      </c>
      <c r="B72" s="457"/>
      <c r="C72" s="127" t="s">
        <v>181</v>
      </c>
      <c r="D72" s="125"/>
      <c r="E72" s="128">
        <v>291887</v>
      </c>
      <c r="F72" s="84" t="s">
        <v>185</v>
      </c>
    </row>
    <row r="73" spans="1:11" x14ac:dyDescent="0.3">
      <c r="A73" s="457" t="s">
        <v>173</v>
      </c>
      <c r="B73" s="457"/>
      <c r="C73" s="127" t="s">
        <v>181</v>
      </c>
      <c r="D73" s="125"/>
      <c r="E73" s="216">
        <f>+E72-E71</f>
        <v>7755.9000000000233</v>
      </c>
    </row>
    <row r="74" spans="1:11" x14ac:dyDescent="0.3">
      <c r="A74" s="448" t="s">
        <v>91</v>
      </c>
      <c r="B74" s="448"/>
      <c r="C74" s="164" t="s">
        <v>181</v>
      </c>
      <c r="D74" s="125"/>
      <c r="E74" s="217">
        <f>+E70-E73</f>
        <v>122637.09999999998</v>
      </c>
    </row>
    <row r="75" spans="1:11" x14ac:dyDescent="0.3">
      <c r="A75" s="127"/>
      <c r="B75" s="127"/>
      <c r="C75" s="127"/>
      <c r="D75" s="125"/>
      <c r="E75" s="125"/>
    </row>
    <row r="76" spans="1:11" x14ac:dyDescent="0.3">
      <c r="A76" s="449" t="s">
        <v>92</v>
      </c>
      <c r="B76" s="449"/>
      <c r="C76" s="166" t="s">
        <v>181</v>
      </c>
      <c r="D76" s="167"/>
      <c r="E76" s="168">
        <f>+E68+E74</f>
        <v>12079961.1</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27.6" customHeight="1" x14ac:dyDescent="0.3">
      <c r="A81" s="84" t="s">
        <v>96</v>
      </c>
      <c r="B81" s="129"/>
      <c r="E81" s="458" t="s">
        <v>97</v>
      </c>
      <c r="F81" s="458"/>
      <c r="G81" s="458"/>
      <c r="H81" s="458"/>
      <c r="I81" s="458"/>
      <c r="J81" s="458"/>
    </row>
    <row r="82" spans="1:10" x14ac:dyDescent="0.3">
      <c r="A82" s="130" t="s">
        <v>98</v>
      </c>
      <c r="B82" s="131">
        <v>7524000</v>
      </c>
      <c r="C82" s="84">
        <f>B82/1000</f>
        <v>7524</v>
      </c>
    </row>
    <row r="83" spans="1:10" x14ac:dyDescent="0.3">
      <c r="A83" s="130" t="s">
        <v>99</v>
      </c>
      <c r="B83" s="131">
        <v>0</v>
      </c>
      <c r="C83" s="84">
        <f>B83/1000</f>
        <v>0</v>
      </c>
    </row>
    <row r="84" spans="1:10" x14ac:dyDescent="0.3">
      <c r="A84" s="130" t="s">
        <v>100</v>
      </c>
      <c r="B84" s="131">
        <v>4523000</v>
      </c>
      <c r="C84" s="84">
        <f>B84/1000</f>
        <v>4523</v>
      </c>
      <c r="E84" s="206"/>
    </row>
    <row r="85" spans="1:10" x14ac:dyDescent="0.3">
      <c r="A85" s="130" t="s">
        <v>101</v>
      </c>
      <c r="B85" s="131">
        <v>58597000</v>
      </c>
      <c r="C85" s="84">
        <f>B85/1000</f>
        <v>58597</v>
      </c>
    </row>
    <row r="86" spans="1:10" x14ac:dyDescent="0.3">
      <c r="A86" s="84" t="s">
        <v>102</v>
      </c>
      <c r="B86" s="75"/>
      <c r="C86" s="132">
        <f t="shared" ref="C86" si="0">B86/1000</f>
        <v>0</v>
      </c>
      <c r="F86" s="84" t="s">
        <v>103</v>
      </c>
    </row>
    <row r="87" spans="1:10" x14ac:dyDescent="0.3">
      <c r="A87" s="84" t="s">
        <v>104</v>
      </c>
      <c r="B87" s="170">
        <f>SUM(B82:B86)</f>
        <v>70644000</v>
      </c>
      <c r="C87" s="133">
        <f>SUM(C81:C86)</f>
        <v>70644</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422">
        <v>3563400</v>
      </c>
      <c r="C91" s="171">
        <f>+'Feb 2016'!D91</f>
        <v>46016022</v>
      </c>
      <c r="D91" s="40">
        <f>+C91+B91</f>
        <v>49579422</v>
      </c>
      <c r="E91" s="84" t="s">
        <v>108</v>
      </c>
    </row>
    <row r="92" spans="1:10" x14ac:dyDescent="0.3">
      <c r="A92" s="84" t="s">
        <v>109</v>
      </c>
      <c r="B92" s="172" t="s">
        <v>110</v>
      </c>
      <c r="C92" s="172" t="s">
        <v>111</v>
      </c>
      <c r="D92" s="173" t="s">
        <v>112</v>
      </c>
    </row>
    <row r="93" spans="1:10" x14ac:dyDescent="0.3">
      <c r="A93" s="84" t="s">
        <v>45</v>
      </c>
      <c r="B93" s="124">
        <f>+'Feb 2016'!C93</f>
        <v>10545494</v>
      </c>
      <c r="C93" s="124">
        <v>10900684</v>
      </c>
      <c r="D93" s="391">
        <f>+C93-B93</f>
        <v>355190</v>
      </c>
      <c r="E93" s="84" t="s">
        <v>113</v>
      </c>
    </row>
    <row r="94" spans="1:10" x14ac:dyDescent="0.3">
      <c r="C94" s="146"/>
      <c r="D94" s="146"/>
    </row>
    <row r="95" spans="1:10" ht="15" thickBot="1" x14ac:dyDescent="0.35">
      <c r="B95" s="146" t="s">
        <v>114</v>
      </c>
      <c r="C95" s="146" t="s">
        <v>115</v>
      </c>
      <c r="D95" s="149" t="s">
        <v>112</v>
      </c>
      <c r="E95" s="334" t="s">
        <v>287</v>
      </c>
      <c r="F95" s="146"/>
    </row>
    <row r="96" spans="1:10" x14ac:dyDescent="0.3">
      <c r="A96" s="84" t="s">
        <v>116</v>
      </c>
      <c r="B96" s="77">
        <f>+'Feb 2016'!C96</f>
        <v>16705412</v>
      </c>
      <c r="C96" s="77">
        <v>17712812</v>
      </c>
      <c r="D96" s="134">
        <f>C96-B96</f>
        <v>1007400</v>
      </c>
      <c r="E96" s="134">
        <f>606350/2</f>
        <v>303175</v>
      </c>
    </row>
    <row r="97" spans="1:6" x14ac:dyDescent="0.3">
      <c r="A97" s="84" t="s">
        <v>117</v>
      </c>
      <c r="B97" s="78">
        <f>+'Feb 2016'!C97</f>
        <v>15556062</v>
      </c>
      <c r="C97" s="78">
        <v>15560402</v>
      </c>
      <c r="D97" s="134">
        <f t="shared" ref="D97:D99" si="1">C97-B97</f>
        <v>4340</v>
      </c>
      <c r="E97" s="134">
        <f>606350/2</f>
        <v>303175</v>
      </c>
      <c r="F97" s="86"/>
    </row>
    <row r="98" spans="1:6" x14ac:dyDescent="0.3">
      <c r="A98" s="84" t="s">
        <v>118</v>
      </c>
      <c r="B98" s="78">
        <f>+'Feb 2016'!C98</f>
        <v>9128500</v>
      </c>
      <c r="C98" s="78">
        <v>9715730</v>
      </c>
      <c r="D98" s="134">
        <f t="shared" si="1"/>
        <v>587230</v>
      </c>
      <c r="E98" s="134">
        <v>74820</v>
      </c>
      <c r="F98" s="86"/>
    </row>
    <row r="99" spans="1:6" ht="15" thickBot="1" x14ac:dyDescent="0.35">
      <c r="A99" s="84" t="s">
        <v>119</v>
      </c>
      <c r="B99" s="79">
        <f>+'Feb 2016'!C99</f>
        <v>1662314</v>
      </c>
      <c r="C99" s="79">
        <v>1713914</v>
      </c>
      <c r="D99" s="134">
        <f t="shared" si="1"/>
        <v>51600</v>
      </c>
      <c r="E99" s="134">
        <f>+D99</f>
        <v>51600</v>
      </c>
      <c r="F99" s="86"/>
    </row>
    <row r="100" spans="1:6" x14ac:dyDescent="0.3">
      <c r="B100" s="134"/>
      <c r="C100" s="64"/>
      <c r="D100" s="174">
        <f>SUM(D96:D99)</f>
        <v>1650570</v>
      </c>
      <c r="E100" s="174">
        <f>SUM(E96:E99)</f>
        <v>732770</v>
      </c>
      <c r="F100" s="158"/>
    </row>
    <row r="101" spans="1:6" ht="15" thickBot="1" x14ac:dyDescent="0.35">
      <c r="B101" s="146" t="s">
        <v>114</v>
      </c>
      <c r="C101" s="146" t="s">
        <v>115</v>
      </c>
      <c r="D101" s="134"/>
    </row>
    <row r="102" spans="1:6" x14ac:dyDescent="0.3">
      <c r="A102" s="84" t="s">
        <v>120</v>
      </c>
      <c r="B102" s="80">
        <f>+'Feb 2016'!C102</f>
        <v>20737488</v>
      </c>
      <c r="C102" s="80">
        <v>20737488</v>
      </c>
      <c r="D102" s="2">
        <f>C102-B102</f>
        <v>0</v>
      </c>
    </row>
    <row r="103" spans="1:6" ht="15" thickBot="1" x14ac:dyDescent="0.35">
      <c r="A103" s="84" t="s">
        <v>121</v>
      </c>
      <c r="B103" s="81">
        <f>+'Feb 2016'!C103</f>
        <v>1089101</v>
      </c>
      <c r="C103" s="81">
        <v>1116501</v>
      </c>
      <c r="D103" s="2">
        <f>C103-B103</f>
        <v>27400</v>
      </c>
    </row>
    <row r="104" spans="1:6" x14ac:dyDescent="0.3">
      <c r="D104" s="148">
        <f>SUM(D102:D103)</f>
        <v>27400</v>
      </c>
    </row>
    <row r="105" spans="1:6" x14ac:dyDescent="0.3">
      <c r="D105" s="2"/>
    </row>
    <row r="106" spans="1:6" x14ac:dyDescent="0.3">
      <c r="B106" s="84" t="s">
        <v>42</v>
      </c>
      <c r="D106" s="2"/>
    </row>
    <row r="107" spans="1:6" x14ac:dyDescent="0.3">
      <c r="A107" s="84" t="s">
        <v>46</v>
      </c>
      <c r="B107" s="416">
        <f>E100/1000</f>
        <v>732.77</v>
      </c>
      <c r="D107" s="2"/>
    </row>
    <row r="108" spans="1:6" x14ac:dyDescent="0.3">
      <c r="A108" s="84" t="s">
        <v>47</v>
      </c>
      <c r="B108" s="136">
        <f>D104/1000</f>
        <v>27.4</v>
      </c>
      <c r="D108" s="2"/>
    </row>
    <row r="109" spans="1:6" x14ac:dyDescent="0.3">
      <c r="B109" s="136"/>
      <c r="D109" s="2"/>
    </row>
    <row r="110" spans="1:6" x14ac:dyDescent="0.3">
      <c r="A110" s="84" t="s">
        <v>293</v>
      </c>
      <c r="B110" s="136"/>
      <c r="C110" s="84">
        <f>+'Feb 2016'!C111</f>
        <v>94192</v>
      </c>
      <c r="D110" s="2" t="s">
        <v>301</v>
      </c>
    </row>
    <row r="111" spans="1:6" x14ac:dyDescent="0.3">
      <c r="A111" s="84" t="s">
        <v>294</v>
      </c>
      <c r="B111" s="136"/>
      <c r="C111" s="132">
        <v>99384</v>
      </c>
      <c r="D111" s="2" t="s">
        <v>301</v>
      </c>
    </row>
    <row r="112" spans="1:6" x14ac:dyDescent="0.3">
      <c r="A112" s="84" t="s">
        <v>295</v>
      </c>
      <c r="B112" s="136"/>
      <c r="C112" s="339">
        <f>+C111-C110</f>
        <v>5192</v>
      </c>
      <c r="D112" s="2"/>
    </row>
    <row r="113" spans="1:11" x14ac:dyDescent="0.3">
      <c r="A113" s="84" t="s">
        <v>296</v>
      </c>
      <c r="B113" s="136"/>
      <c r="C113" s="370">
        <f>+'Feb 2016'!C114</f>
        <v>75210</v>
      </c>
      <c r="D113" s="2" t="s">
        <v>301</v>
      </c>
    </row>
    <row r="114" spans="1:11" x14ac:dyDescent="0.3">
      <c r="A114" s="84" t="s">
        <v>297</v>
      </c>
      <c r="B114" s="136"/>
      <c r="C114" s="132">
        <v>79730</v>
      </c>
      <c r="D114" s="2" t="s">
        <v>301</v>
      </c>
    </row>
    <row r="115" spans="1:11" x14ac:dyDescent="0.3">
      <c r="A115" s="84" t="s">
        <v>298</v>
      </c>
      <c r="B115" s="136"/>
      <c r="C115" s="370">
        <f>+C114-C113</f>
        <v>4520</v>
      </c>
      <c r="D115" s="2"/>
    </row>
    <row r="116" spans="1:11" ht="15" thickBot="1" x14ac:dyDescent="0.35">
      <c r="A116" s="84" t="s">
        <v>299</v>
      </c>
      <c r="B116" s="136"/>
      <c r="C116" s="84">
        <f>+C112-C115</f>
        <v>672</v>
      </c>
      <c r="D116" s="2"/>
    </row>
    <row r="117" spans="1:11" ht="15" thickBot="1" x14ac:dyDescent="0.35">
      <c r="A117" s="84" t="s">
        <v>300</v>
      </c>
      <c r="B117" s="136"/>
      <c r="C117" s="418">
        <f>+'Feb 2016'!C117+'Mar 2016'!C116</f>
        <v>9276.5</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176">
        <f>$C$87*B122</f>
        <v>19907.783285002737</v>
      </c>
      <c r="D122" s="450" t="s">
        <v>176</v>
      </c>
      <c r="E122" s="451"/>
      <c r="F122" s="451"/>
      <c r="G122" s="451"/>
      <c r="H122" s="451"/>
      <c r="I122" s="452"/>
    </row>
    <row r="123" spans="1:11" x14ac:dyDescent="0.3">
      <c r="A123" s="124" t="s">
        <v>127</v>
      </c>
      <c r="B123" s="141">
        <v>4.3629456705191923E-2</v>
      </c>
      <c r="C123" s="177">
        <f>$C$87*B123</f>
        <v>3082.1593394815782</v>
      </c>
      <c r="D123" s="450"/>
      <c r="E123" s="451"/>
      <c r="F123" s="451"/>
      <c r="G123" s="451"/>
      <c r="H123" s="451"/>
      <c r="I123" s="452"/>
    </row>
    <row r="124" spans="1:11" ht="15" thickBot="1" x14ac:dyDescent="0.35">
      <c r="A124" s="124" t="s">
        <v>128</v>
      </c>
      <c r="B124" s="141">
        <v>0.13446533233518762</v>
      </c>
      <c r="C124" s="177">
        <f>$C$87*B124</f>
        <v>9499.1689374869948</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343000</v>
      </c>
      <c r="E129" s="84" t="s">
        <v>80</v>
      </c>
    </row>
    <row r="130" spans="1:11" x14ac:dyDescent="0.3">
      <c r="A130" s="2" t="s">
        <v>132</v>
      </c>
      <c r="B130" s="2" t="s">
        <v>131</v>
      </c>
      <c r="C130" s="45">
        <v>343000</v>
      </c>
      <c r="E130" s="84" t="s">
        <v>80</v>
      </c>
    </row>
    <row r="131" spans="1:11" x14ac:dyDescent="0.3">
      <c r="A131" s="2" t="s">
        <v>133</v>
      </c>
      <c r="B131" s="2" t="s">
        <v>131</v>
      </c>
      <c r="C131" s="45">
        <v>5108000</v>
      </c>
      <c r="E131" s="84" t="s">
        <v>80</v>
      </c>
    </row>
    <row r="132" spans="1:11" x14ac:dyDescent="0.3">
      <c r="A132" s="2" t="s">
        <v>134</v>
      </c>
      <c r="B132" s="2" t="s">
        <v>131</v>
      </c>
      <c r="C132" s="45">
        <v>11623000</v>
      </c>
      <c r="E132" s="84" t="s">
        <v>80</v>
      </c>
    </row>
    <row r="133" spans="1:11" x14ac:dyDescent="0.3">
      <c r="A133" s="2"/>
      <c r="B133" s="148" t="s">
        <v>69</v>
      </c>
      <c r="C133" s="178">
        <f>SUM(C129:C132)</f>
        <v>17417000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17417000</v>
      </c>
      <c r="C137" s="88">
        <f>B137/1000</f>
        <v>17417</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478775</v>
      </c>
      <c r="C142" s="84" t="s">
        <v>144</v>
      </c>
      <c r="D142" s="125"/>
    </row>
    <row r="143" spans="1:11" x14ac:dyDescent="0.3">
      <c r="A143" s="142" t="s">
        <v>145</v>
      </c>
      <c r="B143" s="143">
        <v>264403</v>
      </c>
      <c r="C143" s="84" t="s">
        <v>144</v>
      </c>
      <c r="D143" s="125"/>
    </row>
    <row r="144" spans="1:11" x14ac:dyDescent="0.3">
      <c r="A144" s="142" t="s">
        <v>146</v>
      </c>
      <c r="B144" s="143">
        <v>1330</v>
      </c>
      <c r="C144" s="84" t="s">
        <v>144</v>
      </c>
      <c r="D144" s="125"/>
      <c r="F144" s="144"/>
    </row>
    <row r="145" spans="1:6" x14ac:dyDescent="0.3">
      <c r="A145" s="181" t="s">
        <v>147</v>
      </c>
      <c r="B145" s="199">
        <f>SUM(B142:B144)</f>
        <v>744508</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+'Feb 2016'!C153</f>
        <v>27522518</v>
      </c>
      <c r="C153" s="124">
        <v>27788148</v>
      </c>
      <c r="D153" s="144">
        <f>C153-B153</f>
        <v>265630</v>
      </c>
      <c r="E153" s="125"/>
      <c r="F153" s="144"/>
    </row>
    <row r="154" spans="1:6" x14ac:dyDescent="0.3">
      <c r="A154" s="145"/>
      <c r="B154" s="125"/>
      <c r="C154" s="84" t="s">
        <v>144</v>
      </c>
      <c r="D154" s="100">
        <f>SUM(D153)</f>
        <v>265630</v>
      </c>
      <c r="E154" s="125"/>
      <c r="F154" s="144"/>
    </row>
    <row r="155" spans="1:6" x14ac:dyDescent="0.3">
      <c r="A155" s="142" t="s">
        <v>156</v>
      </c>
      <c r="B155" s="185" t="s">
        <v>153</v>
      </c>
      <c r="C155" s="186" t="s">
        <v>154</v>
      </c>
      <c r="D155" s="185" t="s">
        <v>155</v>
      </c>
      <c r="F155" s="144"/>
    </row>
    <row r="156" spans="1:6" x14ac:dyDescent="0.3">
      <c r="A156" s="145"/>
      <c r="B156" s="124">
        <f>+'Feb 2016'!C156</f>
        <v>4855275</v>
      </c>
      <c r="C156" s="124">
        <v>4891975</v>
      </c>
      <c r="D156" s="144">
        <f>C156-B156</f>
        <v>36700</v>
      </c>
      <c r="E156" s="125"/>
      <c r="F156" s="144"/>
    </row>
    <row r="157" spans="1:6" x14ac:dyDescent="0.3">
      <c r="A157" s="145"/>
      <c r="B157" s="125"/>
      <c r="C157" s="84" t="s">
        <v>144</v>
      </c>
      <c r="D157" s="100">
        <f>D156</f>
        <v>36700</v>
      </c>
      <c r="E157" s="125"/>
      <c r="F157" s="144"/>
    </row>
    <row r="158" spans="1:6" x14ac:dyDescent="0.3">
      <c r="A158" s="142" t="s">
        <v>187</v>
      </c>
      <c r="B158" s="185" t="s">
        <v>153</v>
      </c>
      <c r="C158" s="186" t="s">
        <v>154</v>
      </c>
      <c r="D158" s="185" t="s">
        <v>155</v>
      </c>
      <c r="E158" s="125"/>
      <c r="F158" s="144"/>
    </row>
    <row r="159" spans="1:6" x14ac:dyDescent="0.3">
      <c r="A159" s="145"/>
      <c r="B159" s="124">
        <f>+'Feb 2016'!C159</f>
        <v>5192400</v>
      </c>
      <c r="C159" s="124">
        <v>5192400</v>
      </c>
      <c r="D159" s="144">
        <f>C159-B159</f>
        <v>0</v>
      </c>
      <c r="E159" s="125"/>
      <c r="F159" s="144"/>
    </row>
    <row r="160" spans="1:6" x14ac:dyDescent="0.3">
      <c r="A160" s="145"/>
      <c r="B160" s="125"/>
      <c r="C160" s="84" t="s">
        <v>144</v>
      </c>
      <c r="D160" s="100">
        <f>D159</f>
        <v>0</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205">
        <f>D157+D154+D160</f>
        <v>302330</v>
      </c>
      <c r="C163" s="84" t="s">
        <v>144</v>
      </c>
      <c r="D163" s="125"/>
      <c r="F163" s="144"/>
    </row>
    <row r="164" spans="1:11" x14ac:dyDescent="0.3">
      <c r="F164" s="144"/>
    </row>
    <row r="165" spans="1:11" x14ac:dyDescent="0.3">
      <c r="A165" s="188" t="s">
        <v>158</v>
      </c>
      <c r="B165" s="200">
        <f>B145+B150+B163</f>
        <v>1046838</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11517000</v>
      </c>
      <c r="C170" s="88">
        <f>B170/1000</f>
        <v>11517</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C74" name="Month"/>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8" fitToHeight="2" orientation="portrait" r:id="rId1"/>
  <rowBreaks count="1" manualBreakCount="1">
    <brk id="78"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K176"/>
  <sheetViews>
    <sheetView topLeftCell="A64" zoomScale="80" zoomScaleNormal="80" workbookViewId="0">
      <selection activeCell="E82" sqref="E82:E87"/>
    </sheetView>
  </sheetViews>
  <sheetFormatPr defaultColWidth="8.88671875" defaultRowHeight="14.4" x14ac:dyDescent="0.3"/>
  <cols>
    <col min="1" max="1" width="23.33203125" style="84" customWidth="1"/>
    <col min="2" max="2" width="17.5546875" style="84" customWidth="1"/>
    <col min="3" max="3" width="17.6640625" style="84" customWidth="1"/>
    <col min="4" max="4" width="13.88671875" style="84" customWidth="1"/>
    <col min="5" max="5" width="13.5546875" style="84" customWidth="1"/>
    <col min="6" max="6" width="26" style="84" customWidth="1"/>
    <col min="7" max="7" width="13.88671875" style="84" customWidth="1"/>
    <col min="8" max="8" width="20.44140625" style="84" customWidth="1"/>
    <col min="9" max="9" width="8.88671875" style="84"/>
    <col min="10" max="10" width="10.441406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320</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6"/>
      <c r="E8" s="381">
        <f>+C47</f>
        <v>7743</v>
      </c>
      <c r="F8" s="112" t="s">
        <v>174</v>
      </c>
      <c r="G8" s="33">
        <v>30563.11</v>
      </c>
      <c r="H8" s="113" t="s">
        <v>15</v>
      </c>
      <c r="I8" s="113"/>
      <c r="J8" s="114">
        <f>E8*0.9756</f>
        <v>7554.0708000000004</v>
      </c>
    </row>
    <row r="9" spans="1:11" ht="15.6" x14ac:dyDescent="0.3">
      <c r="A9" s="153" t="s">
        <v>16</v>
      </c>
      <c r="B9" s="115" t="s">
        <v>17</v>
      </c>
      <c r="C9" s="115" t="s">
        <v>13</v>
      </c>
      <c r="D9" s="26"/>
      <c r="E9" s="382">
        <f>+C50</f>
        <v>0</v>
      </c>
      <c r="F9" s="113"/>
      <c r="G9" s="34">
        <v>1064.28</v>
      </c>
      <c r="H9" s="84" t="s">
        <v>18</v>
      </c>
    </row>
    <row r="10" spans="1:11" ht="15.6" x14ac:dyDescent="0.3">
      <c r="A10" s="153" t="s">
        <v>19</v>
      </c>
      <c r="B10" s="115" t="s">
        <v>17</v>
      </c>
      <c r="C10" s="115" t="s">
        <v>13</v>
      </c>
      <c r="D10" s="26"/>
      <c r="E10" s="382">
        <f>+C51</f>
        <v>40687</v>
      </c>
      <c r="F10" s="113"/>
      <c r="G10" s="34">
        <v>126761.72</v>
      </c>
      <c r="H10" s="84" t="s">
        <v>20</v>
      </c>
    </row>
    <row r="11" spans="1:11" ht="15.6" x14ac:dyDescent="0.3">
      <c r="A11" s="153" t="s">
        <v>21</v>
      </c>
      <c r="B11" s="115" t="s">
        <v>17</v>
      </c>
      <c r="C11" s="115" t="s">
        <v>13</v>
      </c>
      <c r="D11" s="26"/>
      <c r="E11" s="382">
        <f>+C52</f>
        <v>12236</v>
      </c>
      <c r="F11" s="113"/>
      <c r="G11" s="34">
        <v>38865.89</v>
      </c>
      <c r="H11" s="84" t="s">
        <v>22</v>
      </c>
    </row>
    <row r="12" spans="1:11" ht="15.6" x14ac:dyDescent="0.3">
      <c r="A12" s="153" t="s">
        <v>23</v>
      </c>
      <c r="B12" s="115" t="s">
        <v>17</v>
      </c>
      <c r="C12" s="115" t="s">
        <v>13</v>
      </c>
      <c r="D12" s="26"/>
      <c r="E12" s="381">
        <f>+C53</f>
        <v>52923</v>
      </c>
      <c r="F12" s="113" t="s">
        <v>24</v>
      </c>
      <c r="G12" s="2"/>
    </row>
    <row r="13" spans="1:11" ht="15.6" x14ac:dyDescent="0.3">
      <c r="A13" s="152" t="s">
        <v>25</v>
      </c>
      <c r="B13" s="112" t="s">
        <v>26</v>
      </c>
      <c r="C13" s="112" t="s">
        <v>27</v>
      </c>
      <c r="D13" s="382">
        <f>+C63</f>
        <v>282072640</v>
      </c>
      <c r="E13" s="208">
        <f>+E63</f>
        <v>167520</v>
      </c>
      <c r="F13" s="113" t="s">
        <v>28</v>
      </c>
      <c r="G13" s="154"/>
      <c r="H13" s="19"/>
      <c r="I13" s="19"/>
      <c r="J13" s="20"/>
      <c r="K13" s="20"/>
    </row>
    <row r="14" spans="1:11" ht="15.6" x14ac:dyDescent="0.3">
      <c r="A14" s="152" t="s">
        <v>29</v>
      </c>
      <c r="B14" s="112" t="s">
        <v>26</v>
      </c>
      <c r="C14" s="112" t="s">
        <v>30</v>
      </c>
      <c r="D14" s="26"/>
      <c r="E14" s="382">
        <f>+B150</f>
        <v>0</v>
      </c>
      <c r="F14" s="113" t="s">
        <v>31</v>
      </c>
      <c r="G14" s="21"/>
      <c r="H14" s="113"/>
      <c r="I14" s="113"/>
      <c r="J14" s="116"/>
      <c r="K14" s="116"/>
    </row>
    <row r="15" spans="1:11" ht="15.6" x14ac:dyDescent="0.3">
      <c r="A15" s="152" t="s">
        <v>32</v>
      </c>
      <c r="B15" s="112" t="s">
        <v>26</v>
      </c>
      <c r="C15" s="112" t="s">
        <v>33</v>
      </c>
      <c r="D15" s="26"/>
      <c r="E15" s="382">
        <f>+B145</f>
        <v>815593</v>
      </c>
      <c r="F15" s="113" t="s">
        <v>31</v>
      </c>
      <c r="G15" s="21"/>
      <c r="H15" s="113"/>
      <c r="I15" s="113"/>
      <c r="J15" s="116"/>
      <c r="K15" s="116"/>
    </row>
    <row r="16" spans="1:11" ht="15.6" x14ac:dyDescent="0.3">
      <c r="A16" s="152" t="s">
        <v>34</v>
      </c>
      <c r="B16" s="112" t="s">
        <v>26</v>
      </c>
      <c r="C16" s="112" t="s">
        <v>35</v>
      </c>
      <c r="D16" s="26"/>
      <c r="E16" s="382">
        <f>+C137</f>
        <v>22185</v>
      </c>
      <c r="F16" s="113" t="s">
        <v>36</v>
      </c>
      <c r="G16" s="23" t="s">
        <v>37</v>
      </c>
      <c r="H16" s="117"/>
      <c r="I16" s="113"/>
      <c r="J16" s="113"/>
      <c r="K16" s="113"/>
    </row>
    <row r="17" spans="1:11" ht="15.6" x14ac:dyDescent="0.3">
      <c r="A17" s="152" t="s">
        <v>38</v>
      </c>
      <c r="B17" s="112" t="s">
        <v>26</v>
      </c>
      <c r="C17" s="112" t="s">
        <v>27</v>
      </c>
      <c r="D17" s="26"/>
      <c r="E17" s="381">
        <f>+C60</f>
        <v>5370604</v>
      </c>
      <c r="F17" s="113"/>
      <c r="G17" s="155">
        <v>154907.47</v>
      </c>
      <c r="H17" s="113" t="s">
        <v>39</v>
      </c>
      <c r="I17" s="156"/>
      <c r="J17" s="156"/>
      <c r="K17" s="156"/>
    </row>
    <row r="18" spans="1:11" ht="15.6" x14ac:dyDescent="0.3">
      <c r="A18" s="152" t="s">
        <v>40</v>
      </c>
      <c r="B18" s="112" t="s">
        <v>41</v>
      </c>
      <c r="C18" s="112" t="s">
        <v>42</v>
      </c>
      <c r="D18" s="26"/>
      <c r="E18" s="381">
        <f>+C87</f>
        <v>50434</v>
      </c>
      <c r="F18" s="113" t="s">
        <v>43</v>
      </c>
      <c r="G18" s="33">
        <v>608.65</v>
      </c>
      <c r="H18" s="113" t="s">
        <v>44</v>
      </c>
      <c r="I18" s="113"/>
      <c r="J18" s="113"/>
      <c r="K18" s="113"/>
    </row>
    <row r="19" spans="1:11" ht="15.6" x14ac:dyDescent="0.3">
      <c r="A19" s="84" t="s">
        <v>45</v>
      </c>
      <c r="B19" s="115" t="s">
        <v>41</v>
      </c>
      <c r="C19" s="115" t="s">
        <v>42</v>
      </c>
      <c r="D19" s="381">
        <f>+D91</f>
        <v>46016022</v>
      </c>
      <c r="E19" s="26"/>
      <c r="G19" s="2"/>
    </row>
    <row r="20" spans="1:11" ht="15.6" x14ac:dyDescent="0.3">
      <c r="A20" s="84" t="s">
        <v>46</v>
      </c>
      <c r="B20" s="115" t="s">
        <v>41</v>
      </c>
      <c r="C20" s="115" t="s">
        <v>42</v>
      </c>
      <c r="D20" s="26"/>
      <c r="E20" s="381">
        <f>+B107</f>
        <v>292.62599999999998</v>
      </c>
      <c r="G20" s="2"/>
    </row>
    <row r="21" spans="1:11" ht="15.6" x14ac:dyDescent="0.3">
      <c r="A21" s="84" t="s">
        <v>47</v>
      </c>
      <c r="B21" s="115" t="s">
        <v>41</v>
      </c>
      <c r="C21" s="115" t="s">
        <v>42</v>
      </c>
      <c r="D21" s="26"/>
      <c r="E21" s="381">
        <f>+B108</f>
        <v>72.5</v>
      </c>
      <c r="G21" s="2"/>
    </row>
    <row r="22" spans="1:11" ht="15.6" x14ac:dyDescent="0.3">
      <c r="A22" s="152" t="s">
        <v>48</v>
      </c>
      <c r="B22" s="112" t="s">
        <v>49</v>
      </c>
      <c r="C22" s="112" t="s">
        <v>50</v>
      </c>
      <c r="D22" s="26"/>
      <c r="E22" s="381">
        <f>+C136</f>
        <v>0</v>
      </c>
      <c r="F22" s="113" t="s">
        <v>36</v>
      </c>
      <c r="G22" s="21" t="s">
        <v>51</v>
      </c>
      <c r="H22" s="113"/>
      <c r="I22" s="113"/>
      <c r="J22" s="113"/>
      <c r="K22" s="113"/>
    </row>
    <row r="23" spans="1:11" ht="15.6" x14ac:dyDescent="0.3">
      <c r="A23" s="152" t="s">
        <v>52</v>
      </c>
      <c r="B23" s="112" t="s">
        <v>49</v>
      </c>
      <c r="C23" s="112" t="s">
        <v>50</v>
      </c>
      <c r="D23" s="26"/>
      <c r="E23" s="381">
        <f>+C137</f>
        <v>22185</v>
      </c>
      <c r="F23" s="113" t="s">
        <v>36</v>
      </c>
      <c r="G23" s="21" t="s">
        <v>37</v>
      </c>
      <c r="H23" s="113"/>
      <c r="I23" s="113"/>
      <c r="J23" s="113"/>
      <c r="K23" s="113"/>
    </row>
    <row r="24" spans="1:11" ht="15.6" x14ac:dyDescent="0.3">
      <c r="A24" s="152" t="s">
        <v>53</v>
      </c>
      <c r="B24" s="112" t="s">
        <v>54</v>
      </c>
      <c r="C24" s="112" t="s">
        <v>55</v>
      </c>
      <c r="D24" s="26"/>
      <c r="E24" s="381">
        <f>+B165</f>
        <v>821059.5</v>
      </c>
      <c r="F24" s="113" t="s">
        <v>31</v>
      </c>
      <c r="G24" s="21"/>
      <c r="H24" s="113"/>
      <c r="I24" s="113"/>
      <c r="J24" s="113"/>
      <c r="K24" s="113"/>
    </row>
    <row r="25" spans="1:11" ht="15.6" x14ac:dyDescent="0.3">
      <c r="A25" s="152" t="s">
        <v>56</v>
      </c>
      <c r="B25" s="112" t="s">
        <v>57</v>
      </c>
      <c r="C25" s="112" t="s">
        <v>42</v>
      </c>
      <c r="D25" s="26"/>
      <c r="E25" s="381">
        <f>+C170</f>
        <v>8290</v>
      </c>
      <c r="F25" s="113" t="s">
        <v>58</v>
      </c>
      <c r="G25" s="33">
        <v>22425.03</v>
      </c>
      <c r="H25" s="113" t="s">
        <v>44</v>
      </c>
      <c r="I25" s="113"/>
      <c r="J25" s="113"/>
      <c r="K25" s="113"/>
    </row>
    <row r="26" spans="1:11" ht="15.6" x14ac:dyDescent="0.3">
      <c r="A26" s="152" t="s">
        <v>165</v>
      </c>
      <c r="B26" s="112" t="s">
        <v>57</v>
      </c>
      <c r="C26" s="112" t="s">
        <v>42</v>
      </c>
      <c r="D26" s="26"/>
      <c r="E26" s="381">
        <f>+B174</f>
        <v>2330</v>
      </c>
      <c r="G26" s="2" t="s">
        <v>183</v>
      </c>
    </row>
    <row r="27" spans="1:11" ht="15.6" x14ac:dyDescent="0.3">
      <c r="A27" s="152" t="s">
        <v>186</v>
      </c>
      <c r="B27" s="112" t="s">
        <v>26</v>
      </c>
      <c r="C27" s="112" t="s">
        <v>27</v>
      </c>
      <c r="D27" s="381">
        <f>+E76</f>
        <v>11949451.800000001</v>
      </c>
      <c r="E27" s="209"/>
      <c r="G27" s="2"/>
    </row>
    <row r="28" spans="1:11" ht="15.6" x14ac:dyDescent="0.3">
      <c r="A28" s="152" t="s">
        <v>302</v>
      </c>
      <c r="B28" s="112" t="s">
        <v>41</v>
      </c>
      <c r="C28" s="112" t="s">
        <v>303</v>
      </c>
      <c r="D28" s="381">
        <f>+C117</f>
        <v>8604.5</v>
      </c>
      <c r="E28" s="209"/>
      <c r="G28" s="2"/>
    </row>
    <row r="29" spans="1:11" ht="15.6" x14ac:dyDescent="0.3">
      <c r="A29" s="152" t="s">
        <v>125</v>
      </c>
      <c r="B29" s="112"/>
      <c r="C29" s="112"/>
      <c r="D29" s="381">
        <f>+C122</f>
        <v>14212.518291657156</v>
      </c>
      <c r="E29" s="209"/>
      <c r="G29" s="2"/>
    </row>
    <row r="30" spans="1:11" ht="15.6" x14ac:dyDescent="0.3">
      <c r="A30" s="152" t="s">
        <v>127</v>
      </c>
      <c r="B30" s="112"/>
      <c r="C30" s="112"/>
      <c r="D30" s="381">
        <f>+C123</f>
        <v>2200.4080194696494</v>
      </c>
      <c r="E30" s="209"/>
      <c r="G30" s="2"/>
    </row>
    <row r="31" spans="1:11" ht="15.6" x14ac:dyDescent="0.3">
      <c r="A31" s="152" t="s">
        <v>128</v>
      </c>
      <c r="B31" s="112"/>
      <c r="C31" s="112"/>
      <c r="D31" s="381">
        <f>+C124</f>
        <v>6781.6245709928526</v>
      </c>
      <c r="E31" s="209"/>
      <c r="G31" s="2"/>
    </row>
    <row r="32" spans="1:11" ht="15.6" x14ac:dyDescent="0.3">
      <c r="A32" s="152"/>
      <c r="B32" s="112"/>
      <c r="C32" s="112"/>
      <c r="D32" s="383"/>
      <c r="E32" s="209"/>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166691.89000000001</v>
      </c>
      <c r="F37" s="121"/>
    </row>
    <row r="38" spans="1:11" x14ac:dyDescent="0.3">
      <c r="A38" s="119" t="s">
        <v>63</v>
      </c>
      <c r="B38" s="119" t="s">
        <v>63</v>
      </c>
      <c r="C38" s="119"/>
      <c r="D38" s="119"/>
      <c r="E38" s="122">
        <f>+G8</f>
        <v>30563.11</v>
      </c>
      <c r="F38" s="121"/>
    </row>
    <row r="39" spans="1:11" x14ac:dyDescent="0.3">
      <c r="A39" s="119"/>
      <c r="B39" s="119" t="s">
        <v>64</v>
      </c>
      <c r="C39" s="119"/>
      <c r="D39" s="119"/>
      <c r="E39" s="120">
        <f>SUM(E37:E38)</f>
        <v>197255</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7743</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40687</v>
      </c>
    </row>
    <row r="52" spans="1:11" x14ac:dyDescent="0.3">
      <c r="A52" s="2" t="s">
        <v>74</v>
      </c>
      <c r="B52" s="2" t="s">
        <v>13</v>
      </c>
      <c r="C52" s="45">
        <v>12236</v>
      </c>
    </row>
    <row r="53" spans="1:11" x14ac:dyDescent="0.3">
      <c r="A53" s="2"/>
      <c r="B53" s="2" t="s">
        <v>69</v>
      </c>
      <c r="C53" s="38">
        <f>SUM(C50:C52)</f>
        <v>52923</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x14ac:dyDescent="0.3">
      <c r="A58" s="146" t="s">
        <v>78</v>
      </c>
      <c r="B58" s="124">
        <f>+C58/1000</f>
        <v>2995.4639999999999</v>
      </c>
      <c r="C58" s="40">
        <f>+J58</f>
        <v>2995464</v>
      </c>
      <c r="D58" s="84" t="s">
        <v>79</v>
      </c>
      <c r="E58" s="2"/>
      <c r="F58" s="458" t="s">
        <v>268</v>
      </c>
      <c r="G58" s="458"/>
      <c r="H58" s="458"/>
      <c r="J58" s="84">
        <f>69763744-66768280</f>
        <v>2995464</v>
      </c>
    </row>
    <row r="59" spans="1:11" x14ac:dyDescent="0.3">
      <c r="A59" s="146" t="s">
        <v>81</v>
      </c>
      <c r="B59" s="125"/>
      <c r="C59" s="34">
        <v>2375140</v>
      </c>
      <c r="D59" s="84" t="s">
        <v>79</v>
      </c>
      <c r="E59" s="41"/>
    </row>
    <row r="60" spans="1:11" x14ac:dyDescent="0.3">
      <c r="A60" s="146" t="s">
        <v>83</v>
      </c>
      <c r="C60" s="40">
        <f>SUM(C58:C59)</f>
        <v>5370604</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+'Jan 2016'!C63</f>
        <v>281905120</v>
      </c>
      <c r="C63" s="126">
        <v>282072640</v>
      </c>
      <c r="D63" s="84" t="s">
        <v>79</v>
      </c>
      <c r="E63" s="160">
        <f>+C63-B63</f>
        <v>167520</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t="s">
        <v>178</v>
      </c>
      <c r="D68" s="125"/>
      <c r="E68" s="191">
        <f>+'Jan 2016'!E69</f>
        <v>11830017</v>
      </c>
      <c r="F68" s="333"/>
    </row>
    <row r="69" spans="1:11" x14ac:dyDescent="0.3">
      <c r="A69" s="457" t="s">
        <v>167</v>
      </c>
      <c r="B69" s="457"/>
      <c r="C69" s="127" t="s">
        <v>179</v>
      </c>
      <c r="D69" s="125"/>
      <c r="E69" s="128">
        <v>11957324</v>
      </c>
      <c r="F69" s="84" t="s">
        <v>184</v>
      </c>
    </row>
    <row r="70" spans="1:11" x14ac:dyDescent="0.3">
      <c r="A70" s="457" t="s">
        <v>168</v>
      </c>
      <c r="B70" s="457"/>
      <c r="C70" s="127" t="s">
        <v>179</v>
      </c>
      <c r="D70" s="125"/>
      <c r="E70" s="216">
        <f>+E69-E68</f>
        <v>127307</v>
      </c>
    </row>
    <row r="71" spans="1:11" x14ac:dyDescent="0.3">
      <c r="A71" s="457" t="s">
        <v>169</v>
      </c>
      <c r="B71" s="457"/>
      <c r="C71" s="127" t="s">
        <v>178</v>
      </c>
      <c r="D71" s="125"/>
      <c r="E71" s="192">
        <f>+'Jan 2016'!E72</f>
        <v>276258.90000000002</v>
      </c>
    </row>
    <row r="72" spans="1:11" x14ac:dyDescent="0.3">
      <c r="A72" s="457" t="s">
        <v>170</v>
      </c>
      <c r="B72" s="457"/>
      <c r="C72" s="127" t="s">
        <v>179</v>
      </c>
      <c r="D72" s="125"/>
      <c r="E72" s="128">
        <v>284131.09999999998</v>
      </c>
      <c r="F72" s="84" t="s">
        <v>185</v>
      </c>
    </row>
    <row r="73" spans="1:11" x14ac:dyDescent="0.3">
      <c r="A73" s="457" t="s">
        <v>173</v>
      </c>
      <c r="B73" s="457"/>
      <c r="C73" s="127" t="s">
        <v>179</v>
      </c>
      <c r="D73" s="125"/>
      <c r="E73" s="162">
        <f>+E72-E71</f>
        <v>7872.1999999999534</v>
      </c>
      <c r="F73" s="333"/>
    </row>
    <row r="74" spans="1:11" x14ac:dyDescent="0.3">
      <c r="A74" s="448" t="s">
        <v>91</v>
      </c>
      <c r="B74" s="448"/>
      <c r="C74" s="164" t="s">
        <v>179</v>
      </c>
      <c r="D74" s="125"/>
      <c r="E74" s="165">
        <f>+E70-E73</f>
        <v>119434.80000000005</v>
      </c>
      <c r="F74" s="333"/>
    </row>
    <row r="75" spans="1:11" x14ac:dyDescent="0.3">
      <c r="A75" s="127"/>
      <c r="B75" s="127"/>
      <c r="C75" s="127"/>
      <c r="D75" s="125"/>
      <c r="E75" s="125"/>
      <c r="F75" s="333"/>
    </row>
    <row r="76" spans="1:11" x14ac:dyDescent="0.3">
      <c r="A76" s="449" t="s">
        <v>92</v>
      </c>
      <c r="B76" s="449"/>
      <c r="C76" s="166" t="str">
        <f>+C74</f>
        <v>Feb</v>
      </c>
      <c r="D76" s="167"/>
      <c r="E76" s="168">
        <f>+E68+E74</f>
        <v>11949451.800000001</v>
      </c>
      <c r="F76" s="333"/>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28.2" customHeight="1" x14ac:dyDescent="0.3">
      <c r="A81" s="84" t="s">
        <v>96</v>
      </c>
      <c r="B81" s="129"/>
      <c r="E81" s="458" t="s">
        <v>97</v>
      </c>
      <c r="F81" s="458"/>
      <c r="G81" s="458"/>
      <c r="H81" s="458"/>
      <c r="I81" s="458"/>
      <c r="J81" s="458"/>
    </row>
    <row r="82" spans="1:10" x14ac:dyDescent="0.3">
      <c r="A82" s="130" t="s">
        <v>98</v>
      </c>
      <c r="B82" s="131">
        <v>5745000</v>
      </c>
      <c r="C82" s="84">
        <f>B82/1000</f>
        <v>5745</v>
      </c>
      <c r="E82" s="437">
        <f>640720-635023</f>
        <v>5697</v>
      </c>
    </row>
    <row r="83" spans="1:10" x14ac:dyDescent="0.3">
      <c r="A83" s="130" t="s">
        <v>99</v>
      </c>
      <c r="B83" s="131">
        <v>0</v>
      </c>
      <c r="C83" s="84">
        <f>B83/1000</f>
        <v>0</v>
      </c>
      <c r="E83" s="437">
        <f>474508-474508</f>
        <v>0</v>
      </c>
    </row>
    <row r="84" spans="1:10" x14ac:dyDescent="0.3">
      <c r="A84" s="130" t="s">
        <v>100</v>
      </c>
      <c r="B84" s="131">
        <v>1076000</v>
      </c>
      <c r="C84" s="84">
        <f>B84/1000</f>
        <v>1076</v>
      </c>
      <c r="E84" s="437">
        <f>1461645-1460569</f>
        <v>1076</v>
      </c>
    </row>
    <row r="85" spans="1:10" x14ac:dyDescent="0.3">
      <c r="A85" s="130" t="s">
        <v>101</v>
      </c>
      <c r="B85" s="131">
        <v>43364000</v>
      </c>
      <c r="C85" s="84">
        <f>B85/1000</f>
        <v>43364</v>
      </c>
      <c r="E85" s="437">
        <f>336779-294409</f>
        <v>42370</v>
      </c>
    </row>
    <row r="86" spans="1:10" x14ac:dyDescent="0.3">
      <c r="A86" s="84" t="s">
        <v>102</v>
      </c>
      <c r="B86" s="75">
        <v>249000</v>
      </c>
      <c r="C86" s="132">
        <f t="shared" ref="C86" si="0">B86/1000</f>
        <v>249</v>
      </c>
      <c r="F86" s="84" t="s">
        <v>103</v>
      </c>
    </row>
    <row r="87" spans="1:10" x14ac:dyDescent="0.3">
      <c r="A87" s="84" t="s">
        <v>104</v>
      </c>
      <c r="B87" s="170">
        <f>SUM(B82:B86)</f>
        <v>50434000</v>
      </c>
      <c r="C87" s="133">
        <f>SUM(C81:C86)</f>
        <v>50434</v>
      </c>
      <c r="E87" s="438">
        <f>SUM(E82:E86)</f>
        <v>49143</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439">
        <v>3623300</v>
      </c>
      <c r="C91" s="171">
        <f>+'Jan 2016'!D91</f>
        <v>42392722</v>
      </c>
      <c r="D91" s="100">
        <f>+C91+B91</f>
        <v>46016022</v>
      </c>
      <c r="E91" s="84" t="s">
        <v>108</v>
      </c>
      <c r="H91" s="189" t="s">
        <v>285</v>
      </c>
      <c r="I91" s="189"/>
    </row>
    <row r="92" spans="1:10" x14ac:dyDescent="0.3">
      <c r="A92" s="84" t="s">
        <v>109</v>
      </c>
      <c r="B92" s="172" t="s">
        <v>110</v>
      </c>
      <c r="C92" s="172" t="s">
        <v>111</v>
      </c>
      <c r="D92" s="173" t="s">
        <v>112</v>
      </c>
    </row>
    <row r="93" spans="1:10" x14ac:dyDescent="0.3">
      <c r="A93" s="84" t="s">
        <v>45</v>
      </c>
      <c r="B93" s="124">
        <f>+'Jan 2016'!C93</f>
        <v>10175744</v>
      </c>
      <c r="C93" s="124">
        <v>10545494</v>
      </c>
      <c r="D93" s="391">
        <f>+C93-B93</f>
        <v>369750</v>
      </c>
      <c r="E93" s="84" t="s">
        <v>113</v>
      </c>
      <c r="G93" s="189">
        <f>(5728292-5686532)+(71423-68583)+(7127892-6858382)</f>
        <v>314110</v>
      </c>
      <c r="H93" s="189" t="s">
        <v>286</v>
      </c>
    </row>
    <row r="94" spans="1:10" x14ac:dyDescent="0.3">
      <c r="C94" s="146"/>
      <c r="D94" s="146"/>
    </row>
    <row r="95" spans="1:10" ht="15" thickBot="1" x14ac:dyDescent="0.35">
      <c r="B95" s="146" t="s">
        <v>114</v>
      </c>
      <c r="C95" s="146" t="s">
        <v>115</v>
      </c>
      <c r="D95" s="149" t="s">
        <v>112</v>
      </c>
      <c r="E95" s="146" t="s">
        <v>287</v>
      </c>
      <c r="F95" s="146"/>
    </row>
    <row r="96" spans="1:10" x14ac:dyDescent="0.3">
      <c r="A96" s="84" t="s">
        <v>116</v>
      </c>
      <c r="B96" s="77">
        <f>+'Jan 2016'!C96</f>
        <v>15335232</v>
      </c>
      <c r="C96" s="411">
        <v>16705412</v>
      </c>
      <c r="D96" s="134">
        <f>C96-B96</f>
        <v>1370180</v>
      </c>
      <c r="E96" s="134">
        <f>225666/2</f>
        <v>112833</v>
      </c>
    </row>
    <row r="97" spans="1:6" x14ac:dyDescent="0.3">
      <c r="A97" s="84" t="s">
        <v>117</v>
      </c>
      <c r="B97" s="78">
        <f>+'Jan 2016'!C97</f>
        <v>15551772</v>
      </c>
      <c r="C97" s="412">
        <v>15556062</v>
      </c>
      <c r="D97" s="134">
        <f t="shared" ref="D97:D99" si="1">C97-B97</f>
        <v>4290</v>
      </c>
      <c r="E97" s="134">
        <f>225666/2</f>
        <v>112833</v>
      </c>
      <c r="F97" s="86"/>
    </row>
    <row r="98" spans="1:6" x14ac:dyDescent="0.3">
      <c r="A98" s="84" t="s">
        <v>118</v>
      </c>
      <c r="B98" s="78">
        <f>+'Jan 2016'!C98</f>
        <v>8776200</v>
      </c>
      <c r="C98" s="412">
        <v>9128500</v>
      </c>
      <c r="D98" s="134">
        <f t="shared" si="1"/>
        <v>352300</v>
      </c>
      <c r="E98" s="134">
        <v>26140</v>
      </c>
      <c r="F98" s="86"/>
    </row>
    <row r="99" spans="1:6" ht="15" thickBot="1" x14ac:dyDescent="0.35">
      <c r="A99" s="84" t="s">
        <v>119</v>
      </c>
      <c r="B99" s="79">
        <f>+'Jan 2016'!C99</f>
        <v>1632444</v>
      </c>
      <c r="C99" s="79">
        <v>1662314</v>
      </c>
      <c r="D99" s="134">
        <f t="shared" si="1"/>
        <v>29870</v>
      </c>
      <c r="E99" s="134">
        <v>40820</v>
      </c>
      <c r="F99" s="86"/>
    </row>
    <row r="100" spans="1:6" x14ac:dyDescent="0.3">
      <c r="B100" s="134"/>
      <c r="C100" s="64"/>
      <c r="D100" s="174">
        <f>SUM(D96:D99)</f>
        <v>1756640</v>
      </c>
      <c r="E100" s="174">
        <f>SUM(E96:E99)</f>
        <v>292626</v>
      </c>
      <c r="F100" s="158"/>
    </row>
    <row r="101" spans="1:6" ht="15" thickBot="1" x14ac:dyDescent="0.35">
      <c r="B101" s="146" t="s">
        <v>114</v>
      </c>
      <c r="C101" s="146" t="s">
        <v>115</v>
      </c>
      <c r="D101" s="134"/>
    </row>
    <row r="102" spans="1:6" x14ac:dyDescent="0.3">
      <c r="A102" s="84" t="s">
        <v>120</v>
      </c>
      <c r="B102" s="80">
        <f>+'Jan 2016'!C102</f>
        <v>20737488</v>
      </c>
      <c r="C102" s="80">
        <v>20737488</v>
      </c>
      <c r="D102" s="202">
        <f>C102-B102</f>
        <v>0</v>
      </c>
    </row>
    <row r="103" spans="1:6" ht="15" thickBot="1" x14ac:dyDescent="0.35">
      <c r="A103" s="84" t="s">
        <v>121</v>
      </c>
      <c r="B103" s="81">
        <f>+'Jan 2016'!C103</f>
        <v>1016601</v>
      </c>
      <c r="C103" s="81">
        <v>1089101</v>
      </c>
      <c r="D103" s="202">
        <f>C103-B103</f>
        <v>72500</v>
      </c>
    </row>
    <row r="104" spans="1:6" x14ac:dyDescent="0.3">
      <c r="D104" s="178">
        <f>SUM(D102:D103)</f>
        <v>72500</v>
      </c>
    </row>
    <row r="105" spans="1:6" x14ac:dyDescent="0.3">
      <c r="D105" s="2"/>
    </row>
    <row r="106" spans="1:6" x14ac:dyDescent="0.3">
      <c r="B106" s="84" t="s">
        <v>42</v>
      </c>
      <c r="D106" s="2"/>
    </row>
    <row r="107" spans="1:6" x14ac:dyDescent="0.3">
      <c r="A107" s="84" t="s">
        <v>46</v>
      </c>
      <c r="B107" s="416">
        <f>E100/1000</f>
        <v>292.62599999999998</v>
      </c>
      <c r="D107" s="2"/>
    </row>
    <row r="108" spans="1:6" x14ac:dyDescent="0.3">
      <c r="A108" s="84" t="s">
        <v>47</v>
      </c>
      <c r="B108" s="136">
        <f>D104/1000</f>
        <v>72.5</v>
      </c>
      <c r="D108" s="2"/>
    </row>
    <row r="109" spans="1:6" x14ac:dyDescent="0.3">
      <c r="B109" s="136"/>
      <c r="D109" s="2"/>
    </row>
    <row r="110" spans="1:6" x14ac:dyDescent="0.3">
      <c r="A110" s="84" t="s">
        <v>293</v>
      </c>
      <c r="B110" s="136"/>
      <c r="C110" s="84">
        <f>+'Jan 2016'!C111</f>
        <v>89485</v>
      </c>
      <c r="D110" s="2" t="s">
        <v>301</v>
      </c>
    </row>
    <row r="111" spans="1:6" x14ac:dyDescent="0.3">
      <c r="A111" s="84" t="s">
        <v>294</v>
      </c>
      <c r="B111" s="136"/>
      <c r="C111" s="132">
        <v>94192</v>
      </c>
      <c r="D111" s="2" t="s">
        <v>301</v>
      </c>
    </row>
    <row r="112" spans="1:6" x14ac:dyDescent="0.3">
      <c r="A112" s="84" t="s">
        <v>295</v>
      </c>
      <c r="B112" s="136"/>
      <c r="C112" s="339">
        <f>+C111-C110</f>
        <v>4707</v>
      </c>
      <c r="D112" s="2"/>
    </row>
    <row r="113" spans="1:11" x14ac:dyDescent="0.3">
      <c r="A113" s="84" t="s">
        <v>296</v>
      </c>
      <c r="B113" s="136"/>
      <c r="C113" s="370">
        <f>+'Jan 2016'!C114</f>
        <v>71040</v>
      </c>
      <c r="D113" s="2" t="s">
        <v>301</v>
      </c>
    </row>
    <row r="114" spans="1:11" x14ac:dyDescent="0.3">
      <c r="A114" s="84" t="s">
        <v>297</v>
      </c>
      <c r="B114" s="136"/>
      <c r="C114" s="132">
        <v>75210</v>
      </c>
      <c r="D114" s="2" t="s">
        <v>301</v>
      </c>
    </row>
    <row r="115" spans="1:11" x14ac:dyDescent="0.3">
      <c r="A115" s="84" t="s">
        <v>298</v>
      </c>
      <c r="B115" s="136"/>
      <c r="C115" s="417">
        <f>+C114-C113</f>
        <v>4170</v>
      </c>
      <c r="D115" s="2"/>
    </row>
    <row r="116" spans="1:11" ht="15" thickBot="1" x14ac:dyDescent="0.35">
      <c r="A116" s="84" t="s">
        <v>299</v>
      </c>
      <c r="B116" s="136"/>
      <c r="C116" s="333">
        <f>+C112-C115</f>
        <v>537</v>
      </c>
      <c r="D116" s="2"/>
    </row>
    <row r="117" spans="1:11" ht="15" thickBot="1" x14ac:dyDescent="0.35">
      <c r="A117" s="84" t="s">
        <v>300</v>
      </c>
      <c r="B117" s="136"/>
      <c r="C117" s="419">
        <f>+'Jan 2016'!C117+'Feb 2016'!C116</f>
        <v>8604.5</v>
      </c>
      <c r="D117" s="2"/>
    </row>
    <row r="118" spans="1:11" x14ac:dyDescent="0.3">
      <c r="B118" s="136"/>
      <c r="D118" s="2"/>
    </row>
    <row r="119" spans="1:11" x14ac:dyDescent="0.3">
      <c r="D119" s="2"/>
    </row>
    <row r="120" spans="1:11" ht="15" thickBot="1" x14ac:dyDescent="0.35">
      <c r="A120" s="125"/>
      <c r="B120" s="167" t="s">
        <v>180</v>
      </c>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ht="15.6" x14ac:dyDescent="0.3">
      <c r="A122" s="124" t="s">
        <v>125</v>
      </c>
      <c r="B122" s="141">
        <v>0.28180430447034055</v>
      </c>
      <c r="C122" s="414">
        <f>$C$87*B122</f>
        <v>14212.518291657156</v>
      </c>
      <c r="D122" s="450" t="s">
        <v>176</v>
      </c>
      <c r="E122" s="451"/>
      <c r="F122" s="451"/>
      <c r="G122" s="451"/>
      <c r="H122" s="451"/>
      <c r="I122" s="452"/>
    </row>
    <row r="123" spans="1:11" ht="15.6" x14ac:dyDescent="0.3">
      <c r="A123" s="124" t="s">
        <v>127</v>
      </c>
      <c r="B123" s="141">
        <v>4.3629456705191923E-2</v>
      </c>
      <c r="C123" s="415">
        <f>$C$87*B123</f>
        <v>2200.4080194696494</v>
      </c>
      <c r="D123" s="450"/>
      <c r="E123" s="451"/>
      <c r="F123" s="451"/>
      <c r="G123" s="451"/>
      <c r="H123" s="451"/>
      <c r="I123" s="452"/>
    </row>
    <row r="124" spans="1:11" ht="16.2" thickBot="1" x14ac:dyDescent="0.35">
      <c r="A124" s="124" t="s">
        <v>128</v>
      </c>
      <c r="B124" s="141">
        <v>0.13446533233518762</v>
      </c>
      <c r="C124" s="415">
        <f>$C$87*B124</f>
        <v>6781.6245709928526</v>
      </c>
      <c r="D124" s="453"/>
      <c r="E124" s="454"/>
      <c r="F124" s="454"/>
      <c r="G124" s="454"/>
      <c r="H124" s="454"/>
      <c r="I124" s="455"/>
    </row>
    <row r="125" spans="1:11" x14ac:dyDescent="0.3">
      <c r="C125" s="201">
        <f>SUM(C122:C124)</f>
        <v>23194.550882119656</v>
      </c>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4219000</v>
      </c>
      <c r="E129" s="84" t="s">
        <v>80</v>
      </c>
    </row>
    <row r="130" spans="1:11" x14ac:dyDescent="0.3">
      <c r="A130" s="2" t="s">
        <v>132</v>
      </c>
      <c r="B130" s="2" t="s">
        <v>131</v>
      </c>
      <c r="C130" s="45">
        <v>778000</v>
      </c>
      <c r="E130" s="84" t="s">
        <v>80</v>
      </c>
    </row>
    <row r="131" spans="1:11" x14ac:dyDescent="0.3">
      <c r="A131" s="2" t="s">
        <v>133</v>
      </c>
      <c r="B131" s="2" t="s">
        <v>131</v>
      </c>
      <c r="C131" s="45">
        <v>3793000</v>
      </c>
      <c r="E131" s="84" t="s">
        <v>80</v>
      </c>
    </row>
    <row r="132" spans="1:11" x14ac:dyDescent="0.3">
      <c r="A132" s="2" t="s">
        <v>134</v>
      </c>
      <c r="B132" s="2" t="s">
        <v>131</v>
      </c>
      <c r="C132" s="45">
        <v>13395000</v>
      </c>
      <c r="E132" s="84" t="s">
        <v>80</v>
      </c>
    </row>
    <row r="133" spans="1:11" x14ac:dyDescent="0.3">
      <c r="A133" s="2"/>
      <c r="B133" s="148" t="s">
        <v>69</v>
      </c>
      <c r="C133" s="178">
        <f>SUM(C129:C132)</f>
        <v>22185000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22185000</v>
      </c>
      <c r="C137" s="88">
        <f>B137/1000</f>
        <v>22185</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655148</v>
      </c>
      <c r="C142" s="84" t="s">
        <v>144</v>
      </c>
      <c r="D142" s="125"/>
    </row>
    <row r="143" spans="1:11" x14ac:dyDescent="0.3">
      <c r="A143" s="142" t="s">
        <v>145</v>
      </c>
      <c r="B143" s="143">
        <v>160445</v>
      </c>
      <c r="C143" s="84" t="s">
        <v>144</v>
      </c>
      <c r="D143" s="125"/>
    </row>
    <row r="144" spans="1:11" x14ac:dyDescent="0.3">
      <c r="A144" s="142" t="s">
        <v>146</v>
      </c>
      <c r="B144" s="143">
        <v>0</v>
      </c>
      <c r="C144" s="84" t="s">
        <v>144</v>
      </c>
      <c r="D144" s="125"/>
      <c r="F144" s="144"/>
    </row>
    <row r="145" spans="1:6" x14ac:dyDescent="0.3">
      <c r="A145" s="181" t="s">
        <v>147</v>
      </c>
      <c r="B145" s="199">
        <f>SUM(B142:B144)</f>
        <v>815593</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+'Jan 2016'!C153</f>
        <v>27522518</v>
      </c>
      <c r="C153" s="124">
        <v>27522518</v>
      </c>
      <c r="D153" s="144">
        <f>C153-B153</f>
        <v>0</v>
      </c>
      <c r="E153" s="125"/>
      <c r="F153" s="144"/>
    </row>
    <row r="154" spans="1:6" x14ac:dyDescent="0.3">
      <c r="A154" s="145"/>
      <c r="B154" s="125"/>
      <c r="C154" s="84" t="s">
        <v>144</v>
      </c>
      <c r="D154" s="100">
        <f>SUM(D153)</f>
        <v>0</v>
      </c>
      <c r="E154" s="125"/>
      <c r="F154" s="144"/>
    </row>
    <row r="155" spans="1:6" x14ac:dyDescent="0.3">
      <c r="A155" s="142" t="s">
        <v>156</v>
      </c>
      <c r="B155" s="185" t="s">
        <v>153</v>
      </c>
      <c r="C155" s="186" t="s">
        <v>154</v>
      </c>
      <c r="D155" s="185" t="s">
        <v>155</v>
      </c>
      <c r="F155" s="144"/>
    </row>
    <row r="156" spans="1:6" x14ac:dyDescent="0.3">
      <c r="A156" s="145"/>
      <c r="B156" s="124">
        <f>+'Jan 2016'!C156</f>
        <v>4849808.5</v>
      </c>
      <c r="C156" s="124">
        <v>4855275</v>
      </c>
      <c r="D156" s="144">
        <f>C156-B156</f>
        <v>5466.5</v>
      </c>
      <c r="E156" s="125"/>
      <c r="F156" s="144"/>
    </row>
    <row r="157" spans="1:6" x14ac:dyDescent="0.3">
      <c r="A157" s="145"/>
      <c r="B157" s="125"/>
      <c r="C157" s="84" t="s">
        <v>144</v>
      </c>
      <c r="D157" s="100">
        <f>D156</f>
        <v>5466.5</v>
      </c>
      <c r="E157" s="125"/>
      <c r="F157" s="144"/>
    </row>
    <row r="158" spans="1:6" x14ac:dyDescent="0.3">
      <c r="A158" s="142" t="s">
        <v>187</v>
      </c>
      <c r="B158" s="185" t="s">
        <v>153</v>
      </c>
      <c r="C158" s="186" t="s">
        <v>154</v>
      </c>
      <c r="D158" s="185" t="s">
        <v>155</v>
      </c>
      <c r="E158" s="125"/>
      <c r="F158" s="144"/>
    </row>
    <row r="159" spans="1:6" x14ac:dyDescent="0.3">
      <c r="A159" s="145"/>
      <c r="B159" s="124">
        <f>+'Jan 2016'!C159</f>
        <v>5192400</v>
      </c>
      <c r="C159" s="124">
        <v>5192400</v>
      </c>
      <c r="D159" s="144">
        <f>C159-B159</f>
        <v>0</v>
      </c>
      <c r="E159" s="125"/>
      <c r="F159" s="144"/>
    </row>
    <row r="160" spans="1:6" x14ac:dyDescent="0.3">
      <c r="A160" s="145"/>
      <c r="B160" s="125"/>
      <c r="C160" s="84" t="s">
        <v>144</v>
      </c>
      <c r="D160" s="100">
        <f>D159</f>
        <v>0</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187">
        <f>D157+D154+D160</f>
        <v>5466.5</v>
      </c>
      <c r="C163" s="84" t="s">
        <v>144</v>
      </c>
      <c r="D163" s="125"/>
      <c r="F163" s="144"/>
    </row>
    <row r="164" spans="1:11" x14ac:dyDescent="0.3">
      <c r="F164" s="144"/>
    </row>
    <row r="165" spans="1:11" x14ac:dyDescent="0.3">
      <c r="A165" s="188" t="s">
        <v>158</v>
      </c>
      <c r="B165" s="200">
        <f>B145+B150+B163</f>
        <v>821059.5</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8290000</v>
      </c>
      <c r="C170" s="88">
        <f>B170/1000</f>
        <v>8290</v>
      </c>
      <c r="D170" s="84" t="s">
        <v>163</v>
      </c>
      <c r="F170" s="413" t="s">
        <v>283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C74" name="Month"/>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60" fitToHeight="2" orientation="portrait" r:id="rId1"/>
  <rowBreaks count="1" manualBreakCount="1">
    <brk id="93" max="9"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K176"/>
  <sheetViews>
    <sheetView topLeftCell="A25" zoomScale="80" zoomScaleNormal="80" workbookViewId="0">
      <selection activeCell="C117" sqref="C117"/>
    </sheetView>
  </sheetViews>
  <sheetFormatPr defaultRowHeight="14.4" x14ac:dyDescent="0.3"/>
  <cols>
    <col min="1" max="1" width="23.33203125" customWidth="1"/>
    <col min="2" max="2" width="17.5546875" customWidth="1"/>
    <col min="3" max="3" width="17.6640625" customWidth="1"/>
    <col min="4" max="4" width="12.6640625" customWidth="1"/>
    <col min="5" max="5" width="15.33203125" customWidth="1"/>
    <col min="6" max="6" width="26" customWidth="1"/>
    <col min="7" max="7" width="13.88671875" customWidth="1"/>
    <col min="8" max="8" width="20.44140625" customWidth="1"/>
    <col min="10" max="10" width="11.5546875" bestFit="1" customWidth="1"/>
    <col min="11" max="11" width="12.6640625" bestFit="1" customWidth="1"/>
  </cols>
  <sheetData>
    <row r="1" spans="1:11" ht="15.6" x14ac:dyDescent="0.3">
      <c r="A1" s="1" t="s">
        <v>0</v>
      </c>
      <c r="G1" s="2"/>
    </row>
    <row r="2" spans="1:11" ht="15.6" x14ac:dyDescent="0.3">
      <c r="A2" s="1" t="s">
        <v>1</v>
      </c>
      <c r="G2" s="2"/>
    </row>
    <row r="3" spans="1:11" ht="15.6" x14ac:dyDescent="0.3">
      <c r="A3" s="1" t="s">
        <v>2</v>
      </c>
      <c r="G3" s="2"/>
    </row>
    <row r="4" spans="1:11" x14ac:dyDescent="0.3">
      <c r="G4" s="2"/>
    </row>
    <row r="5" spans="1:11" x14ac:dyDescent="0.3">
      <c r="G5" s="2"/>
    </row>
    <row r="6" spans="1:11" ht="21" x14ac:dyDescent="0.4">
      <c r="A6" s="3" t="s">
        <v>3</v>
      </c>
      <c r="B6" s="196" t="s">
        <v>319</v>
      </c>
      <c r="C6" s="4"/>
      <c r="D6" s="4"/>
      <c r="E6" s="4"/>
      <c r="F6" s="4"/>
      <c r="G6" s="5"/>
      <c r="H6" s="4"/>
      <c r="I6" s="4"/>
      <c r="J6" s="4"/>
      <c r="K6" s="4"/>
    </row>
    <row r="7" spans="1:11" ht="18" x14ac:dyDescent="0.35">
      <c r="A7" s="6" t="s">
        <v>4</v>
      </c>
      <c r="B7" s="7" t="s">
        <v>5</v>
      </c>
      <c r="C7" s="6" t="s">
        <v>6</v>
      </c>
      <c r="D7" s="6" t="s">
        <v>7</v>
      </c>
      <c r="E7" s="6" t="s">
        <v>8</v>
      </c>
      <c r="F7" s="6"/>
      <c r="G7" s="8" t="s">
        <v>9</v>
      </c>
      <c r="H7" s="6"/>
      <c r="I7" s="6"/>
      <c r="J7" s="6" t="s">
        <v>10</v>
      </c>
    </row>
    <row r="8" spans="1:11" ht="31.2" x14ac:dyDescent="0.3">
      <c r="A8" s="9" t="s">
        <v>11</v>
      </c>
      <c r="B8" s="10" t="s">
        <v>12</v>
      </c>
      <c r="C8" s="10" t="s">
        <v>13</v>
      </c>
      <c r="D8" s="11"/>
      <c r="E8" s="381">
        <f>+C47</f>
        <v>10451</v>
      </c>
      <c r="F8" s="10" t="s">
        <v>14</v>
      </c>
      <c r="G8" s="402">
        <v>41164.04</v>
      </c>
      <c r="H8" s="13" t="s">
        <v>15</v>
      </c>
      <c r="I8" s="13"/>
      <c r="J8" s="14">
        <f>E8*0.9756</f>
        <v>10195.9956</v>
      </c>
    </row>
    <row r="9" spans="1:11" ht="15.6" x14ac:dyDescent="0.3">
      <c r="A9" s="15" t="s">
        <v>16</v>
      </c>
      <c r="B9" s="16" t="s">
        <v>17</v>
      </c>
      <c r="C9" s="16" t="s">
        <v>13</v>
      </c>
      <c r="D9" s="11"/>
      <c r="E9" s="382">
        <f>+C50</f>
        <v>0</v>
      </c>
      <c r="F9" s="13"/>
      <c r="G9" s="401">
        <v>1064.28</v>
      </c>
      <c r="H9" t="s">
        <v>18</v>
      </c>
    </row>
    <row r="10" spans="1:11" ht="15.6" x14ac:dyDescent="0.3">
      <c r="A10" s="15" t="s">
        <v>19</v>
      </c>
      <c r="B10" s="16" t="s">
        <v>17</v>
      </c>
      <c r="C10" s="16" t="s">
        <v>13</v>
      </c>
      <c r="D10" s="11"/>
      <c r="E10" s="382">
        <f>+C51</f>
        <v>41239</v>
      </c>
      <c r="F10" s="13"/>
      <c r="G10" s="401">
        <v>129329.36</v>
      </c>
      <c r="H10" t="s">
        <v>20</v>
      </c>
    </row>
    <row r="11" spans="1:11" ht="15.6" x14ac:dyDescent="0.3">
      <c r="A11" s="15" t="s">
        <v>21</v>
      </c>
      <c r="B11" s="16" t="s">
        <v>17</v>
      </c>
      <c r="C11" s="16" t="s">
        <v>13</v>
      </c>
      <c r="D11" s="11"/>
      <c r="E11" s="382">
        <f>+C52</f>
        <v>23165</v>
      </c>
      <c r="F11" s="13"/>
      <c r="G11" s="401">
        <v>73114.05</v>
      </c>
      <c r="H11" t="s">
        <v>22</v>
      </c>
    </row>
    <row r="12" spans="1:11" ht="15.6" x14ac:dyDescent="0.3">
      <c r="A12" s="15" t="s">
        <v>23</v>
      </c>
      <c r="B12" s="16" t="s">
        <v>17</v>
      </c>
      <c r="C12" s="16" t="s">
        <v>13</v>
      </c>
      <c r="D12" s="11"/>
      <c r="E12" s="381">
        <f>+C53</f>
        <v>64404</v>
      </c>
      <c r="F12" s="13" t="s">
        <v>24</v>
      </c>
      <c r="G12" s="2"/>
    </row>
    <row r="13" spans="1:11" ht="15.6" x14ac:dyDescent="0.3">
      <c r="A13" s="9" t="s">
        <v>25</v>
      </c>
      <c r="B13" s="10" t="s">
        <v>26</v>
      </c>
      <c r="C13" s="10" t="s">
        <v>27</v>
      </c>
      <c r="D13" s="381">
        <f>+C63</f>
        <v>281905120</v>
      </c>
      <c r="E13" s="221">
        <f>+E63</f>
        <v>280736</v>
      </c>
      <c r="F13" s="13" t="s">
        <v>28</v>
      </c>
      <c r="G13" s="18"/>
      <c r="H13" s="19"/>
      <c r="I13" s="19"/>
      <c r="J13" s="20"/>
      <c r="K13" s="20"/>
    </row>
    <row r="14" spans="1:11" ht="15.6" x14ac:dyDescent="0.3">
      <c r="A14" s="9" t="s">
        <v>29</v>
      </c>
      <c r="B14" s="10" t="s">
        <v>26</v>
      </c>
      <c r="C14" s="10" t="s">
        <v>30</v>
      </c>
      <c r="D14" s="403"/>
      <c r="E14" s="382">
        <f>+B150</f>
        <v>0</v>
      </c>
      <c r="F14" s="13" t="s">
        <v>31</v>
      </c>
      <c r="G14" s="21"/>
      <c r="H14" s="13"/>
      <c r="I14" s="13"/>
      <c r="J14" s="22"/>
      <c r="K14" s="22"/>
    </row>
    <row r="15" spans="1:11" ht="15.6" x14ac:dyDescent="0.3">
      <c r="A15" s="9" t="s">
        <v>32</v>
      </c>
      <c r="B15" s="10" t="s">
        <v>26</v>
      </c>
      <c r="C15" s="10" t="s">
        <v>33</v>
      </c>
      <c r="D15" s="11"/>
      <c r="E15" s="382">
        <f>+B145</f>
        <v>558673</v>
      </c>
      <c r="F15" s="13" t="s">
        <v>31</v>
      </c>
      <c r="G15" s="21"/>
      <c r="H15" s="13"/>
      <c r="I15" s="13"/>
      <c r="J15" s="22"/>
      <c r="K15" s="22"/>
    </row>
    <row r="16" spans="1:11" ht="15.6" x14ac:dyDescent="0.3">
      <c r="A16" s="9" t="s">
        <v>34</v>
      </c>
      <c r="B16" s="10" t="s">
        <v>26</v>
      </c>
      <c r="C16" s="10" t="s">
        <v>35</v>
      </c>
      <c r="D16" s="11"/>
      <c r="E16" s="382">
        <f>+C137</f>
        <v>29420</v>
      </c>
      <c r="F16" s="13" t="s">
        <v>36</v>
      </c>
      <c r="G16" s="23" t="s">
        <v>37</v>
      </c>
      <c r="H16" s="24"/>
      <c r="I16" s="13"/>
      <c r="J16" s="13"/>
      <c r="K16" s="13"/>
    </row>
    <row r="17" spans="1:11" ht="15.6" x14ac:dyDescent="0.3">
      <c r="A17" s="9" t="s">
        <v>38</v>
      </c>
      <c r="B17" s="10" t="s">
        <v>26</v>
      </c>
      <c r="C17" s="10" t="s">
        <v>27</v>
      </c>
      <c r="D17" s="11"/>
      <c r="E17" s="381">
        <f>+C60</f>
        <v>4910986</v>
      </c>
      <c r="F17" s="13"/>
      <c r="G17" s="401">
        <v>120612.6</v>
      </c>
      <c r="H17" s="13" t="s">
        <v>39</v>
      </c>
      <c r="I17" s="25"/>
      <c r="J17" s="25"/>
      <c r="K17" s="25"/>
    </row>
    <row r="18" spans="1:11" ht="15.6" x14ac:dyDescent="0.3">
      <c r="A18" s="9" t="s">
        <v>40</v>
      </c>
      <c r="B18" s="10" t="s">
        <v>41</v>
      </c>
      <c r="C18" s="10" t="s">
        <v>42</v>
      </c>
      <c r="D18" s="11"/>
      <c r="E18" s="381">
        <f>+C87</f>
        <v>38005</v>
      </c>
      <c r="F18" s="13" t="s">
        <v>43</v>
      </c>
      <c r="G18" s="401">
        <v>498.59</v>
      </c>
      <c r="H18" s="13" t="s">
        <v>44</v>
      </c>
      <c r="I18" s="13"/>
      <c r="J18" s="13"/>
      <c r="K18" s="13"/>
    </row>
    <row r="19" spans="1:11" ht="15.6" x14ac:dyDescent="0.3">
      <c r="A19" t="s">
        <v>45</v>
      </c>
      <c r="B19" s="16" t="s">
        <v>41</v>
      </c>
      <c r="C19" s="16" t="s">
        <v>42</v>
      </c>
      <c r="D19" s="381">
        <f>+D91</f>
        <v>42392722</v>
      </c>
      <c r="E19" s="26"/>
      <c r="G19" s="2"/>
    </row>
    <row r="20" spans="1:11" ht="15.6" x14ac:dyDescent="0.3">
      <c r="A20" t="s">
        <v>46</v>
      </c>
      <c r="B20" s="16" t="s">
        <v>41</v>
      </c>
      <c r="C20" s="16" t="s">
        <v>42</v>
      </c>
      <c r="D20" s="26"/>
      <c r="E20" s="381">
        <f>+B107</f>
        <v>1121.9100000000001</v>
      </c>
      <c r="G20" s="2"/>
    </row>
    <row r="21" spans="1:11" ht="15.6" x14ac:dyDescent="0.3">
      <c r="A21" t="s">
        <v>47</v>
      </c>
      <c r="B21" s="16" t="s">
        <v>41</v>
      </c>
      <c r="C21" s="16" t="s">
        <v>42</v>
      </c>
      <c r="D21" s="26"/>
      <c r="E21" s="381">
        <f>+B108</f>
        <v>85.5</v>
      </c>
      <c r="G21" s="2"/>
    </row>
    <row r="22" spans="1:11" ht="15.6" x14ac:dyDescent="0.3">
      <c r="A22" s="9" t="s">
        <v>48</v>
      </c>
      <c r="B22" s="10" t="s">
        <v>49</v>
      </c>
      <c r="C22" s="10" t="s">
        <v>50</v>
      </c>
      <c r="D22" s="11"/>
      <c r="E22" s="381">
        <f>+C136</f>
        <v>0</v>
      </c>
      <c r="F22" s="13" t="s">
        <v>36</v>
      </c>
      <c r="G22" s="21" t="s">
        <v>51</v>
      </c>
      <c r="H22" s="13"/>
      <c r="I22" s="13"/>
      <c r="J22" s="13"/>
      <c r="K22" s="13"/>
    </row>
    <row r="23" spans="1:11" ht="15.6" x14ac:dyDescent="0.3">
      <c r="A23" s="9" t="s">
        <v>52</v>
      </c>
      <c r="B23" s="10" t="s">
        <v>49</v>
      </c>
      <c r="C23" s="10" t="s">
        <v>50</v>
      </c>
      <c r="D23" s="11"/>
      <c r="E23" s="381">
        <f>+C137</f>
        <v>29420</v>
      </c>
      <c r="F23" s="13" t="s">
        <v>36</v>
      </c>
      <c r="G23" s="21" t="s">
        <v>37</v>
      </c>
      <c r="H23" s="13"/>
      <c r="I23" s="13"/>
      <c r="J23" s="13"/>
      <c r="K23" s="13"/>
    </row>
    <row r="24" spans="1:11" ht="15.6" x14ac:dyDescent="0.3">
      <c r="A24" s="9" t="s">
        <v>53</v>
      </c>
      <c r="B24" s="10" t="s">
        <v>54</v>
      </c>
      <c r="C24" s="10" t="s">
        <v>55</v>
      </c>
      <c r="D24" s="11"/>
      <c r="E24" s="381">
        <f>+B165</f>
        <v>670766</v>
      </c>
      <c r="F24" s="13" t="s">
        <v>31</v>
      </c>
      <c r="G24" s="21"/>
      <c r="H24" s="13"/>
      <c r="I24" s="13"/>
      <c r="J24" s="13"/>
      <c r="K24" s="13"/>
    </row>
    <row r="25" spans="1:11" ht="15.6" x14ac:dyDescent="0.3">
      <c r="A25" s="9" t="s">
        <v>56</v>
      </c>
      <c r="B25" s="10" t="s">
        <v>57</v>
      </c>
      <c r="C25" s="10" t="s">
        <v>42</v>
      </c>
      <c r="D25" s="11"/>
      <c r="E25" s="381">
        <f>+C170</f>
        <v>9219</v>
      </c>
      <c r="F25" s="13" t="s">
        <v>58</v>
      </c>
      <c r="G25" s="402">
        <v>24872.62</v>
      </c>
      <c r="H25" s="13" t="s">
        <v>44</v>
      </c>
      <c r="I25" s="13"/>
      <c r="J25" s="13"/>
      <c r="K25" s="13"/>
    </row>
    <row r="26" spans="1:11" s="84" customFormat="1" ht="15.6" x14ac:dyDescent="0.3">
      <c r="A26" s="152" t="s">
        <v>165</v>
      </c>
      <c r="B26" s="112" t="s">
        <v>57</v>
      </c>
      <c r="C26" s="112" t="s">
        <v>42</v>
      </c>
      <c r="D26" s="26"/>
      <c r="E26" s="381">
        <f>+B174</f>
        <v>2330</v>
      </c>
      <c r="G26" s="2" t="s">
        <v>183</v>
      </c>
    </row>
    <row r="27" spans="1:11" s="84" customFormat="1" ht="15.6" x14ac:dyDescent="0.3">
      <c r="A27" s="152" t="s">
        <v>186</v>
      </c>
      <c r="B27" s="112" t="s">
        <v>26</v>
      </c>
      <c r="C27" s="112" t="s">
        <v>27</v>
      </c>
      <c r="D27" s="381">
        <f>+E76</f>
        <v>11823553</v>
      </c>
      <c r="E27" s="209"/>
      <c r="G27" s="2"/>
    </row>
    <row r="28" spans="1:11" s="84" customFormat="1" ht="15.6" x14ac:dyDescent="0.3">
      <c r="A28" s="152" t="s">
        <v>302</v>
      </c>
      <c r="B28" s="112" t="s">
        <v>41</v>
      </c>
      <c r="C28" s="112" t="s">
        <v>303</v>
      </c>
      <c r="D28" s="381">
        <f>+C117</f>
        <v>8067.5</v>
      </c>
      <c r="E28" s="209"/>
      <c r="G28" s="2"/>
    </row>
    <row r="29" spans="1:11" s="84" customFormat="1" ht="15.6" x14ac:dyDescent="0.3">
      <c r="A29" s="152" t="s">
        <v>125</v>
      </c>
      <c r="B29" s="112"/>
      <c r="C29" s="112"/>
      <c r="D29" s="381">
        <f>+C122</f>
        <v>10709.972591395293</v>
      </c>
      <c r="E29" s="209"/>
      <c r="G29" s="2"/>
    </row>
    <row r="30" spans="1:11" s="84" customFormat="1" ht="15.6" x14ac:dyDescent="0.3">
      <c r="A30" s="152" t="s">
        <v>127</v>
      </c>
      <c r="B30" s="112"/>
      <c r="C30" s="112"/>
      <c r="D30" s="381">
        <f>+C123</f>
        <v>1658.1375020808191</v>
      </c>
      <c r="E30" s="209"/>
      <c r="G30" s="2"/>
    </row>
    <row r="31" spans="1:11" s="84" customFormat="1" ht="15.6" x14ac:dyDescent="0.3">
      <c r="A31" s="152" t="s">
        <v>128</v>
      </c>
      <c r="B31" s="112"/>
      <c r="C31" s="112"/>
      <c r="D31" s="381">
        <f>+C124</f>
        <v>5110.3549553988059</v>
      </c>
      <c r="E31" s="209"/>
      <c r="G31" s="2"/>
    </row>
    <row r="32" spans="1:11" s="84" customFormat="1" ht="15.6" x14ac:dyDescent="0.3">
      <c r="A32" s="152"/>
      <c r="B32" s="112"/>
      <c r="C32" s="112"/>
      <c r="D32" s="383"/>
      <c r="E32" s="209"/>
      <c r="G32" s="2"/>
    </row>
    <row r="33" spans="1:11" s="84" customFormat="1" x14ac:dyDescent="0.3">
      <c r="A33" s="152"/>
      <c r="B33" s="112"/>
      <c r="C33" s="112"/>
      <c r="D33"/>
      <c r="E33"/>
      <c r="G33" s="2"/>
    </row>
    <row r="34" spans="1:11" x14ac:dyDescent="0.3">
      <c r="E34" s="27"/>
      <c r="G34" s="2"/>
    </row>
    <row r="35" spans="1:11" x14ac:dyDescent="0.3">
      <c r="A35" s="28" t="s">
        <v>59</v>
      </c>
      <c r="B35" s="28"/>
      <c r="C35" s="28"/>
      <c r="D35" s="28"/>
      <c r="E35" s="28"/>
      <c r="F35" s="28"/>
    </row>
    <row r="36" spans="1:11" x14ac:dyDescent="0.3">
      <c r="A36" s="28"/>
      <c r="B36" s="28"/>
      <c r="C36" s="28"/>
      <c r="D36" s="28"/>
      <c r="E36" s="28"/>
      <c r="F36" s="29"/>
      <c r="J36" t="s">
        <v>60</v>
      </c>
    </row>
    <row r="37" spans="1:11" ht="15.6" x14ac:dyDescent="0.3">
      <c r="A37" s="28" t="s">
        <v>61</v>
      </c>
      <c r="B37" s="28" t="s">
        <v>62</v>
      </c>
      <c r="C37" s="28"/>
      <c r="D37" s="28"/>
      <c r="E37" s="30">
        <f>+G9+G10+G11</f>
        <v>203507.69</v>
      </c>
      <c r="F37" s="31"/>
    </row>
    <row r="38" spans="1:11" x14ac:dyDescent="0.3">
      <c r="A38" s="28" t="s">
        <v>63</v>
      </c>
      <c r="B38" s="28" t="s">
        <v>63</v>
      </c>
      <c r="C38" s="28"/>
      <c r="D38" s="28"/>
      <c r="E38" s="32">
        <f>+G8</f>
        <v>41164.04</v>
      </c>
      <c r="F38" s="31"/>
    </row>
    <row r="39" spans="1:11" x14ac:dyDescent="0.3">
      <c r="A39" s="28"/>
      <c r="B39" s="28" t="s">
        <v>64</v>
      </c>
      <c r="C39" s="28"/>
      <c r="D39" s="28"/>
      <c r="E39" s="30">
        <f>SUM(E37:E38)</f>
        <v>244671.73</v>
      </c>
      <c r="F39" s="28"/>
    </row>
    <row r="40" spans="1:11" x14ac:dyDescent="0.3">
      <c r="A40" s="28"/>
      <c r="B40" s="28"/>
      <c r="C40" s="28"/>
      <c r="D40" s="28"/>
      <c r="E40" s="28"/>
      <c r="F40" s="28"/>
    </row>
    <row r="43" spans="1:11" ht="18" x14ac:dyDescent="0.35">
      <c r="A43" s="107" t="s">
        <v>65</v>
      </c>
      <c r="B43" s="108"/>
      <c r="C43" s="108"/>
      <c r="D43" s="108"/>
      <c r="E43" s="108"/>
      <c r="F43" s="108"/>
      <c r="G43" s="108"/>
      <c r="H43" s="108"/>
      <c r="I43" s="108"/>
      <c r="J43" s="108"/>
      <c r="K43" s="108"/>
    </row>
    <row r="44" spans="1:11" ht="15.6" x14ac:dyDescent="0.3">
      <c r="A44" s="1" t="s">
        <v>66</v>
      </c>
    </row>
    <row r="45" spans="1:11" ht="15.6" x14ac:dyDescent="0.3">
      <c r="B45" s="35"/>
      <c r="C45" s="36"/>
    </row>
    <row r="46" spans="1:11" ht="15.6" x14ac:dyDescent="0.3">
      <c r="A46" s="37" t="s">
        <v>67</v>
      </c>
      <c r="B46" s="37" t="s">
        <v>68</v>
      </c>
      <c r="C46" s="37" t="s">
        <v>69</v>
      </c>
    </row>
    <row r="47" spans="1:11" x14ac:dyDescent="0.3">
      <c r="A47" s="2" t="s">
        <v>70</v>
      </c>
      <c r="B47" s="2" t="s">
        <v>13</v>
      </c>
      <c r="C47" s="399">
        <v>10451</v>
      </c>
    </row>
    <row r="48" spans="1:11" x14ac:dyDescent="0.3">
      <c r="A48" s="2"/>
      <c r="B48" s="2"/>
      <c r="C48" s="400"/>
    </row>
    <row r="49" spans="1:11" ht="15.6" x14ac:dyDescent="0.3">
      <c r="A49" s="37" t="s">
        <v>71</v>
      </c>
      <c r="B49" s="2"/>
      <c r="C49" s="400"/>
    </row>
    <row r="50" spans="1:11" x14ac:dyDescent="0.3">
      <c r="A50" s="2" t="s">
        <v>72</v>
      </c>
      <c r="B50" s="2" t="s">
        <v>13</v>
      </c>
      <c r="C50" s="399">
        <v>0</v>
      </c>
    </row>
    <row r="51" spans="1:11" x14ac:dyDescent="0.3">
      <c r="A51" s="2" t="s">
        <v>73</v>
      </c>
      <c r="B51" s="2" t="s">
        <v>13</v>
      </c>
      <c r="C51" s="399">
        <v>41239</v>
      </c>
    </row>
    <row r="52" spans="1:11" x14ac:dyDescent="0.3">
      <c r="A52" s="2" t="s">
        <v>74</v>
      </c>
      <c r="B52" s="2" t="s">
        <v>13</v>
      </c>
      <c r="C52" s="399">
        <v>23165</v>
      </c>
    </row>
    <row r="53" spans="1:11" x14ac:dyDescent="0.3">
      <c r="A53" s="2"/>
      <c r="B53" s="2" t="s">
        <v>69</v>
      </c>
      <c r="C53" s="38">
        <f>SUM(C50:C52)</f>
        <v>64404</v>
      </c>
    </row>
    <row r="56" spans="1:11" ht="18" x14ac:dyDescent="0.35">
      <c r="A56" s="109" t="s">
        <v>75</v>
      </c>
      <c r="B56" s="110"/>
      <c r="C56" s="110"/>
      <c r="D56" s="110"/>
      <c r="E56" s="110"/>
      <c r="F56" s="110"/>
      <c r="G56" s="110"/>
      <c r="H56" s="110"/>
      <c r="I56" s="110"/>
      <c r="J56" s="110"/>
      <c r="K56" s="110"/>
    </row>
    <row r="57" spans="1:11" ht="15.6" x14ac:dyDescent="0.3">
      <c r="B57" s="1" t="s">
        <v>76</v>
      </c>
      <c r="C57" s="1" t="s">
        <v>77</v>
      </c>
    </row>
    <row r="58" spans="1:11" ht="28.2" customHeight="1" x14ac:dyDescent="0.3">
      <c r="A58" s="1" t="s">
        <v>78</v>
      </c>
      <c r="B58" s="46">
        <f>+C58/1000</f>
        <v>3261.6840000000002</v>
      </c>
      <c r="C58" s="40">
        <f>+K58</f>
        <v>3261684</v>
      </c>
      <c r="D58" t="s">
        <v>79</v>
      </c>
      <c r="E58" s="41"/>
      <c r="F58" s="458" t="s">
        <v>268</v>
      </c>
      <c r="G58" s="458"/>
      <c r="H58" s="458"/>
      <c r="I58" s="458"/>
      <c r="J58" s="458"/>
      <c r="K58">
        <f>66767200-63505516</f>
        <v>3261684</v>
      </c>
    </row>
    <row r="59" spans="1:11" ht="15.6" x14ac:dyDescent="0.3">
      <c r="A59" s="1" t="s">
        <v>81</v>
      </c>
      <c r="B59" s="42"/>
      <c r="C59" s="401">
        <v>1649302</v>
      </c>
      <c r="D59" t="s">
        <v>79</v>
      </c>
      <c r="E59" s="41"/>
      <c r="F59" t="s">
        <v>82</v>
      </c>
    </row>
    <row r="60" spans="1:11" ht="15.6" x14ac:dyDescent="0.3">
      <c r="A60" s="1" t="s">
        <v>83</v>
      </c>
      <c r="C60" s="40">
        <f>SUM(C58:C59)</f>
        <v>4910986</v>
      </c>
      <c r="D60" t="s">
        <v>79</v>
      </c>
      <c r="E60" s="41"/>
    </row>
    <row r="61" spans="1:11" ht="15.6" x14ac:dyDescent="0.3">
      <c r="A61" s="1"/>
    </row>
    <row r="62" spans="1:11" ht="15.6" x14ac:dyDescent="0.3">
      <c r="A62" s="1"/>
      <c r="B62" s="1" t="s">
        <v>84</v>
      </c>
      <c r="C62" s="1" t="s">
        <v>85</v>
      </c>
      <c r="D62" s="1"/>
      <c r="E62" s="1" t="s">
        <v>8</v>
      </c>
      <c r="F62" s="461" t="s">
        <v>86</v>
      </c>
      <c r="G62" s="461"/>
      <c r="H62" s="461"/>
      <c r="I62" s="461"/>
    </row>
    <row r="63" spans="1:11" ht="15.6" x14ac:dyDescent="0.3">
      <c r="A63" s="1" t="s">
        <v>87</v>
      </c>
      <c r="B63" s="43">
        <f>+'Dec 2015'!C63</f>
        <v>281624384</v>
      </c>
      <c r="C63" s="43">
        <v>281905120</v>
      </c>
      <c r="D63" t="s">
        <v>79</v>
      </c>
      <c r="E63" s="44">
        <f>+C63-B63</f>
        <v>280736</v>
      </c>
      <c r="F63" t="s">
        <v>88</v>
      </c>
    </row>
    <row r="66" spans="1:11" ht="18" x14ac:dyDescent="0.35">
      <c r="A66" s="50" t="s">
        <v>89</v>
      </c>
      <c r="B66" s="51"/>
      <c r="C66" s="51"/>
      <c r="D66" s="42"/>
      <c r="E66" s="42"/>
    </row>
    <row r="67" spans="1:11" ht="15.6" x14ac:dyDescent="0.3">
      <c r="A67" s="393" t="s">
        <v>90</v>
      </c>
      <c r="B67" s="51"/>
      <c r="C67" s="51"/>
      <c r="D67" s="42"/>
      <c r="E67" s="42"/>
    </row>
    <row r="68" spans="1:11" x14ac:dyDescent="0.3">
      <c r="A68" s="471" t="s">
        <v>277</v>
      </c>
      <c r="B68" s="471"/>
      <c r="C68" s="395" t="s">
        <v>236</v>
      </c>
      <c r="D68" s="42"/>
      <c r="E68" s="397">
        <f>+'Dec 2015'!E69</f>
        <v>11707602</v>
      </c>
    </row>
    <row r="69" spans="1:11" x14ac:dyDescent="0.3">
      <c r="A69" s="471" t="s">
        <v>278</v>
      </c>
      <c r="B69" s="471"/>
      <c r="C69" s="395" t="s">
        <v>178</v>
      </c>
      <c r="D69" s="42"/>
      <c r="E69" s="47">
        <v>11830017</v>
      </c>
      <c r="F69" s="84" t="s">
        <v>184</v>
      </c>
    </row>
    <row r="70" spans="1:11" ht="15.6" x14ac:dyDescent="0.3">
      <c r="A70" s="471" t="s">
        <v>279</v>
      </c>
      <c r="B70" s="471"/>
      <c r="C70" s="395" t="s">
        <v>178</v>
      </c>
      <c r="D70" s="42"/>
      <c r="E70" s="48">
        <f>+E69-E68</f>
        <v>122415</v>
      </c>
      <c r="F70" s="84"/>
    </row>
    <row r="71" spans="1:11" x14ac:dyDescent="0.3">
      <c r="A71" s="471" t="s">
        <v>280</v>
      </c>
      <c r="B71" s="471"/>
      <c r="C71" s="395" t="s">
        <v>236</v>
      </c>
      <c r="D71" s="42"/>
      <c r="E71" s="397">
        <f>+'Dec 2015'!E72</f>
        <v>269794.90000000002</v>
      </c>
      <c r="F71" s="84"/>
    </row>
    <row r="72" spans="1:11" x14ac:dyDescent="0.3">
      <c r="A72" s="471" t="s">
        <v>280</v>
      </c>
      <c r="B72" s="471"/>
      <c r="C72" s="395" t="str">
        <f>+C69</f>
        <v>Jan</v>
      </c>
      <c r="D72" s="42"/>
      <c r="E72" s="47">
        <v>276258.90000000002</v>
      </c>
      <c r="F72" s="84" t="s">
        <v>185</v>
      </c>
    </row>
    <row r="73" spans="1:11" ht="15.6" x14ac:dyDescent="0.3">
      <c r="A73" s="471" t="s">
        <v>281</v>
      </c>
      <c r="B73" s="471"/>
      <c r="C73" s="395" t="str">
        <f>+C69</f>
        <v>Jan</v>
      </c>
      <c r="D73" s="42"/>
      <c r="E73" s="48">
        <f>+E72-E71</f>
        <v>6464</v>
      </c>
    </row>
    <row r="74" spans="1:11" ht="15.6" x14ac:dyDescent="0.3">
      <c r="A74" s="462" t="s">
        <v>91</v>
      </c>
      <c r="B74" s="462"/>
      <c r="C74" s="395" t="str">
        <f>+C73</f>
        <v>Jan</v>
      </c>
      <c r="D74" s="42"/>
      <c r="E74" s="49">
        <f>+E70-E73</f>
        <v>115951</v>
      </c>
    </row>
    <row r="75" spans="1:11" x14ac:dyDescent="0.3">
      <c r="A75" s="51"/>
      <c r="B75" s="51"/>
      <c r="C75" s="127"/>
      <c r="D75" s="42"/>
      <c r="E75" s="46"/>
    </row>
    <row r="76" spans="1:11" ht="15.6" x14ac:dyDescent="0.3">
      <c r="A76" s="463" t="s">
        <v>92</v>
      </c>
      <c r="B76" s="463"/>
      <c r="C76" s="396" t="str">
        <f>+C74</f>
        <v>Jan</v>
      </c>
      <c r="D76" s="394"/>
      <c r="E76" s="398">
        <f>+E68+E74</f>
        <v>11823553</v>
      </c>
    </row>
    <row r="79" spans="1:11" ht="18" x14ac:dyDescent="0.35">
      <c r="A79" s="109" t="s">
        <v>93</v>
      </c>
      <c r="B79" s="110"/>
      <c r="C79" s="110"/>
      <c r="D79" s="110"/>
      <c r="E79" s="110"/>
      <c r="F79" s="110"/>
      <c r="G79" s="110"/>
      <c r="H79" s="110"/>
      <c r="I79" s="110"/>
      <c r="J79" s="110"/>
      <c r="K79" s="110"/>
    </row>
    <row r="80" spans="1:11" ht="15.6" x14ac:dyDescent="0.3">
      <c r="A80" s="52" t="s">
        <v>94</v>
      </c>
      <c r="B80" s="52" t="s">
        <v>95</v>
      </c>
      <c r="C80" s="1" t="s">
        <v>42</v>
      </c>
    </row>
    <row r="81" spans="1:10" ht="30" customHeight="1" x14ac:dyDescent="0.3">
      <c r="A81" t="s">
        <v>96</v>
      </c>
      <c r="B81" s="53"/>
      <c r="E81" s="472" t="s">
        <v>97</v>
      </c>
      <c r="F81" s="472"/>
      <c r="G81" s="472"/>
      <c r="H81" s="472"/>
      <c r="I81" s="472"/>
      <c r="J81" s="472"/>
    </row>
    <row r="82" spans="1:10" x14ac:dyDescent="0.3">
      <c r="A82" s="54" t="s">
        <v>98</v>
      </c>
      <c r="B82" s="74">
        <v>13403000</v>
      </c>
      <c r="C82">
        <f>B82/1000</f>
        <v>13403</v>
      </c>
    </row>
    <row r="83" spans="1:10" x14ac:dyDescent="0.3">
      <c r="A83" s="54" t="s">
        <v>99</v>
      </c>
      <c r="B83" s="74">
        <v>17000</v>
      </c>
      <c r="C83">
        <f>B83/1000</f>
        <v>17</v>
      </c>
    </row>
    <row r="84" spans="1:10" x14ac:dyDescent="0.3">
      <c r="A84" s="54" t="s">
        <v>100</v>
      </c>
      <c r="B84" s="74">
        <v>17368000</v>
      </c>
      <c r="C84">
        <f>B84/1000</f>
        <v>17368</v>
      </c>
    </row>
    <row r="85" spans="1:10" x14ac:dyDescent="0.3">
      <c r="A85" s="54" t="s">
        <v>101</v>
      </c>
      <c r="B85" s="74">
        <v>7016000</v>
      </c>
      <c r="C85">
        <f>B85/1000</f>
        <v>7016</v>
      </c>
    </row>
    <row r="86" spans="1:10" x14ac:dyDescent="0.3">
      <c r="A86" t="s">
        <v>102</v>
      </c>
      <c r="B86" s="436">
        <v>201000</v>
      </c>
      <c r="C86" s="55">
        <f t="shared" ref="C86" si="0">B86/1000</f>
        <v>201</v>
      </c>
      <c r="F86" t="s">
        <v>103</v>
      </c>
    </row>
    <row r="87" spans="1:10" ht="15.6" x14ac:dyDescent="0.3">
      <c r="A87" t="s">
        <v>104</v>
      </c>
      <c r="B87" s="404">
        <f>SUM(B82:B86)</f>
        <v>38005000</v>
      </c>
      <c r="C87" s="56">
        <f>SUM(C81:C86)</f>
        <v>38005</v>
      </c>
    </row>
    <row r="88" spans="1:10" ht="15.6" x14ac:dyDescent="0.3">
      <c r="B88" s="35"/>
    </row>
    <row r="89" spans="1:10" x14ac:dyDescent="0.3">
      <c r="A89" t="s">
        <v>105</v>
      </c>
    </row>
    <row r="90" spans="1:10" ht="15" thickBot="1" x14ac:dyDescent="0.35">
      <c r="B90" t="s">
        <v>95</v>
      </c>
      <c r="C90" t="s">
        <v>106</v>
      </c>
      <c r="D90" t="s">
        <v>107</v>
      </c>
    </row>
    <row r="91" spans="1:10" ht="15.6" x14ac:dyDescent="0.3">
      <c r="A91" t="s">
        <v>45</v>
      </c>
      <c r="B91" s="440">
        <v>4011600</v>
      </c>
      <c r="C91" s="76">
        <f>+'Dec 2015'!D91</f>
        <v>38381122</v>
      </c>
      <c r="D91" s="405">
        <f>B91+C91</f>
        <v>42392722</v>
      </c>
      <c r="E91" s="57" t="s">
        <v>108</v>
      </c>
    </row>
    <row r="92" spans="1:10" ht="15.6" x14ac:dyDescent="0.3">
      <c r="A92" t="s">
        <v>109</v>
      </c>
      <c r="B92" s="58" t="s">
        <v>110</v>
      </c>
      <c r="C92" s="58" t="s">
        <v>111</v>
      </c>
      <c r="D92" s="59" t="s">
        <v>112</v>
      </c>
    </row>
    <row r="93" spans="1:10" ht="15.6" x14ac:dyDescent="0.3">
      <c r="A93" t="s">
        <v>45</v>
      </c>
      <c r="B93" s="46">
        <f>+'Dec 2015'!C93</f>
        <v>9779914</v>
      </c>
      <c r="C93" s="46">
        <v>10175744</v>
      </c>
      <c r="D93" s="37">
        <f>C93-B93</f>
        <v>395830</v>
      </c>
      <c r="E93" t="s">
        <v>113</v>
      </c>
    </row>
    <row r="94" spans="1:10" ht="15.6" x14ac:dyDescent="0.3">
      <c r="C94" s="1"/>
      <c r="D94" s="1"/>
    </row>
    <row r="95" spans="1:10" ht="16.2" thickBot="1" x14ac:dyDescent="0.35">
      <c r="B95" s="1" t="s">
        <v>114</v>
      </c>
      <c r="C95" s="1" t="s">
        <v>115</v>
      </c>
      <c r="D95" s="60" t="s">
        <v>112</v>
      </c>
      <c r="E95" s="1"/>
      <c r="F95" s="1"/>
    </row>
    <row r="96" spans="1:10" ht="15.6" x14ac:dyDescent="0.3">
      <c r="A96" s="61" t="s">
        <v>116</v>
      </c>
      <c r="B96" s="77">
        <f>+'Dec 2015'!C96</f>
        <v>14625802</v>
      </c>
      <c r="C96" s="406">
        <v>15335232</v>
      </c>
      <c r="D96" s="62">
        <f>C96-B96</f>
        <v>709430</v>
      </c>
      <c r="E96" s="63"/>
    </row>
    <row r="97" spans="1:6" ht="15.6" x14ac:dyDescent="0.3">
      <c r="A97" s="61" t="s">
        <v>117</v>
      </c>
      <c r="B97" s="78">
        <f>+'Dec 2015'!C97</f>
        <v>15545542</v>
      </c>
      <c r="C97" s="407">
        <v>15551772</v>
      </c>
      <c r="D97" s="62">
        <f t="shared" ref="D97:D99" si="1">C97-B97</f>
        <v>6230</v>
      </c>
      <c r="E97" s="63"/>
      <c r="F97" s="39"/>
    </row>
    <row r="98" spans="1:6" ht="15.6" x14ac:dyDescent="0.3">
      <c r="A98" s="61" t="s">
        <v>118</v>
      </c>
      <c r="B98" s="78">
        <f>+'Dec 2015'!C98</f>
        <v>8377950</v>
      </c>
      <c r="C98" s="407">
        <v>8776200</v>
      </c>
      <c r="D98" s="62">
        <f t="shared" si="1"/>
        <v>398250</v>
      </c>
      <c r="E98" s="63"/>
      <c r="F98" s="39"/>
    </row>
    <row r="99" spans="1:6" ht="16.2" thickBot="1" x14ac:dyDescent="0.35">
      <c r="A99" s="61" t="s">
        <v>119</v>
      </c>
      <c r="B99" s="79">
        <f>+'Dec 2015'!C99</f>
        <v>1624444</v>
      </c>
      <c r="C99" s="408">
        <v>1632444</v>
      </c>
      <c r="D99" s="62">
        <f t="shared" si="1"/>
        <v>8000</v>
      </c>
      <c r="E99" s="63"/>
      <c r="F99" s="39"/>
    </row>
    <row r="100" spans="1:6" ht="15.6" x14ac:dyDescent="0.3">
      <c r="A100" s="61"/>
      <c r="B100" s="62"/>
      <c r="C100" s="64"/>
      <c r="D100" s="65">
        <f>SUM(D96:D99)</f>
        <v>1121910</v>
      </c>
      <c r="E100" s="66"/>
      <c r="F100" s="36"/>
    </row>
    <row r="101" spans="1:6" ht="16.2" thickBot="1" x14ac:dyDescent="0.35">
      <c r="A101" s="61"/>
      <c r="B101" s="1" t="s">
        <v>114</v>
      </c>
      <c r="C101" s="1" t="s">
        <v>115</v>
      </c>
      <c r="D101" s="62"/>
    </row>
    <row r="102" spans="1:6" ht="15.6" x14ac:dyDescent="0.3">
      <c r="A102" s="61" t="s">
        <v>120</v>
      </c>
      <c r="B102" s="80">
        <f>+'Dec 2015'!C102</f>
        <v>20737488</v>
      </c>
      <c r="C102" s="409">
        <v>20737488</v>
      </c>
      <c r="D102" s="2">
        <f>C102-B102</f>
        <v>0</v>
      </c>
    </row>
    <row r="103" spans="1:6" ht="16.2" thickBot="1" x14ac:dyDescent="0.35">
      <c r="A103" s="61" t="s">
        <v>121</v>
      </c>
      <c r="B103" s="81">
        <f>+'Dec 2015'!C103</f>
        <v>931101</v>
      </c>
      <c r="C103" s="410">
        <v>1016601</v>
      </c>
      <c r="D103" s="2">
        <f>C103-B103</f>
        <v>85500</v>
      </c>
    </row>
    <row r="104" spans="1:6" ht="15.6" x14ac:dyDescent="0.3">
      <c r="D104" s="37">
        <f>SUM(D102:D103)</f>
        <v>85500</v>
      </c>
    </row>
    <row r="105" spans="1:6" x14ac:dyDescent="0.3">
      <c r="D105" s="2"/>
    </row>
    <row r="106" spans="1:6" x14ac:dyDescent="0.3">
      <c r="B106" t="s">
        <v>42</v>
      </c>
      <c r="D106" s="2"/>
    </row>
    <row r="107" spans="1:6" x14ac:dyDescent="0.3">
      <c r="A107" t="s">
        <v>46</v>
      </c>
      <c r="B107" s="67">
        <f>D100/1000</f>
        <v>1121.9100000000001</v>
      </c>
      <c r="D107" s="2"/>
    </row>
    <row r="108" spans="1:6" x14ac:dyDescent="0.3">
      <c r="A108" t="s">
        <v>47</v>
      </c>
      <c r="B108" s="68">
        <f>D104/1000</f>
        <v>85.5</v>
      </c>
      <c r="D108" s="2"/>
    </row>
    <row r="109" spans="1:6" s="333" customFormat="1" x14ac:dyDescent="0.3">
      <c r="B109" s="68"/>
      <c r="D109" s="2"/>
    </row>
    <row r="110" spans="1:6" s="333" customFormat="1" x14ac:dyDescent="0.3">
      <c r="A110" s="333" t="s">
        <v>293</v>
      </c>
      <c r="B110" s="68"/>
      <c r="C110" s="333">
        <f>+'Dec 2015'!C111</f>
        <v>86151</v>
      </c>
      <c r="D110" s="2" t="s">
        <v>301</v>
      </c>
    </row>
    <row r="111" spans="1:6" s="333" customFormat="1" x14ac:dyDescent="0.3">
      <c r="A111" s="333" t="s">
        <v>294</v>
      </c>
      <c r="B111" s="68"/>
      <c r="C111" s="55">
        <v>89485</v>
      </c>
      <c r="D111" s="2" t="s">
        <v>301</v>
      </c>
    </row>
    <row r="112" spans="1:6" s="333" customFormat="1" x14ac:dyDescent="0.3">
      <c r="A112" s="333" t="s">
        <v>295</v>
      </c>
      <c r="B112" s="68"/>
      <c r="C112" s="267">
        <f>+C111-C110</f>
        <v>3334</v>
      </c>
      <c r="D112" s="2"/>
    </row>
    <row r="113" spans="1:11" s="333" customFormat="1" x14ac:dyDescent="0.3">
      <c r="A113" s="333" t="s">
        <v>296</v>
      </c>
      <c r="B113" s="68"/>
      <c r="C113" s="417">
        <f>+'Dec 2015'!C114</f>
        <v>67970</v>
      </c>
      <c r="D113" s="2" t="s">
        <v>301</v>
      </c>
    </row>
    <row r="114" spans="1:11" s="333" customFormat="1" x14ac:dyDescent="0.3">
      <c r="A114" s="333" t="s">
        <v>297</v>
      </c>
      <c r="B114" s="68"/>
      <c r="C114" s="55">
        <v>71040</v>
      </c>
      <c r="D114" s="2" t="s">
        <v>301</v>
      </c>
    </row>
    <row r="115" spans="1:11" s="333" customFormat="1" x14ac:dyDescent="0.3">
      <c r="A115" s="333" t="s">
        <v>298</v>
      </c>
      <c r="B115" s="68"/>
      <c r="C115" s="417">
        <f>+C114-C113</f>
        <v>3070</v>
      </c>
      <c r="D115" s="2"/>
    </row>
    <row r="116" spans="1:11" s="333" customFormat="1" ht="15" thickBot="1" x14ac:dyDescent="0.35">
      <c r="A116" s="333" t="s">
        <v>299</v>
      </c>
      <c r="B116" s="68"/>
      <c r="C116" s="333">
        <f>+C112-C115</f>
        <v>264</v>
      </c>
      <c r="D116" s="2"/>
    </row>
    <row r="117" spans="1:11" s="333" customFormat="1" ht="15" thickBot="1" x14ac:dyDescent="0.35">
      <c r="A117" s="333" t="s">
        <v>300</v>
      </c>
      <c r="B117" s="68"/>
      <c r="C117" s="419">
        <f>+'Dec 2015'!C117+'Jan 2016'!C116</f>
        <v>8067.5</v>
      </c>
      <c r="D117" s="2"/>
    </row>
    <row r="118" spans="1:11" s="333" customFormat="1" x14ac:dyDescent="0.3">
      <c r="B118" s="68"/>
      <c r="D118" s="2"/>
    </row>
    <row r="119" spans="1:11" x14ac:dyDescent="0.3">
      <c r="D119" s="2"/>
    </row>
    <row r="120" spans="1:11" ht="15" thickBot="1" x14ac:dyDescent="0.35">
      <c r="A120" s="42"/>
      <c r="B120" s="42"/>
      <c r="C120" s="42"/>
      <c r="D120" s="69"/>
      <c r="E120" s="42"/>
      <c r="F120" s="42"/>
      <c r="G120" s="42"/>
      <c r="H120" s="42"/>
      <c r="I120" s="42"/>
    </row>
    <row r="121" spans="1:11" ht="28.8" x14ac:dyDescent="0.3">
      <c r="A121" t="s">
        <v>122</v>
      </c>
      <c r="B121" t="s">
        <v>123</v>
      </c>
      <c r="C121" s="70" t="s">
        <v>124</v>
      </c>
      <c r="D121" s="71"/>
      <c r="E121" s="72"/>
      <c r="F121" s="72"/>
      <c r="G121" s="72"/>
      <c r="H121" s="72"/>
      <c r="I121" s="73"/>
    </row>
    <row r="122" spans="1:11" ht="15.6" x14ac:dyDescent="0.3">
      <c r="A122" s="46" t="s">
        <v>125</v>
      </c>
      <c r="B122" s="82">
        <v>0.28180430447034055</v>
      </c>
      <c r="C122" s="83">
        <f>$C$87*B122</f>
        <v>10709.972591395293</v>
      </c>
      <c r="D122" s="464" t="s">
        <v>126</v>
      </c>
      <c r="E122" s="465"/>
      <c r="F122" s="465"/>
      <c r="G122" s="465"/>
      <c r="H122" s="465"/>
      <c r="I122" s="466"/>
    </row>
    <row r="123" spans="1:11" ht="15.6" x14ac:dyDescent="0.3">
      <c r="A123" s="46" t="s">
        <v>127</v>
      </c>
      <c r="B123" s="82">
        <v>4.3629456705191923E-2</v>
      </c>
      <c r="C123" s="111">
        <f>$C$87*B123</f>
        <v>1658.1375020808191</v>
      </c>
      <c r="D123" s="464"/>
      <c r="E123" s="465"/>
      <c r="F123" s="465"/>
      <c r="G123" s="465"/>
      <c r="H123" s="465"/>
      <c r="I123" s="466"/>
    </row>
    <row r="124" spans="1:11" ht="16.2" thickBot="1" x14ac:dyDescent="0.35">
      <c r="A124" s="46" t="s">
        <v>128</v>
      </c>
      <c r="B124" s="82">
        <v>0.13446533233518762</v>
      </c>
      <c r="C124" s="111">
        <f>$C$87*B124</f>
        <v>5110.3549553988059</v>
      </c>
      <c r="D124" s="467"/>
      <c r="E124" s="468"/>
      <c r="F124" s="468"/>
      <c r="G124" s="468"/>
      <c r="H124" s="468"/>
      <c r="I124" s="469"/>
    </row>
    <row r="127" spans="1:11" ht="18" x14ac:dyDescent="0.35">
      <c r="A127" s="109" t="s">
        <v>129</v>
      </c>
      <c r="B127" s="110"/>
      <c r="C127" s="110"/>
      <c r="D127" s="110"/>
      <c r="E127" s="110"/>
      <c r="F127" s="110"/>
      <c r="G127" s="110"/>
      <c r="H127" s="110"/>
      <c r="I127" s="110"/>
      <c r="J127" s="110"/>
      <c r="K127" s="110"/>
    </row>
    <row r="128" spans="1:11" ht="15.6" x14ac:dyDescent="0.3">
      <c r="A128" s="37" t="s">
        <v>67</v>
      </c>
      <c r="B128" s="37" t="s">
        <v>68</v>
      </c>
      <c r="C128" s="37" t="s">
        <v>69</v>
      </c>
      <c r="D128" s="84"/>
      <c r="E128" s="84"/>
      <c r="F128" s="84"/>
      <c r="G128" s="84"/>
    </row>
    <row r="129" spans="1:11" x14ac:dyDescent="0.3">
      <c r="A129" s="2" t="s">
        <v>130</v>
      </c>
      <c r="B129" s="2" t="s">
        <v>131</v>
      </c>
      <c r="C129" s="45">
        <v>5451000</v>
      </c>
      <c r="D129" s="84"/>
      <c r="E129" t="s">
        <v>80</v>
      </c>
      <c r="F129" s="84"/>
      <c r="G129" s="84"/>
    </row>
    <row r="130" spans="1:11" x14ac:dyDescent="0.3">
      <c r="A130" s="2" t="s">
        <v>132</v>
      </c>
      <c r="B130" s="2" t="s">
        <v>131</v>
      </c>
      <c r="C130" s="45">
        <v>6023000</v>
      </c>
      <c r="D130" s="84"/>
      <c r="E130" t="s">
        <v>80</v>
      </c>
      <c r="F130" s="84"/>
      <c r="G130" s="84"/>
    </row>
    <row r="131" spans="1:11" x14ac:dyDescent="0.3">
      <c r="A131" s="2" t="s">
        <v>133</v>
      </c>
      <c r="B131" s="2" t="s">
        <v>131</v>
      </c>
      <c r="C131" s="45">
        <v>5610000</v>
      </c>
      <c r="D131" s="84"/>
      <c r="E131" t="s">
        <v>80</v>
      </c>
      <c r="F131" s="84"/>
      <c r="G131" s="84"/>
    </row>
    <row r="132" spans="1:11" x14ac:dyDescent="0.3">
      <c r="A132" s="2" t="s">
        <v>134</v>
      </c>
      <c r="B132" s="2" t="s">
        <v>131</v>
      </c>
      <c r="C132" s="45">
        <v>12336000</v>
      </c>
      <c r="D132" s="84"/>
      <c r="E132" t="s">
        <v>80</v>
      </c>
      <c r="F132" s="84"/>
      <c r="G132" s="84"/>
    </row>
    <row r="133" spans="1:11" ht="15.6" x14ac:dyDescent="0.3">
      <c r="A133" s="2"/>
      <c r="B133" s="37" t="s">
        <v>69</v>
      </c>
      <c r="C133" s="85">
        <f>SUM(C129:C132)</f>
        <v>29420000</v>
      </c>
      <c r="D133" s="84"/>
      <c r="E133" s="37"/>
      <c r="F133" s="37"/>
      <c r="G133" s="84"/>
    </row>
    <row r="134" spans="1:11" x14ac:dyDescent="0.3">
      <c r="A134" s="2"/>
      <c r="B134" s="84"/>
      <c r="C134" s="84"/>
      <c r="D134" s="84"/>
      <c r="F134" s="86"/>
    </row>
    <row r="135" spans="1:11" ht="15.6" x14ac:dyDescent="0.3">
      <c r="A135" s="1"/>
      <c r="B135" s="1" t="s">
        <v>135</v>
      </c>
      <c r="C135" s="1" t="s">
        <v>136</v>
      </c>
      <c r="D135" s="1"/>
      <c r="E135" s="1"/>
    </row>
    <row r="136" spans="1:11" x14ac:dyDescent="0.3">
      <c r="A136" s="84" t="s">
        <v>137</v>
      </c>
      <c r="B136" s="45">
        <v>0</v>
      </c>
      <c r="C136" s="84">
        <f>B136/1000</f>
        <v>0</v>
      </c>
      <c r="D136" s="84"/>
      <c r="E136" t="s">
        <v>80</v>
      </c>
    </row>
    <row r="137" spans="1:11" ht="15.6" x14ac:dyDescent="0.3">
      <c r="A137" s="84" t="s">
        <v>138</v>
      </c>
      <c r="B137" s="87">
        <f>+C133</f>
        <v>29420000</v>
      </c>
      <c r="C137" s="88">
        <f>B137/1000</f>
        <v>29420</v>
      </c>
      <c r="D137" s="84"/>
      <c r="E137" t="s">
        <v>80</v>
      </c>
    </row>
    <row r="140" spans="1:11" ht="18" x14ac:dyDescent="0.35">
      <c r="A140" s="109" t="s">
        <v>139</v>
      </c>
      <c r="B140" s="110"/>
      <c r="C140" s="110"/>
      <c r="D140" s="110"/>
      <c r="E140" s="110"/>
      <c r="F140" s="110"/>
      <c r="G140" s="110"/>
      <c r="H140" s="110"/>
      <c r="I140" s="110"/>
      <c r="J140" s="110"/>
      <c r="K140" s="110"/>
    </row>
    <row r="141" spans="1:11" ht="15.6" x14ac:dyDescent="0.3">
      <c r="A141" s="52" t="s">
        <v>140</v>
      </c>
      <c r="B141" s="52" t="s">
        <v>141</v>
      </c>
      <c r="C141" s="52" t="s">
        <v>6</v>
      </c>
      <c r="D141" s="89"/>
      <c r="E141" s="90" t="s">
        <v>142</v>
      </c>
    </row>
    <row r="142" spans="1:11" x14ac:dyDescent="0.3">
      <c r="A142" s="91" t="s">
        <v>143</v>
      </c>
      <c r="B142" s="105">
        <v>346290</v>
      </c>
      <c r="C142" t="s">
        <v>144</v>
      </c>
      <c r="D142" s="42"/>
    </row>
    <row r="143" spans="1:11" x14ac:dyDescent="0.3">
      <c r="A143" s="91" t="s">
        <v>145</v>
      </c>
      <c r="B143" s="105">
        <v>211311</v>
      </c>
      <c r="C143" t="s">
        <v>144</v>
      </c>
      <c r="D143" s="42"/>
    </row>
    <row r="144" spans="1:11" x14ac:dyDescent="0.3">
      <c r="A144" s="91" t="s">
        <v>146</v>
      </c>
      <c r="B144" s="105">
        <v>1072</v>
      </c>
      <c r="C144" t="s">
        <v>144</v>
      </c>
      <c r="D144" s="42"/>
      <c r="F144" s="92"/>
    </row>
    <row r="145" spans="1:6" ht="15.6" x14ac:dyDescent="0.3">
      <c r="A145" s="93" t="s">
        <v>147</v>
      </c>
      <c r="B145" s="94">
        <f>SUM(B142:B144)</f>
        <v>558673</v>
      </c>
      <c r="C145" s="1" t="s">
        <v>144</v>
      </c>
      <c r="D145" s="95"/>
      <c r="F145" s="92"/>
    </row>
    <row r="146" spans="1:6" ht="15.6" x14ac:dyDescent="0.3">
      <c r="A146" s="35"/>
      <c r="B146" s="1"/>
      <c r="C146" s="1"/>
      <c r="D146" s="42"/>
      <c r="F146" s="92"/>
    </row>
    <row r="147" spans="1:6" ht="15.6" x14ac:dyDescent="0.3">
      <c r="A147" s="52" t="s">
        <v>148</v>
      </c>
      <c r="B147" s="52" t="s">
        <v>141</v>
      </c>
      <c r="C147" s="52" t="s">
        <v>6</v>
      </c>
      <c r="D147" s="42"/>
      <c r="F147" s="92"/>
    </row>
    <row r="148" spans="1:6" x14ac:dyDescent="0.3">
      <c r="A148" s="91" t="s">
        <v>149</v>
      </c>
      <c r="B148" s="46">
        <v>0</v>
      </c>
      <c r="C148" t="s">
        <v>144</v>
      </c>
      <c r="D148" s="42"/>
      <c r="E148" s="57"/>
      <c r="F148" s="92"/>
    </row>
    <row r="149" spans="1:6" x14ac:dyDescent="0.3">
      <c r="A149" s="91" t="s">
        <v>150</v>
      </c>
      <c r="B149" s="46">
        <v>0</v>
      </c>
      <c r="C149" t="s">
        <v>144</v>
      </c>
      <c r="D149" s="42"/>
      <c r="F149" s="92"/>
    </row>
    <row r="150" spans="1:6" ht="15.6" x14ac:dyDescent="0.3">
      <c r="A150" s="93" t="s">
        <v>147</v>
      </c>
      <c r="B150" s="96">
        <f>SUM(B148:B149)</f>
        <v>0</v>
      </c>
      <c r="D150" s="42"/>
      <c r="F150" s="92"/>
    </row>
    <row r="151" spans="1:6" ht="15.6" x14ac:dyDescent="0.3">
      <c r="A151" s="60" t="s">
        <v>151</v>
      </c>
      <c r="B151" s="95" t="s">
        <v>141</v>
      </c>
      <c r="C151" s="95" t="s">
        <v>6</v>
      </c>
      <c r="D151" s="42"/>
      <c r="F151" s="92"/>
    </row>
    <row r="152" spans="1:6" ht="15.6" x14ac:dyDescent="0.3">
      <c r="A152" s="91" t="s">
        <v>152</v>
      </c>
      <c r="B152" s="97" t="s">
        <v>153</v>
      </c>
      <c r="C152" s="98" t="s">
        <v>154</v>
      </c>
      <c r="D152" s="97" t="s">
        <v>155</v>
      </c>
      <c r="F152" s="92"/>
    </row>
    <row r="153" spans="1:6" x14ac:dyDescent="0.3">
      <c r="A153" s="99"/>
      <c r="B153" s="46">
        <f>+'Dec 2015'!C153</f>
        <v>27422950</v>
      </c>
      <c r="C153" s="46">
        <v>27522518</v>
      </c>
      <c r="D153" s="92">
        <f>C153-B153</f>
        <v>99568</v>
      </c>
      <c r="E153" s="42"/>
      <c r="F153" s="92"/>
    </row>
    <row r="154" spans="1:6" x14ac:dyDescent="0.3">
      <c r="A154" s="99"/>
      <c r="B154" s="42"/>
      <c r="C154" t="s">
        <v>144</v>
      </c>
      <c r="D154" s="100">
        <f>SUM(D153)</f>
        <v>99568</v>
      </c>
      <c r="E154" s="42"/>
      <c r="F154" s="92"/>
    </row>
    <row r="155" spans="1:6" ht="15.6" x14ac:dyDescent="0.3">
      <c r="A155" s="91" t="s">
        <v>156</v>
      </c>
      <c r="B155" s="97" t="s">
        <v>153</v>
      </c>
      <c r="C155" s="98" t="s">
        <v>154</v>
      </c>
      <c r="D155" s="97" t="s">
        <v>155</v>
      </c>
      <c r="F155" s="92"/>
    </row>
    <row r="156" spans="1:6" x14ac:dyDescent="0.3">
      <c r="A156" s="99"/>
      <c r="B156" s="46">
        <f>+'Dec 2015'!C156</f>
        <v>4837283.5</v>
      </c>
      <c r="C156" s="46">
        <v>4849808.5</v>
      </c>
      <c r="D156" s="92">
        <f>C156-B156</f>
        <v>12525</v>
      </c>
      <c r="E156" s="42"/>
      <c r="F156" s="92"/>
    </row>
    <row r="157" spans="1:6" x14ac:dyDescent="0.3">
      <c r="A157" s="99"/>
      <c r="B157" s="42"/>
      <c r="C157" t="s">
        <v>144</v>
      </c>
      <c r="D157" s="100">
        <f>D156</f>
        <v>12525</v>
      </c>
      <c r="E157" s="42"/>
      <c r="F157" s="92"/>
    </row>
    <row r="158" spans="1:6" ht="15.6" x14ac:dyDescent="0.3">
      <c r="A158" s="91" t="s">
        <v>187</v>
      </c>
      <c r="B158" s="97" t="s">
        <v>153</v>
      </c>
      <c r="C158" s="98" t="s">
        <v>154</v>
      </c>
      <c r="D158" s="97" t="s">
        <v>155</v>
      </c>
      <c r="E158" s="42"/>
      <c r="F158" s="92"/>
    </row>
    <row r="159" spans="1:6" x14ac:dyDescent="0.3">
      <c r="A159" s="99"/>
      <c r="B159" s="46">
        <f>+'Dec 2015'!C159</f>
        <v>5192400</v>
      </c>
      <c r="C159" s="46">
        <v>5192400</v>
      </c>
      <c r="D159" s="92">
        <f>C159-B159</f>
        <v>0</v>
      </c>
      <c r="E159" s="42"/>
      <c r="F159" s="92"/>
    </row>
    <row r="160" spans="1:6" x14ac:dyDescent="0.3">
      <c r="A160" s="99"/>
      <c r="B160" s="42"/>
      <c r="C160" t="s">
        <v>144</v>
      </c>
      <c r="D160" s="100">
        <f>D159</f>
        <v>0</v>
      </c>
      <c r="E160" s="42"/>
      <c r="F160" s="92"/>
    </row>
    <row r="161" spans="1:11" x14ac:dyDescent="0.3">
      <c r="A161" s="99"/>
      <c r="B161" s="42"/>
      <c r="D161" s="101"/>
      <c r="E161" s="42"/>
      <c r="F161" s="92"/>
    </row>
    <row r="162" spans="1:11" x14ac:dyDescent="0.3">
      <c r="A162" s="99"/>
      <c r="B162" s="42"/>
      <c r="C162" s="42"/>
      <c r="D162" s="101"/>
      <c r="E162" s="42"/>
      <c r="F162" s="92"/>
    </row>
    <row r="163" spans="1:11" ht="15.6" x14ac:dyDescent="0.3">
      <c r="A163" s="93" t="s">
        <v>157</v>
      </c>
      <c r="B163" s="102">
        <f>D157+D154+D160</f>
        <v>112093</v>
      </c>
      <c r="C163" t="s">
        <v>144</v>
      </c>
      <c r="D163" s="42"/>
      <c r="F163" s="92"/>
    </row>
    <row r="164" spans="1:11" x14ac:dyDescent="0.3">
      <c r="F164" s="92"/>
    </row>
    <row r="165" spans="1:11" ht="15.6" x14ac:dyDescent="0.3">
      <c r="A165" s="103" t="s">
        <v>158</v>
      </c>
      <c r="B165" s="203">
        <f>B145+B150+B163</f>
        <v>670766</v>
      </c>
      <c r="C165" s="104" t="s">
        <v>144</v>
      </c>
      <c r="D165" s="1"/>
      <c r="F165" s="92"/>
    </row>
    <row r="168" spans="1:11" ht="18" x14ac:dyDescent="0.35">
      <c r="A168" s="109" t="s">
        <v>159</v>
      </c>
      <c r="B168" s="110"/>
      <c r="C168" s="110"/>
      <c r="D168" s="110"/>
      <c r="E168" s="110"/>
      <c r="F168" s="110"/>
      <c r="G168" s="110"/>
      <c r="H168" s="110"/>
      <c r="I168" s="110"/>
      <c r="J168" s="110"/>
      <c r="K168" s="110"/>
    </row>
    <row r="169" spans="1:11" ht="15.6" x14ac:dyDescent="0.3">
      <c r="B169" s="1" t="s">
        <v>160</v>
      </c>
      <c r="C169" s="1" t="s">
        <v>161</v>
      </c>
    </row>
    <row r="170" spans="1:11" x14ac:dyDescent="0.3">
      <c r="A170" t="s">
        <v>162</v>
      </c>
      <c r="B170" s="46">
        <v>9219000</v>
      </c>
      <c r="C170" s="106">
        <f>B170/1000</f>
        <v>9219</v>
      </c>
      <c r="D170" t="s">
        <v>163</v>
      </c>
    </row>
    <row r="173" spans="1:11" x14ac:dyDescent="0.3">
      <c r="A173" t="s">
        <v>164</v>
      </c>
    </row>
    <row r="174" spans="1:11" x14ac:dyDescent="0.3">
      <c r="A174" t="s">
        <v>165</v>
      </c>
      <c r="B174" s="46">
        <v>2330</v>
      </c>
      <c r="D174" s="470" t="s">
        <v>166</v>
      </c>
      <c r="E174" s="470"/>
      <c r="F174" s="470"/>
      <c r="G174" s="470"/>
      <c r="H174" s="470"/>
      <c r="I174" s="470"/>
    </row>
    <row r="175" spans="1:11" x14ac:dyDescent="0.3">
      <c r="D175" s="470"/>
      <c r="E175" s="470"/>
      <c r="F175" s="470"/>
      <c r="G175" s="470"/>
      <c r="H175" s="470"/>
      <c r="I175" s="470"/>
    </row>
    <row r="176" spans="1:11" x14ac:dyDescent="0.3">
      <c r="D176" s="470"/>
      <c r="E176" s="470"/>
      <c r="F176" s="470"/>
      <c r="G176" s="470"/>
      <c r="H176" s="470"/>
      <c r="I176" s="470"/>
    </row>
  </sheetData>
  <protectedRanges>
    <protectedRange sqref="G8:G25" name="UTILITY COSTS_1"/>
    <protectedRange sqref="B6" name="DATE_1"/>
    <protectedRange sqref="C50:C52" name="HP USAGE"/>
    <protectedRange sqref="C47" name="CLC USAGE"/>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 sqref="C74" name="Month_1"/>
  </protectedRanges>
  <mergeCells count="13">
    <mergeCell ref="D174:I176"/>
    <mergeCell ref="A68:B68"/>
    <mergeCell ref="A69:B69"/>
    <mergeCell ref="A70:B70"/>
    <mergeCell ref="A71:B71"/>
    <mergeCell ref="A72:B72"/>
    <mergeCell ref="A73:B73"/>
    <mergeCell ref="E81:J81"/>
    <mergeCell ref="F58:J58"/>
    <mergeCell ref="F62:I62"/>
    <mergeCell ref="A74:B74"/>
    <mergeCell ref="A76:B76"/>
    <mergeCell ref="D122:I124"/>
  </mergeCells>
  <printOptions headings="1" gridLines="1"/>
  <pageMargins left="0.25" right="0.25" top="0.25" bottom="0.25" header="0.3" footer="0.3"/>
  <pageSetup scale="56" fitToHeight="2" orientation="portrait" r:id="rId1"/>
  <rowBreaks count="1" manualBreakCount="1">
    <brk id="93"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K176"/>
  <sheetViews>
    <sheetView topLeftCell="A19" zoomScale="80" zoomScaleNormal="80" workbookViewId="0">
      <selection activeCell="E13" sqref="E13"/>
    </sheetView>
  </sheetViews>
  <sheetFormatPr defaultColWidth="8.88671875" defaultRowHeight="14.4" x14ac:dyDescent="0.3"/>
  <cols>
    <col min="1" max="1" width="23.33203125" style="84" customWidth="1"/>
    <col min="2" max="2" width="17.5546875" style="84" customWidth="1"/>
    <col min="3" max="3" width="17.6640625" style="84" customWidth="1"/>
    <col min="4" max="4" width="12.6640625" style="84" customWidth="1"/>
    <col min="5" max="5" width="13.5546875" style="84" customWidth="1"/>
    <col min="6" max="6" width="26" style="84" customWidth="1"/>
    <col min="7" max="7" width="13.88671875" style="84" customWidth="1"/>
    <col min="8" max="8" width="20.44140625" style="84" customWidth="1"/>
    <col min="9" max="9" width="8.88671875" style="84"/>
    <col min="10" max="10" width="10.44140625" style="84" bestFit="1" customWidth="1"/>
    <col min="11" max="11" width="12.6640625" style="84" bestFit="1" customWidth="1"/>
    <col min="12" max="16384" width="8.88671875" style="84"/>
  </cols>
  <sheetData>
    <row r="1" spans="1:11" x14ac:dyDescent="0.3">
      <c r="A1" s="146" t="s">
        <v>0</v>
      </c>
      <c r="G1" s="2"/>
    </row>
    <row r="2" spans="1:11" x14ac:dyDescent="0.3">
      <c r="A2" s="146" t="s">
        <v>1</v>
      </c>
      <c r="G2" s="2"/>
    </row>
    <row r="3" spans="1:11" x14ac:dyDescent="0.3">
      <c r="A3" s="146" t="s">
        <v>2</v>
      </c>
      <c r="G3" s="2"/>
    </row>
    <row r="4" spans="1:11" x14ac:dyDescent="0.3">
      <c r="G4" s="2"/>
    </row>
    <row r="5" spans="1:11" x14ac:dyDescent="0.3">
      <c r="G5" s="2"/>
    </row>
    <row r="6" spans="1:11" x14ac:dyDescent="0.3">
      <c r="A6" s="147" t="s">
        <v>3</v>
      </c>
      <c r="B6" s="196" t="s">
        <v>318</v>
      </c>
      <c r="C6" s="146"/>
      <c r="D6" s="146"/>
      <c r="E6" s="146"/>
      <c r="F6" s="146"/>
      <c r="G6" s="148"/>
      <c r="H6" s="146"/>
      <c r="I6" s="146"/>
      <c r="J6" s="146"/>
      <c r="K6" s="146"/>
    </row>
    <row r="7" spans="1:11" x14ac:dyDescent="0.3">
      <c r="A7" s="149" t="s">
        <v>4</v>
      </c>
      <c r="B7" s="150" t="s">
        <v>5</v>
      </c>
      <c r="C7" s="149" t="s">
        <v>6</v>
      </c>
      <c r="D7" s="149" t="s">
        <v>7</v>
      </c>
      <c r="E7" s="149" t="s">
        <v>8</v>
      </c>
      <c r="F7" s="149"/>
      <c r="G7" s="151" t="s">
        <v>9</v>
      </c>
      <c r="H7" s="149"/>
      <c r="I7" s="149"/>
      <c r="J7" s="149" t="s">
        <v>10</v>
      </c>
    </row>
    <row r="8" spans="1:11" ht="28.8" x14ac:dyDescent="0.3">
      <c r="A8" s="152" t="s">
        <v>11</v>
      </c>
      <c r="B8" s="112" t="s">
        <v>12</v>
      </c>
      <c r="C8" s="112" t="s">
        <v>13</v>
      </c>
      <c r="D8" s="26"/>
      <c r="E8" s="381">
        <f>+C47</f>
        <v>8911</v>
      </c>
      <c r="F8" s="112" t="s">
        <v>174</v>
      </c>
      <c r="G8" s="33">
        <v>36490.01</v>
      </c>
      <c r="H8" s="113" t="s">
        <v>15</v>
      </c>
      <c r="I8" s="113"/>
      <c r="J8" s="114">
        <f>E8*0.9756</f>
        <v>8693.5715999999993</v>
      </c>
    </row>
    <row r="9" spans="1:11" ht="15.6" x14ac:dyDescent="0.3">
      <c r="A9" s="153" t="s">
        <v>16</v>
      </c>
      <c r="B9" s="115" t="s">
        <v>17</v>
      </c>
      <c r="C9" s="115" t="s">
        <v>13</v>
      </c>
      <c r="D9" s="26"/>
      <c r="E9" s="382">
        <f>+C50</f>
        <v>0</v>
      </c>
      <c r="F9" s="113"/>
      <c r="G9" s="34">
        <v>1064.28</v>
      </c>
      <c r="H9" s="84" t="s">
        <v>18</v>
      </c>
    </row>
    <row r="10" spans="1:11" ht="15.6" x14ac:dyDescent="0.3">
      <c r="A10" s="153" t="s">
        <v>19</v>
      </c>
      <c r="B10" s="115" t="s">
        <v>17</v>
      </c>
      <c r="C10" s="115" t="s">
        <v>13</v>
      </c>
      <c r="D10" s="26"/>
      <c r="E10" s="382">
        <f>+C51</f>
        <v>42500</v>
      </c>
      <c r="F10" s="113"/>
      <c r="G10" s="34">
        <v>139350.78</v>
      </c>
      <c r="H10" s="84" t="s">
        <v>20</v>
      </c>
    </row>
    <row r="11" spans="1:11" ht="15.6" x14ac:dyDescent="0.3">
      <c r="A11" s="153" t="s">
        <v>21</v>
      </c>
      <c r="B11" s="115" t="s">
        <v>17</v>
      </c>
      <c r="C11" s="115" t="s">
        <v>13</v>
      </c>
      <c r="D11" s="26"/>
      <c r="E11" s="382">
        <f>+C52</f>
        <v>17166</v>
      </c>
      <c r="F11" s="113"/>
      <c r="G11" s="34">
        <v>56919.01</v>
      </c>
      <c r="H11" s="84" t="s">
        <v>22</v>
      </c>
    </row>
    <row r="12" spans="1:11" ht="15.6" x14ac:dyDescent="0.3">
      <c r="A12" s="153" t="s">
        <v>23</v>
      </c>
      <c r="B12" s="115" t="s">
        <v>17</v>
      </c>
      <c r="C12" s="115" t="s">
        <v>13</v>
      </c>
      <c r="D12" s="26"/>
      <c r="E12" s="381">
        <f>+C53</f>
        <v>59666</v>
      </c>
      <c r="F12" s="113" t="s">
        <v>24</v>
      </c>
      <c r="G12" s="2"/>
    </row>
    <row r="13" spans="1:11" ht="15.6" x14ac:dyDescent="0.3">
      <c r="A13" s="152" t="s">
        <v>25</v>
      </c>
      <c r="B13" s="112" t="s">
        <v>26</v>
      </c>
      <c r="C13" s="112" t="s">
        <v>27</v>
      </c>
      <c r="D13" s="382">
        <f>+C63</f>
        <v>281624384</v>
      </c>
      <c r="E13" s="221">
        <f>+E63</f>
        <v>285120</v>
      </c>
      <c r="F13" s="113" t="s">
        <v>28</v>
      </c>
      <c r="G13" s="154"/>
      <c r="H13" s="19"/>
      <c r="I13" s="19"/>
      <c r="J13" s="20"/>
      <c r="K13" s="20"/>
    </row>
    <row r="14" spans="1:11" ht="15.6" x14ac:dyDescent="0.3">
      <c r="A14" s="152" t="s">
        <v>29</v>
      </c>
      <c r="B14" s="112" t="s">
        <v>26</v>
      </c>
      <c r="C14" s="112" t="s">
        <v>30</v>
      </c>
      <c r="D14" s="388"/>
      <c r="E14" s="382">
        <f>+B150</f>
        <v>0</v>
      </c>
      <c r="F14" s="113" t="s">
        <v>31</v>
      </c>
      <c r="G14" s="21"/>
      <c r="H14" s="113"/>
      <c r="I14" s="113"/>
      <c r="J14" s="116"/>
      <c r="K14" s="116"/>
    </row>
    <row r="15" spans="1:11" ht="15.6" x14ac:dyDescent="0.3">
      <c r="A15" s="152" t="s">
        <v>32</v>
      </c>
      <c r="B15" s="112" t="s">
        <v>26</v>
      </c>
      <c r="C15" s="112" t="s">
        <v>33</v>
      </c>
      <c r="D15" s="26"/>
      <c r="E15" s="382">
        <f>+B145</f>
        <v>552403</v>
      </c>
      <c r="F15" s="113" t="s">
        <v>31</v>
      </c>
      <c r="G15" s="21"/>
      <c r="H15" s="113"/>
      <c r="I15" s="113"/>
      <c r="J15" s="116"/>
      <c r="K15" s="116"/>
    </row>
    <row r="16" spans="1:11" ht="15.6" x14ac:dyDescent="0.3">
      <c r="A16" s="152" t="s">
        <v>34</v>
      </c>
      <c r="B16" s="112" t="s">
        <v>26</v>
      </c>
      <c r="C16" s="112" t="s">
        <v>35</v>
      </c>
      <c r="D16" s="26"/>
      <c r="E16" s="382">
        <f>+C137</f>
        <v>27863</v>
      </c>
      <c r="F16" s="113" t="s">
        <v>36</v>
      </c>
      <c r="G16" s="23" t="s">
        <v>37</v>
      </c>
      <c r="H16" s="117"/>
      <c r="I16" s="113"/>
      <c r="J16" s="113"/>
      <c r="K16" s="113"/>
    </row>
    <row r="17" spans="1:11" ht="15.6" x14ac:dyDescent="0.3">
      <c r="A17" s="152" t="s">
        <v>38</v>
      </c>
      <c r="B17" s="112" t="s">
        <v>26</v>
      </c>
      <c r="C17" s="112" t="s">
        <v>27</v>
      </c>
      <c r="D17" s="26"/>
      <c r="E17" s="381">
        <f>+C60</f>
        <v>5344456</v>
      </c>
      <c r="F17" s="113"/>
      <c r="G17" s="155">
        <v>140912.75</v>
      </c>
      <c r="H17" s="113" t="s">
        <v>39</v>
      </c>
      <c r="I17" s="156"/>
      <c r="J17" s="156"/>
      <c r="K17" s="156"/>
    </row>
    <row r="18" spans="1:11" ht="15.6" x14ac:dyDescent="0.3">
      <c r="A18" s="152" t="s">
        <v>40</v>
      </c>
      <c r="B18" s="112" t="s">
        <v>41</v>
      </c>
      <c r="C18" s="112" t="s">
        <v>42</v>
      </c>
      <c r="D18" s="26"/>
      <c r="E18" s="381">
        <f>+C87</f>
        <v>48104</v>
      </c>
      <c r="F18" s="113" t="s">
        <v>43</v>
      </c>
      <c r="G18" s="33">
        <v>654.49</v>
      </c>
      <c r="H18" s="113" t="s">
        <v>44</v>
      </c>
      <c r="I18" s="113"/>
      <c r="J18" s="113"/>
      <c r="K18" s="113"/>
    </row>
    <row r="19" spans="1:11" ht="15.6" x14ac:dyDescent="0.3">
      <c r="A19" s="84" t="s">
        <v>45</v>
      </c>
      <c r="B19" s="115" t="s">
        <v>41</v>
      </c>
      <c r="C19" s="115" t="s">
        <v>42</v>
      </c>
      <c r="D19" s="381">
        <f>+D91</f>
        <v>38381122</v>
      </c>
      <c r="E19" s="26"/>
      <c r="G19" s="2"/>
    </row>
    <row r="20" spans="1:11" ht="15.6" x14ac:dyDescent="0.3">
      <c r="A20" s="84" t="s">
        <v>46</v>
      </c>
      <c r="B20" s="115" t="s">
        <v>41</v>
      </c>
      <c r="C20" s="115" t="s">
        <v>42</v>
      </c>
      <c r="D20" s="26"/>
      <c r="E20" s="381">
        <f>+B107</f>
        <v>1029.3</v>
      </c>
      <c r="G20" s="2"/>
    </row>
    <row r="21" spans="1:11" ht="15.6" x14ac:dyDescent="0.3">
      <c r="A21" s="84" t="s">
        <v>47</v>
      </c>
      <c r="B21" s="115" t="s">
        <v>41</v>
      </c>
      <c r="C21" s="115" t="s">
        <v>42</v>
      </c>
      <c r="D21" s="26"/>
      <c r="E21" s="381">
        <f>+B108</f>
        <v>95.3</v>
      </c>
      <c r="G21" s="2"/>
    </row>
    <row r="22" spans="1:11" ht="15.6" x14ac:dyDescent="0.3">
      <c r="A22" s="152" t="s">
        <v>48</v>
      </c>
      <c r="B22" s="112" t="s">
        <v>49</v>
      </c>
      <c r="C22" s="112" t="s">
        <v>50</v>
      </c>
      <c r="D22" s="26"/>
      <c r="E22" s="381">
        <f>+C136</f>
        <v>0</v>
      </c>
      <c r="F22" s="113" t="s">
        <v>36</v>
      </c>
      <c r="G22" s="21" t="s">
        <v>51</v>
      </c>
      <c r="H22" s="113"/>
      <c r="I22" s="113"/>
      <c r="J22" s="113"/>
      <c r="K22" s="113"/>
    </row>
    <row r="23" spans="1:11" ht="15.6" x14ac:dyDescent="0.3">
      <c r="A23" s="152" t="s">
        <v>52</v>
      </c>
      <c r="B23" s="112" t="s">
        <v>49</v>
      </c>
      <c r="C23" s="112" t="s">
        <v>50</v>
      </c>
      <c r="D23" s="26"/>
      <c r="E23" s="381">
        <f>+C137</f>
        <v>27863</v>
      </c>
      <c r="F23" s="113" t="s">
        <v>36</v>
      </c>
      <c r="G23" s="21" t="s">
        <v>37</v>
      </c>
      <c r="H23" s="113"/>
      <c r="I23" s="113"/>
      <c r="J23" s="113"/>
      <c r="K23" s="113"/>
    </row>
    <row r="24" spans="1:11" ht="15.6" x14ac:dyDescent="0.3">
      <c r="A24" s="152" t="s">
        <v>53</v>
      </c>
      <c r="B24" s="112" t="s">
        <v>54</v>
      </c>
      <c r="C24" s="112" t="s">
        <v>55</v>
      </c>
      <c r="D24" s="26"/>
      <c r="E24" s="381">
        <f>+B165</f>
        <v>680310.5</v>
      </c>
      <c r="F24" s="113" t="s">
        <v>31</v>
      </c>
      <c r="G24" s="21"/>
      <c r="H24" s="113"/>
      <c r="I24" s="113"/>
      <c r="J24" s="113"/>
      <c r="K24" s="113"/>
    </row>
    <row r="25" spans="1:11" ht="15.6" x14ac:dyDescent="0.3">
      <c r="A25" s="152" t="s">
        <v>56</v>
      </c>
      <c r="B25" s="112" t="s">
        <v>57</v>
      </c>
      <c r="C25" s="112" t="s">
        <v>42</v>
      </c>
      <c r="D25" s="26"/>
      <c r="E25" s="381">
        <f>+C170</f>
        <v>10303</v>
      </c>
      <c r="F25" s="113" t="s">
        <v>58</v>
      </c>
      <c r="G25" s="33">
        <v>26625.14</v>
      </c>
      <c r="H25" s="113" t="s">
        <v>44</v>
      </c>
      <c r="I25" s="113"/>
      <c r="J25" s="113"/>
      <c r="K25" s="113"/>
    </row>
    <row r="26" spans="1:11" ht="15.6" x14ac:dyDescent="0.3">
      <c r="A26" s="152" t="s">
        <v>165</v>
      </c>
      <c r="B26" s="112" t="s">
        <v>57</v>
      </c>
      <c r="C26" s="112" t="s">
        <v>42</v>
      </c>
      <c r="D26" s="26"/>
      <c r="E26" s="381">
        <f>+B174</f>
        <v>2330</v>
      </c>
      <c r="G26" s="2" t="s">
        <v>183</v>
      </c>
    </row>
    <row r="27" spans="1:11" ht="15.6" x14ac:dyDescent="0.3">
      <c r="A27" s="152" t="s">
        <v>186</v>
      </c>
      <c r="B27" s="112" t="s">
        <v>26</v>
      </c>
      <c r="C27" s="112" t="s">
        <v>27</v>
      </c>
      <c r="D27" s="381">
        <f>+E76</f>
        <v>11701670.199999999</v>
      </c>
      <c r="E27" s="209"/>
      <c r="G27" s="2"/>
    </row>
    <row r="28" spans="1:11" ht="15.6" x14ac:dyDescent="0.3">
      <c r="A28" s="152" t="s">
        <v>302</v>
      </c>
      <c r="B28" s="112" t="s">
        <v>41</v>
      </c>
      <c r="C28" s="112" t="s">
        <v>303</v>
      </c>
      <c r="D28" s="381">
        <f>+C117</f>
        <v>7803.5</v>
      </c>
      <c r="E28" s="209"/>
      <c r="G28" s="2"/>
    </row>
    <row r="29" spans="1:11" ht="15.6" x14ac:dyDescent="0.3">
      <c r="A29" s="152" t="s">
        <v>125</v>
      </c>
      <c r="B29" s="112"/>
      <c r="C29" s="112"/>
      <c r="D29" s="381">
        <f>+C122</f>
        <v>13555.914262241262</v>
      </c>
      <c r="E29" s="209"/>
      <c r="G29" s="2"/>
    </row>
    <row r="30" spans="1:11" ht="15.6" x14ac:dyDescent="0.3">
      <c r="A30" s="152" t="s">
        <v>127</v>
      </c>
      <c r="B30" s="112"/>
      <c r="C30" s="112"/>
      <c r="D30" s="381">
        <f>+C123</f>
        <v>2098.7513853465521</v>
      </c>
      <c r="E30" s="209"/>
      <c r="G30" s="2"/>
    </row>
    <row r="31" spans="1:11" ht="15.6" x14ac:dyDescent="0.3">
      <c r="A31" s="152" t="s">
        <v>128</v>
      </c>
      <c r="B31" s="112"/>
      <c r="C31" s="112"/>
      <c r="D31" s="381">
        <f>+C124</f>
        <v>6468.3203466518653</v>
      </c>
      <c r="E31" s="209"/>
      <c r="G31" s="2"/>
    </row>
    <row r="32" spans="1:11" ht="15.6" x14ac:dyDescent="0.3">
      <c r="A32" s="152"/>
      <c r="B32" s="112"/>
      <c r="C32" s="112"/>
      <c r="D32" s="210"/>
      <c r="E32" s="209"/>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197334.07</v>
      </c>
      <c r="F37" s="121"/>
    </row>
    <row r="38" spans="1:11" x14ac:dyDescent="0.3">
      <c r="A38" s="119" t="s">
        <v>63</v>
      </c>
      <c r="B38" s="119" t="s">
        <v>63</v>
      </c>
      <c r="C38" s="119"/>
      <c r="D38" s="119"/>
      <c r="E38" s="122">
        <f>+G8</f>
        <v>36490.01</v>
      </c>
      <c r="F38" s="121"/>
    </row>
    <row r="39" spans="1:11" x14ac:dyDescent="0.3">
      <c r="A39" s="119"/>
      <c r="B39" s="119" t="s">
        <v>64</v>
      </c>
      <c r="C39" s="119"/>
      <c r="D39" s="119"/>
      <c r="E39" s="120">
        <f>SUM(E37:E38)</f>
        <v>233824.08000000002</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8911</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42500</v>
      </c>
    </row>
    <row r="52" spans="1:11" x14ac:dyDescent="0.3">
      <c r="A52" s="2" t="s">
        <v>74</v>
      </c>
      <c r="B52" s="2" t="s">
        <v>13</v>
      </c>
      <c r="C52" s="45">
        <v>17166</v>
      </c>
    </row>
    <row r="53" spans="1:11" x14ac:dyDescent="0.3">
      <c r="A53" s="2"/>
      <c r="B53" s="2" t="s">
        <v>69</v>
      </c>
      <c r="C53" s="38">
        <f>SUM(C50:C52)</f>
        <v>59666</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ht="43.2" customHeight="1" x14ac:dyDescent="0.3">
      <c r="A58" s="146" t="s">
        <v>78</v>
      </c>
      <c r="B58" s="124">
        <f>+C58/1000</f>
        <v>3284.2159999999999</v>
      </c>
      <c r="C58" s="40">
        <f>+I58</f>
        <v>3284216</v>
      </c>
      <c r="D58" s="84" t="s">
        <v>79</v>
      </c>
      <c r="E58" s="41"/>
      <c r="F58" s="458" t="s">
        <v>268</v>
      </c>
      <c r="G58" s="458"/>
      <c r="H58" s="458"/>
      <c r="I58" s="84">
        <f>63505516-60221300</f>
        <v>3284216</v>
      </c>
    </row>
    <row r="59" spans="1:11" x14ac:dyDescent="0.3">
      <c r="A59" s="146" t="s">
        <v>81</v>
      </c>
      <c r="B59" s="125"/>
      <c r="C59" s="34">
        <v>2060240</v>
      </c>
      <c r="D59" s="84" t="s">
        <v>79</v>
      </c>
      <c r="E59" s="41"/>
      <c r="F59" s="84" t="s">
        <v>82</v>
      </c>
    </row>
    <row r="60" spans="1:11" x14ac:dyDescent="0.3">
      <c r="A60" s="146" t="s">
        <v>83</v>
      </c>
      <c r="C60" s="40">
        <f>SUM(C58:C59)</f>
        <v>5344456</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+'Nov 2015'!C63</f>
        <v>281339264</v>
      </c>
      <c r="C63" s="126">
        <v>281624384</v>
      </c>
      <c r="D63" s="84" t="s">
        <v>79</v>
      </c>
      <c r="E63" s="160">
        <f>+C63-B63</f>
        <v>285120</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t="s">
        <v>171</v>
      </c>
      <c r="D68" s="125"/>
      <c r="E68" s="191">
        <f>+'Nov 2015'!E69</f>
        <v>11592063</v>
      </c>
    </row>
    <row r="69" spans="1:11" x14ac:dyDescent="0.3">
      <c r="A69" s="457" t="s">
        <v>167</v>
      </c>
      <c r="B69" s="457"/>
      <c r="C69" s="127" t="s">
        <v>172</v>
      </c>
      <c r="D69" s="125"/>
      <c r="E69" s="128">
        <v>11707602</v>
      </c>
      <c r="F69" s="84" t="s">
        <v>184</v>
      </c>
    </row>
    <row r="70" spans="1:11" x14ac:dyDescent="0.3">
      <c r="A70" s="457" t="s">
        <v>168</v>
      </c>
      <c r="B70" s="457"/>
      <c r="C70" s="127" t="s">
        <v>172</v>
      </c>
      <c r="D70" s="125"/>
      <c r="E70" s="216">
        <f>+E69-E68</f>
        <v>115539</v>
      </c>
    </row>
    <row r="71" spans="1:11" x14ac:dyDescent="0.3">
      <c r="A71" s="457" t="s">
        <v>169</v>
      </c>
      <c r="B71" s="457"/>
      <c r="C71" s="127" t="s">
        <v>171</v>
      </c>
      <c r="D71" s="125"/>
      <c r="E71" s="192">
        <f>+'Nov 2015'!E72</f>
        <v>263863.09999999998</v>
      </c>
    </row>
    <row r="72" spans="1:11" x14ac:dyDescent="0.3">
      <c r="A72" s="457" t="s">
        <v>170</v>
      </c>
      <c r="B72" s="457"/>
      <c r="C72" s="127" t="s">
        <v>172</v>
      </c>
      <c r="D72" s="125"/>
      <c r="E72" s="128">
        <v>269794.90000000002</v>
      </c>
      <c r="F72" s="84" t="s">
        <v>185</v>
      </c>
      <c r="I72" s="84">
        <v>100860</v>
      </c>
      <c r="J72" s="84" t="s">
        <v>276</v>
      </c>
    </row>
    <row r="73" spans="1:11" x14ac:dyDescent="0.3">
      <c r="A73" s="457" t="s">
        <v>173</v>
      </c>
      <c r="B73" s="457"/>
      <c r="C73" s="127" t="s">
        <v>172</v>
      </c>
      <c r="D73" s="125"/>
      <c r="E73" s="216">
        <f>+E72-E71</f>
        <v>5931.8000000000466</v>
      </c>
    </row>
    <row r="74" spans="1:11" x14ac:dyDescent="0.3">
      <c r="A74" s="448" t="s">
        <v>91</v>
      </c>
      <c r="B74" s="448"/>
      <c r="C74" s="164" t="s">
        <v>172</v>
      </c>
      <c r="D74" s="125"/>
      <c r="E74" s="217">
        <f>+E70-E73</f>
        <v>109607.19999999995</v>
      </c>
    </row>
    <row r="75" spans="1:11" x14ac:dyDescent="0.3">
      <c r="A75" s="127"/>
      <c r="B75" s="127"/>
      <c r="C75" s="127"/>
      <c r="D75" s="125"/>
      <c r="E75" s="125"/>
    </row>
    <row r="76" spans="1:11" x14ac:dyDescent="0.3">
      <c r="A76" s="449" t="s">
        <v>92</v>
      </c>
      <c r="B76" s="449"/>
      <c r="C76" s="166" t="str">
        <f>+C74</f>
        <v>December</v>
      </c>
      <c r="D76" s="167"/>
      <c r="E76" s="392">
        <f>+E68+E74</f>
        <v>11701670.199999999</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30" customHeight="1" x14ac:dyDescent="0.3">
      <c r="A81" s="84" t="s">
        <v>96</v>
      </c>
      <c r="B81" s="129"/>
      <c r="E81" s="458" t="s">
        <v>97</v>
      </c>
      <c r="F81" s="458"/>
      <c r="G81" s="458"/>
      <c r="H81" s="458"/>
      <c r="I81" s="458"/>
      <c r="J81" s="458"/>
    </row>
    <row r="82" spans="1:10" x14ac:dyDescent="0.3">
      <c r="A82" s="130" t="s">
        <v>98</v>
      </c>
      <c r="B82" s="131">
        <v>6345000</v>
      </c>
      <c r="C82" s="84">
        <f>B82/1000</f>
        <v>6345</v>
      </c>
    </row>
    <row r="83" spans="1:10" x14ac:dyDescent="0.3">
      <c r="A83" s="130" t="s">
        <v>99</v>
      </c>
      <c r="B83" s="131">
        <v>1433000</v>
      </c>
      <c r="C83" s="84">
        <f>B83/1000</f>
        <v>1433</v>
      </c>
    </row>
    <row r="84" spans="1:10" x14ac:dyDescent="0.3">
      <c r="A84" s="130" t="s">
        <v>100</v>
      </c>
      <c r="B84" s="131"/>
      <c r="C84" s="84">
        <v>0</v>
      </c>
      <c r="D84" s="84">
        <v>134897000</v>
      </c>
    </row>
    <row r="85" spans="1:10" x14ac:dyDescent="0.3">
      <c r="A85" s="130" t="s">
        <v>101</v>
      </c>
      <c r="B85" s="131">
        <v>40035000</v>
      </c>
      <c r="C85" s="84">
        <f>B85/1000</f>
        <v>40035</v>
      </c>
    </row>
    <row r="86" spans="1:10" x14ac:dyDescent="0.3">
      <c r="A86" s="84" t="s">
        <v>102</v>
      </c>
      <c r="B86" s="75">
        <v>291000</v>
      </c>
      <c r="C86" s="132">
        <f t="shared" ref="C86" si="0">B86/1000</f>
        <v>291</v>
      </c>
      <c r="F86" s="84" t="s">
        <v>103</v>
      </c>
    </row>
    <row r="87" spans="1:10" x14ac:dyDescent="0.3">
      <c r="A87" s="84" t="s">
        <v>104</v>
      </c>
      <c r="B87" s="170">
        <f>SUM(B82:B86)</f>
        <v>48104000</v>
      </c>
      <c r="C87" s="133">
        <f>SUM(C81:C86)</f>
        <v>48104</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171">
        <v>3654400</v>
      </c>
      <c r="C91" s="171">
        <f>+'Nov 2015'!C91</f>
        <v>34726722</v>
      </c>
      <c r="D91" s="100">
        <f>+C91+B91</f>
        <v>38381122</v>
      </c>
      <c r="E91" s="84" t="s">
        <v>108</v>
      </c>
      <c r="J91" s="84" t="s">
        <v>282</v>
      </c>
    </row>
    <row r="92" spans="1:10" x14ac:dyDescent="0.3">
      <c r="A92" s="84" t="s">
        <v>109</v>
      </c>
      <c r="B92" s="172" t="s">
        <v>110</v>
      </c>
      <c r="C92" s="172" t="s">
        <v>111</v>
      </c>
      <c r="D92" s="173" t="s">
        <v>112</v>
      </c>
    </row>
    <row r="93" spans="1:10" x14ac:dyDescent="0.3">
      <c r="A93" s="84" t="s">
        <v>45</v>
      </c>
      <c r="B93" s="124">
        <f>+'Nov 2015'!C93</f>
        <v>9413954</v>
      </c>
      <c r="C93" s="124">
        <v>9779914</v>
      </c>
      <c r="D93" s="391">
        <f>+C93-B93</f>
        <v>365960</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f>+'Nov 2015'!C96</f>
        <v>14057652</v>
      </c>
      <c r="C96" s="77">
        <v>14625802</v>
      </c>
      <c r="D96" s="134">
        <f>C96-B96</f>
        <v>568150</v>
      </c>
      <c r="E96" s="63"/>
    </row>
    <row r="97" spans="1:6" x14ac:dyDescent="0.3">
      <c r="A97" s="84" t="s">
        <v>117</v>
      </c>
      <c r="B97" s="78">
        <f>+'Nov 2015'!C97</f>
        <v>15409102</v>
      </c>
      <c r="C97" s="78">
        <v>15545542</v>
      </c>
      <c r="D97" s="134">
        <f t="shared" ref="D97:D99" si="1">C97-B97</f>
        <v>136440</v>
      </c>
      <c r="E97" s="63"/>
      <c r="F97" s="86"/>
    </row>
    <row r="98" spans="1:6" x14ac:dyDescent="0.3">
      <c r="A98" s="84" t="s">
        <v>118</v>
      </c>
      <c r="B98" s="78">
        <f>+'Nov 2015'!C98</f>
        <v>8053240</v>
      </c>
      <c r="C98" s="78">
        <v>8377950</v>
      </c>
      <c r="D98" s="134">
        <f t="shared" si="1"/>
        <v>324710</v>
      </c>
      <c r="E98" s="63"/>
      <c r="F98" s="86"/>
    </row>
    <row r="99" spans="1:6" ht="15" thickBot="1" x14ac:dyDescent="0.35">
      <c r="A99" s="84" t="s">
        <v>119</v>
      </c>
      <c r="B99" s="79">
        <f>+'Nov 2015'!C99</f>
        <v>1624444</v>
      </c>
      <c r="C99" s="79">
        <v>1624444</v>
      </c>
      <c r="D99" s="134">
        <f t="shared" si="1"/>
        <v>0</v>
      </c>
      <c r="E99" s="63"/>
      <c r="F99" s="86"/>
    </row>
    <row r="100" spans="1:6" x14ac:dyDescent="0.3">
      <c r="B100" s="134"/>
      <c r="C100" s="64"/>
      <c r="D100" s="174">
        <f>SUM(D96:D99)</f>
        <v>1029300</v>
      </c>
      <c r="E100" s="175"/>
      <c r="F100" s="158"/>
    </row>
    <row r="101" spans="1:6" ht="15" thickBot="1" x14ac:dyDescent="0.35">
      <c r="B101" s="146" t="s">
        <v>114</v>
      </c>
      <c r="C101" s="146" t="s">
        <v>115</v>
      </c>
      <c r="D101" s="134"/>
    </row>
    <row r="102" spans="1:6" x14ac:dyDescent="0.3">
      <c r="A102" s="84" t="s">
        <v>120</v>
      </c>
      <c r="B102" s="80">
        <f>+'Nov 2015'!C102</f>
        <v>20737488</v>
      </c>
      <c r="C102" s="80">
        <v>20737488</v>
      </c>
      <c r="D102" s="2">
        <f>C102-B102</f>
        <v>0</v>
      </c>
    </row>
    <row r="103" spans="1:6" ht="15" thickBot="1" x14ac:dyDescent="0.35">
      <c r="A103" s="84" t="s">
        <v>121</v>
      </c>
      <c r="B103" s="81">
        <f>+'Nov 2015'!C103</f>
        <v>835801</v>
      </c>
      <c r="C103" s="81">
        <v>931101</v>
      </c>
      <c r="D103" s="2">
        <f>C103-B103</f>
        <v>95300</v>
      </c>
    </row>
    <row r="104" spans="1:6" x14ac:dyDescent="0.3">
      <c r="D104" s="148">
        <f>SUM(D102:D103)</f>
        <v>95300</v>
      </c>
    </row>
    <row r="105" spans="1:6" x14ac:dyDescent="0.3">
      <c r="D105" s="2"/>
    </row>
    <row r="106" spans="1:6" x14ac:dyDescent="0.3">
      <c r="B106" s="84" t="s">
        <v>42</v>
      </c>
      <c r="D106" s="2"/>
    </row>
    <row r="107" spans="1:6" x14ac:dyDescent="0.3">
      <c r="A107" s="84" t="s">
        <v>46</v>
      </c>
      <c r="B107" s="135">
        <f>D100/1000</f>
        <v>1029.3</v>
      </c>
      <c r="D107" s="2"/>
    </row>
    <row r="108" spans="1:6" x14ac:dyDescent="0.3">
      <c r="A108" s="84" t="s">
        <v>47</v>
      </c>
      <c r="B108" s="136">
        <f>D104/1000</f>
        <v>95.3</v>
      </c>
      <c r="D108" s="2"/>
    </row>
    <row r="109" spans="1:6" x14ac:dyDescent="0.3">
      <c r="B109" s="136"/>
      <c r="D109" s="2"/>
    </row>
    <row r="110" spans="1:6" x14ac:dyDescent="0.3">
      <c r="A110" s="84" t="s">
        <v>293</v>
      </c>
      <c r="B110" s="136"/>
      <c r="C110" s="84">
        <f>+'Nov 2015'!C111</f>
        <v>80805</v>
      </c>
      <c r="D110" s="2" t="s">
        <v>301</v>
      </c>
    </row>
    <row r="111" spans="1:6" x14ac:dyDescent="0.3">
      <c r="A111" s="84" t="s">
        <v>294</v>
      </c>
      <c r="B111" s="136"/>
      <c r="C111" s="132">
        <v>86151</v>
      </c>
      <c r="D111" s="2" t="s">
        <v>301</v>
      </c>
    </row>
    <row r="112" spans="1:6" x14ac:dyDescent="0.3">
      <c r="A112" s="84" t="s">
        <v>295</v>
      </c>
      <c r="B112" s="136"/>
      <c r="C112" s="339">
        <f>+C111-C110</f>
        <v>5346</v>
      </c>
      <c r="D112" s="2"/>
    </row>
    <row r="113" spans="1:11" x14ac:dyDescent="0.3">
      <c r="A113" s="84" t="s">
        <v>296</v>
      </c>
      <c r="B113" s="136"/>
      <c r="C113" s="370">
        <f>+'Nov 2015'!C114</f>
        <v>63180</v>
      </c>
      <c r="D113" s="2" t="s">
        <v>301</v>
      </c>
    </row>
    <row r="114" spans="1:11" x14ac:dyDescent="0.3">
      <c r="A114" s="84" t="s">
        <v>297</v>
      </c>
      <c r="B114" s="136"/>
      <c r="C114" s="132">
        <v>67970</v>
      </c>
      <c r="D114" s="2" t="s">
        <v>301</v>
      </c>
    </row>
    <row r="115" spans="1:11" x14ac:dyDescent="0.3">
      <c r="A115" s="84" t="s">
        <v>298</v>
      </c>
      <c r="B115" s="136"/>
      <c r="C115" s="370">
        <f>+C114-C113</f>
        <v>4790</v>
      </c>
      <c r="D115" s="2"/>
    </row>
    <row r="116" spans="1:11" ht="15" thickBot="1" x14ac:dyDescent="0.35">
      <c r="A116" s="84" t="s">
        <v>299</v>
      </c>
      <c r="B116" s="136"/>
      <c r="C116" s="84">
        <f>+C112-C115</f>
        <v>556</v>
      </c>
      <c r="D116" s="2"/>
    </row>
    <row r="117" spans="1:11" ht="15" thickBot="1" x14ac:dyDescent="0.35">
      <c r="A117" s="84" t="s">
        <v>300</v>
      </c>
      <c r="B117" s="136"/>
      <c r="C117" s="418">
        <f>(+'Nov 2015'!C117+C116)</f>
        <v>7803.5</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385">
        <f>$C$87*B122</f>
        <v>13555.914262241262</v>
      </c>
      <c r="D122" s="450" t="s">
        <v>176</v>
      </c>
      <c r="E122" s="451"/>
      <c r="F122" s="451"/>
      <c r="G122" s="451"/>
      <c r="H122" s="451"/>
      <c r="I122" s="452"/>
    </row>
    <row r="123" spans="1:11" x14ac:dyDescent="0.3">
      <c r="A123" s="124" t="s">
        <v>127</v>
      </c>
      <c r="B123" s="141">
        <v>4.3629456705191923E-2</v>
      </c>
      <c r="C123" s="386">
        <f>$C$87*B123</f>
        <v>2098.7513853465521</v>
      </c>
      <c r="D123" s="450"/>
      <c r="E123" s="451"/>
      <c r="F123" s="451"/>
      <c r="G123" s="451"/>
      <c r="H123" s="451"/>
      <c r="I123" s="452"/>
    </row>
    <row r="124" spans="1:11" ht="15" thickBot="1" x14ac:dyDescent="0.35">
      <c r="A124" s="124" t="s">
        <v>128</v>
      </c>
      <c r="B124" s="141">
        <v>0.13446533233518762</v>
      </c>
      <c r="C124" s="386">
        <f>$C$87*B124</f>
        <v>6468.3203466518653</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5377000</v>
      </c>
      <c r="E129" s="84" t="s">
        <v>80</v>
      </c>
    </row>
    <row r="130" spans="1:11" x14ac:dyDescent="0.3">
      <c r="A130" s="2" t="s">
        <v>132</v>
      </c>
      <c r="B130" s="2" t="s">
        <v>131</v>
      </c>
      <c r="C130" s="45">
        <v>8642000</v>
      </c>
      <c r="E130" s="84" t="s">
        <v>80</v>
      </c>
    </row>
    <row r="131" spans="1:11" x14ac:dyDescent="0.3">
      <c r="A131" s="2" t="s">
        <v>133</v>
      </c>
      <c r="B131" s="2" t="s">
        <v>131</v>
      </c>
      <c r="C131" s="45">
        <v>3944000</v>
      </c>
      <c r="E131" s="84" t="s">
        <v>80</v>
      </c>
    </row>
    <row r="132" spans="1:11" x14ac:dyDescent="0.3">
      <c r="A132" s="2" t="s">
        <v>134</v>
      </c>
      <c r="B132" s="2" t="s">
        <v>131</v>
      </c>
      <c r="C132" s="45">
        <v>9900000</v>
      </c>
      <c r="E132" s="84" t="s">
        <v>80</v>
      </c>
    </row>
    <row r="133" spans="1:11" x14ac:dyDescent="0.3">
      <c r="A133" s="2"/>
      <c r="B133" s="148" t="s">
        <v>69</v>
      </c>
      <c r="C133" s="178">
        <f>SUM(C129:C132)</f>
        <v>27863000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27863000</v>
      </c>
      <c r="C137" s="88">
        <f>B137/1000</f>
        <v>27863</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300897</v>
      </c>
      <c r="C142" s="84" t="s">
        <v>144</v>
      </c>
      <c r="D142" s="125"/>
    </row>
    <row r="143" spans="1:11" x14ac:dyDescent="0.3">
      <c r="A143" s="142" t="s">
        <v>145</v>
      </c>
      <c r="B143" s="143">
        <v>177238</v>
      </c>
      <c r="C143" s="84" t="s">
        <v>144</v>
      </c>
      <c r="D143" s="125"/>
    </row>
    <row r="144" spans="1:11" x14ac:dyDescent="0.3">
      <c r="A144" s="142" t="s">
        <v>146</v>
      </c>
      <c r="B144" s="143">
        <v>74268</v>
      </c>
      <c r="C144" s="84" t="s">
        <v>144</v>
      </c>
      <c r="D144" s="125"/>
      <c r="F144" s="144"/>
    </row>
    <row r="145" spans="1:6" x14ac:dyDescent="0.3">
      <c r="A145" s="181" t="s">
        <v>147</v>
      </c>
      <c r="B145" s="182">
        <f>SUM(B142:B144)</f>
        <v>552403</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+'Nov 2015'!C153</f>
        <v>27316984</v>
      </c>
      <c r="C153" s="124">
        <v>27422950</v>
      </c>
      <c r="D153" s="144">
        <f>C153-B153</f>
        <v>105966</v>
      </c>
      <c r="E153" s="125"/>
      <c r="F153" s="144"/>
    </row>
    <row r="154" spans="1:6" x14ac:dyDescent="0.3">
      <c r="A154" s="145"/>
      <c r="B154" s="125"/>
      <c r="C154" s="84" t="s">
        <v>144</v>
      </c>
      <c r="D154" s="100">
        <f>SUM(D153)</f>
        <v>105966</v>
      </c>
      <c r="E154" s="125"/>
      <c r="F154" s="144"/>
    </row>
    <row r="155" spans="1:6" x14ac:dyDescent="0.3">
      <c r="A155" s="142" t="s">
        <v>156</v>
      </c>
      <c r="B155" s="185" t="s">
        <v>153</v>
      </c>
      <c r="C155" s="186" t="s">
        <v>154</v>
      </c>
      <c r="D155" s="185" t="s">
        <v>155</v>
      </c>
      <c r="F155" s="144"/>
    </row>
    <row r="156" spans="1:6" x14ac:dyDescent="0.3">
      <c r="A156" s="145"/>
      <c r="B156" s="124">
        <f>+'Nov 2015'!C156</f>
        <v>4815533.5</v>
      </c>
      <c r="C156" s="124">
        <v>4837283.5</v>
      </c>
      <c r="D156" s="144">
        <f>C156-B156</f>
        <v>21750</v>
      </c>
      <c r="E156" s="125"/>
      <c r="F156" s="144"/>
    </row>
    <row r="157" spans="1:6" x14ac:dyDescent="0.3">
      <c r="A157" s="145"/>
      <c r="B157" s="125"/>
      <c r="C157" s="84" t="s">
        <v>144</v>
      </c>
      <c r="D157" s="100">
        <f>D156</f>
        <v>21750</v>
      </c>
      <c r="E157" s="125"/>
      <c r="F157" s="144"/>
    </row>
    <row r="158" spans="1:6" x14ac:dyDescent="0.3">
      <c r="A158" s="142" t="s">
        <v>187</v>
      </c>
      <c r="B158" s="185" t="s">
        <v>153</v>
      </c>
      <c r="C158" s="186" t="s">
        <v>154</v>
      </c>
      <c r="D158" s="185" t="s">
        <v>155</v>
      </c>
      <c r="E158" s="125"/>
      <c r="F158" s="144"/>
    </row>
    <row r="159" spans="1:6" x14ac:dyDescent="0.3">
      <c r="A159" s="145"/>
      <c r="B159" s="124">
        <f>+'Nov 2015'!C159</f>
        <v>5192208.5</v>
      </c>
      <c r="C159" s="124">
        <v>5192400</v>
      </c>
      <c r="D159" s="144">
        <f>C159-B159</f>
        <v>191.5</v>
      </c>
      <c r="E159" s="125"/>
      <c r="F159" s="144"/>
    </row>
    <row r="160" spans="1:6" x14ac:dyDescent="0.3">
      <c r="A160" s="145"/>
      <c r="B160" s="125"/>
      <c r="C160" s="84" t="s">
        <v>144</v>
      </c>
      <c r="D160" s="100">
        <f>D159</f>
        <v>191.5</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187">
        <f>D157+D154+D160</f>
        <v>127907.5</v>
      </c>
      <c r="C163" s="84" t="s">
        <v>144</v>
      </c>
      <c r="D163" s="125"/>
      <c r="F163" s="144"/>
    </row>
    <row r="164" spans="1:11" x14ac:dyDescent="0.3">
      <c r="F164" s="144"/>
    </row>
    <row r="165" spans="1:11" x14ac:dyDescent="0.3">
      <c r="A165" s="188" t="s">
        <v>158</v>
      </c>
      <c r="B165" s="200">
        <f>B145+B150+B163</f>
        <v>680310.5</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10303000</v>
      </c>
      <c r="C170" s="88">
        <f>B170/1000</f>
        <v>10303</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C74" name="Month"/>
    <protectedRange sqref="B58" name="NMSU PRODUCED"/>
    <protectedRange sqref="C59" name="PURCHASED EPE"/>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 sqref="E68:E69" name="GERALD THOMAS 5KV_1"/>
    <protectedRange sqref="E71:E72" name="BLAKES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6" fitToHeight="2" orientation="portrait" r:id="rId1"/>
  <rowBreaks count="1" manualBreakCount="1">
    <brk id="94"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XFD176"/>
  <sheetViews>
    <sheetView topLeftCell="A64" zoomScale="80" zoomScaleNormal="80" workbookViewId="0">
      <selection activeCell="F110" sqref="F110"/>
    </sheetView>
  </sheetViews>
  <sheetFormatPr defaultColWidth="8.88671875" defaultRowHeight="14.4" x14ac:dyDescent="0.3"/>
  <cols>
    <col min="1" max="1" width="23.33203125" style="84" customWidth="1"/>
    <col min="2" max="2" width="17.5546875" style="84" customWidth="1"/>
    <col min="3" max="3" width="17.6640625" style="84" customWidth="1"/>
    <col min="4" max="4" width="16" style="84" customWidth="1"/>
    <col min="5" max="5" width="13.5546875" style="84" customWidth="1"/>
    <col min="6" max="6" width="26" style="84" customWidth="1"/>
    <col min="7" max="7" width="13.88671875" style="84" customWidth="1"/>
    <col min="8" max="8" width="20.44140625" style="84" customWidth="1"/>
    <col min="9" max="9" width="8.88671875" style="84"/>
    <col min="10" max="10" width="10.44140625" style="84" bestFit="1" customWidth="1"/>
    <col min="11" max="11" width="12.6640625" style="84" bestFit="1" customWidth="1"/>
    <col min="12" max="14" width="8.88671875" style="84"/>
    <col min="15" max="16" width="14.88671875" style="84" bestFit="1" customWidth="1"/>
    <col min="17" max="17" width="11.33203125" style="84" bestFit="1" customWidth="1"/>
    <col min="18" max="16384" width="8.88671875" style="84"/>
  </cols>
  <sheetData>
    <row r="1" spans="1:17 16384:16384" x14ac:dyDescent="0.3">
      <c r="A1" s="146" t="s">
        <v>0</v>
      </c>
      <c r="G1" s="2"/>
    </row>
    <row r="2" spans="1:17 16384:16384" x14ac:dyDescent="0.3">
      <c r="A2" s="146" t="s">
        <v>1</v>
      </c>
      <c r="G2" s="2"/>
    </row>
    <row r="3" spans="1:17 16384:16384" x14ac:dyDescent="0.3">
      <c r="A3" s="146" t="s">
        <v>2</v>
      </c>
      <c r="G3" s="2"/>
    </row>
    <row r="4" spans="1:17 16384:16384" x14ac:dyDescent="0.3">
      <c r="G4" s="2"/>
    </row>
    <row r="5" spans="1:17 16384:16384" x14ac:dyDescent="0.3">
      <c r="G5" s="2"/>
    </row>
    <row r="6" spans="1:17 16384:16384" x14ac:dyDescent="0.3">
      <c r="A6" s="147" t="s">
        <v>3</v>
      </c>
      <c r="B6" s="196" t="s">
        <v>317</v>
      </c>
      <c r="C6" s="146"/>
      <c r="D6" s="146"/>
      <c r="E6" s="146"/>
      <c r="F6" s="146"/>
      <c r="G6" s="148"/>
      <c r="H6" s="146"/>
      <c r="I6" s="146"/>
      <c r="J6" s="146"/>
      <c r="K6" s="146"/>
    </row>
    <row r="7" spans="1:17 16384:16384" x14ac:dyDescent="0.3">
      <c r="A7" s="149" t="s">
        <v>4</v>
      </c>
      <c r="B7" s="150" t="s">
        <v>5</v>
      </c>
      <c r="C7" s="149" t="s">
        <v>6</v>
      </c>
      <c r="D7" s="149" t="s">
        <v>7</v>
      </c>
      <c r="E7" s="149" t="s">
        <v>8</v>
      </c>
      <c r="F7" s="149"/>
      <c r="G7" s="151" t="s">
        <v>9</v>
      </c>
      <c r="H7" s="149"/>
      <c r="I7" s="149"/>
      <c r="J7" s="149" t="s">
        <v>10</v>
      </c>
    </row>
    <row r="8" spans="1:17 16384:16384" ht="28.8" x14ac:dyDescent="0.3">
      <c r="A8" s="152" t="s">
        <v>11</v>
      </c>
      <c r="B8" s="112" t="s">
        <v>12</v>
      </c>
      <c r="C8" s="112" t="s">
        <v>13</v>
      </c>
      <c r="D8" s="26"/>
      <c r="E8" s="381">
        <f>+C47</f>
        <v>4030</v>
      </c>
      <c r="F8" s="112" t="s">
        <v>174</v>
      </c>
      <c r="G8" s="33">
        <v>16183.27</v>
      </c>
      <c r="H8" s="113" t="s">
        <v>15</v>
      </c>
      <c r="I8" s="113"/>
      <c r="J8" s="114">
        <f>E8*0.9756</f>
        <v>3931.6680000000001</v>
      </c>
    </row>
    <row r="9" spans="1:17 16384:16384" ht="15.6" x14ac:dyDescent="0.3">
      <c r="A9" s="153" t="s">
        <v>16</v>
      </c>
      <c r="B9" s="115" t="s">
        <v>17</v>
      </c>
      <c r="C9" s="115" t="s">
        <v>13</v>
      </c>
      <c r="D9" s="26"/>
      <c r="E9" s="382">
        <f>+C50</f>
        <v>0</v>
      </c>
      <c r="F9" s="113"/>
      <c r="G9" s="34">
        <v>1064.28</v>
      </c>
      <c r="H9" s="84" t="s">
        <v>18</v>
      </c>
    </row>
    <row r="10" spans="1:17 16384:16384" ht="15.6" x14ac:dyDescent="0.3">
      <c r="A10" s="153" t="s">
        <v>19</v>
      </c>
      <c r="B10" s="115" t="s">
        <v>17</v>
      </c>
      <c r="C10" s="115" t="s">
        <v>13</v>
      </c>
      <c r="D10" s="26"/>
      <c r="E10" s="382">
        <f>+C51</f>
        <v>36846</v>
      </c>
      <c r="F10" s="113"/>
      <c r="G10" s="34">
        <v>113576.27</v>
      </c>
      <c r="H10" s="84" t="s">
        <v>20</v>
      </c>
    </row>
    <row r="11" spans="1:17 16384:16384" ht="15.6" x14ac:dyDescent="0.3">
      <c r="A11" s="153" t="s">
        <v>21</v>
      </c>
      <c r="B11" s="115" t="s">
        <v>17</v>
      </c>
      <c r="C11" s="115" t="s">
        <v>13</v>
      </c>
      <c r="D11" s="26"/>
      <c r="E11" s="382">
        <f>+C52</f>
        <v>8858</v>
      </c>
      <c r="F11" s="113"/>
      <c r="G11" s="34">
        <v>28112.83</v>
      </c>
      <c r="H11" s="84" t="s">
        <v>22</v>
      </c>
    </row>
    <row r="12" spans="1:17 16384:16384" ht="15.6" x14ac:dyDescent="0.3">
      <c r="A12" s="153" t="s">
        <v>23</v>
      </c>
      <c r="B12" s="115" t="s">
        <v>17</v>
      </c>
      <c r="C12" s="115" t="s">
        <v>13</v>
      </c>
      <c r="D12" s="26"/>
      <c r="E12" s="381">
        <f>+C53</f>
        <v>45704</v>
      </c>
      <c r="F12" s="113" t="s">
        <v>24</v>
      </c>
      <c r="G12" s="2"/>
    </row>
    <row r="13" spans="1:17 16384:16384" ht="15.6" x14ac:dyDescent="0.3">
      <c r="A13" s="152" t="s">
        <v>25</v>
      </c>
      <c r="B13" s="112" t="s">
        <v>26</v>
      </c>
      <c r="C13" s="112" t="s">
        <v>27</v>
      </c>
      <c r="D13" s="382">
        <f>+C63</f>
        <v>281339264</v>
      </c>
      <c r="E13" s="221">
        <f>+E63</f>
        <v>285760</v>
      </c>
      <c r="F13" s="113" t="s">
        <v>28</v>
      </c>
      <c r="G13" s="154"/>
      <c r="H13" s="19"/>
      <c r="I13" s="19"/>
      <c r="J13" s="20"/>
      <c r="K13" s="20"/>
    </row>
    <row r="14" spans="1:17 16384:16384" ht="15.6" x14ac:dyDescent="0.3">
      <c r="A14" s="152" t="s">
        <v>29</v>
      </c>
      <c r="B14" s="112" t="s">
        <v>26</v>
      </c>
      <c r="C14" s="112" t="s">
        <v>30</v>
      </c>
      <c r="D14" s="26"/>
      <c r="E14" s="382">
        <f>+B150</f>
        <v>0</v>
      </c>
      <c r="F14" s="113" t="s">
        <v>31</v>
      </c>
      <c r="G14" s="21"/>
      <c r="H14" s="113"/>
      <c r="I14" s="113"/>
      <c r="J14" s="116"/>
      <c r="K14" s="116"/>
      <c r="O14" s="305"/>
      <c r="P14" s="305"/>
    </row>
    <row r="15" spans="1:17 16384:16384" ht="15.6" x14ac:dyDescent="0.3">
      <c r="A15" s="152" t="s">
        <v>32</v>
      </c>
      <c r="B15" s="112" t="s">
        <v>26</v>
      </c>
      <c r="C15" s="112" t="s">
        <v>33</v>
      </c>
      <c r="D15" s="26"/>
      <c r="E15" s="382">
        <f>+B145</f>
        <v>623846</v>
      </c>
      <c r="F15" s="113" t="s">
        <v>31</v>
      </c>
      <c r="G15" s="21"/>
      <c r="H15" s="113"/>
      <c r="I15" s="113"/>
      <c r="J15" s="116"/>
      <c r="K15" s="116"/>
      <c r="O15" s="305"/>
      <c r="P15" s="305"/>
    </row>
    <row r="16" spans="1:17 16384:16384" ht="15.6" x14ac:dyDescent="0.3">
      <c r="A16" s="152" t="s">
        <v>34</v>
      </c>
      <c r="B16" s="112" t="s">
        <v>26</v>
      </c>
      <c r="C16" s="112" t="s">
        <v>35</v>
      </c>
      <c r="D16" s="26"/>
      <c r="E16" s="382">
        <f>+C137</f>
        <v>21394</v>
      </c>
      <c r="F16" s="113" t="s">
        <v>36</v>
      </c>
      <c r="G16" s="23" t="s">
        <v>37</v>
      </c>
      <c r="H16" s="117"/>
      <c r="I16" s="113"/>
      <c r="J16" s="113"/>
      <c r="K16" s="113"/>
      <c r="O16" s="201"/>
      <c r="P16" s="201"/>
      <c r="Q16" s="201"/>
      <c r="XFD16" s="201"/>
    </row>
    <row r="17" spans="1:11" ht="15.6" x14ac:dyDescent="0.3">
      <c r="A17" s="152" t="s">
        <v>38</v>
      </c>
      <c r="B17" s="112" t="s">
        <v>26</v>
      </c>
      <c r="C17" s="112" t="s">
        <v>27</v>
      </c>
      <c r="D17" s="26"/>
      <c r="E17" s="381">
        <f>+C60</f>
        <v>5816755</v>
      </c>
      <c r="F17" s="113"/>
      <c r="G17" s="155">
        <v>170146.15</v>
      </c>
      <c r="H17" s="113" t="s">
        <v>39</v>
      </c>
      <c r="I17" s="156"/>
      <c r="J17" s="156"/>
      <c r="K17" s="156"/>
    </row>
    <row r="18" spans="1:11" ht="15.6" x14ac:dyDescent="0.3">
      <c r="A18" s="152" t="s">
        <v>40</v>
      </c>
      <c r="B18" s="112" t="s">
        <v>41</v>
      </c>
      <c r="C18" s="112" t="s">
        <v>42</v>
      </c>
      <c r="D18" s="26"/>
      <c r="E18" s="381">
        <f>+C87</f>
        <v>58845</v>
      </c>
      <c r="F18" s="113" t="s">
        <v>43</v>
      </c>
      <c r="G18" s="33">
        <v>646.01</v>
      </c>
      <c r="H18" s="113" t="s">
        <v>44</v>
      </c>
      <c r="I18" s="113"/>
      <c r="J18" s="113"/>
      <c r="K18" s="113"/>
    </row>
    <row r="19" spans="1:11" ht="15.6" x14ac:dyDescent="0.3">
      <c r="A19" s="84" t="s">
        <v>45</v>
      </c>
      <c r="B19" s="115" t="s">
        <v>41</v>
      </c>
      <c r="C19" s="115" t="s">
        <v>42</v>
      </c>
      <c r="D19" s="381">
        <f>+D91</f>
        <v>37895522</v>
      </c>
      <c r="E19" s="26"/>
      <c r="G19" s="2"/>
    </row>
    <row r="20" spans="1:11" ht="15.6" x14ac:dyDescent="0.3">
      <c r="A20" s="84" t="s">
        <v>46</v>
      </c>
      <c r="B20" s="115" t="s">
        <v>41</v>
      </c>
      <c r="C20" s="115" t="s">
        <v>42</v>
      </c>
      <c r="D20" s="26"/>
      <c r="E20" s="381">
        <f>+B107</f>
        <v>1273.49</v>
      </c>
      <c r="G20" s="2"/>
    </row>
    <row r="21" spans="1:11" ht="15.6" x14ac:dyDescent="0.3">
      <c r="A21" s="84" t="s">
        <v>47</v>
      </c>
      <c r="B21" s="115" t="s">
        <v>41</v>
      </c>
      <c r="C21" s="115" t="s">
        <v>42</v>
      </c>
      <c r="D21" s="26"/>
      <c r="E21" s="381">
        <f>+B108</f>
        <v>82.1</v>
      </c>
      <c r="G21" s="2"/>
    </row>
    <row r="22" spans="1:11" ht="15.6" x14ac:dyDescent="0.3">
      <c r="A22" s="152" t="s">
        <v>48</v>
      </c>
      <c r="B22" s="112" t="s">
        <v>49</v>
      </c>
      <c r="C22" s="112" t="s">
        <v>50</v>
      </c>
      <c r="D22" s="26"/>
      <c r="E22" s="381">
        <f>+C136</f>
        <v>0</v>
      </c>
      <c r="F22" s="113" t="s">
        <v>36</v>
      </c>
      <c r="G22" s="21" t="s">
        <v>51</v>
      </c>
      <c r="H22" s="113"/>
      <c r="I22" s="113"/>
      <c r="J22" s="113"/>
      <c r="K22" s="113"/>
    </row>
    <row r="23" spans="1:11" ht="15.6" x14ac:dyDescent="0.3">
      <c r="A23" s="152" t="s">
        <v>52</v>
      </c>
      <c r="B23" s="112" t="s">
        <v>49</v>
      </c>
      <c r="C23" s="112" t="s">
        <v>50</v>
      </c>
      <c r="D23" s="26"/>
      <c r="E23" s="381">
        <f>+C137</f>
        <v>21394</v>
      </c>
      <c r="F23" s="113" t="s">
        <v>36</v>
      </c>
      <c r="G23" s="21" t="s">
        <v>37</v>
      </c>
      <c r="H23" s="113"/>
      <c r="I23" s="113"/>
      <c r="J23" s="113"/>
      <c r="K23" s="113"/>
    </row>
    <row r="24" spans="1:11" ht="15.6" x14ac:dyDescent="0.3">
      <c r="A24" s="152" t="s">
        <v>53</v>
      </c>
      <c r="B24" s="112" t="s">
        <v>54</v>
      </c>
      <c r="C24" s="112" t="s">
        <v>55</v>
      </c>
      <c r="D24" s="26"/>
      <c r="E24" s="381">
        <f>+B165</f>
        <v>835565</v>
      </c>
      <c r="F24" s="113" t="s">
        <v>31</v>
      </c>
      <c r="G24" s="21"/>
      <c r="H24" s="113"/>
      <c r="I24" s="113"/>
      <c r="J24" s="113"/>
      <c r="K24" s="113"/>
    </row>
    <row r="25" spans="1:11" ht="15.6" x14ac:dyDescent="0.3">
      <c r="A25" s="152" t="s">
        <v>56</v>
      </c>
      <c r="B25" s="112" t="s">
        <v>57</v>
      </c>
      <c r="C25" s="112" t="s">
        <v>42</v>
      </c>
      <c r="D25" s="26"/>
      <c r="E25" s="381">
        <f>+C170</f>
        <v>13097</v>
      </c>
      <c r="F25" s="113" t="s">
        <v>58</v>
      </c>
      <c r="G25" s="33">
        <v>33687.15</v>
      </c>
      <c r="H25" s="113" t="s">
        <v>44</v>
      </c>
      <c r="I25" s="113"/>
      <c r="J25" s="113"/>
      <c r="K25" s="113"/>
    </row>
    <row r="26" spans="1:11" ht="15.6" x14ac:dyDescent="0.3">
      <c r="A26" s="152" t="s">
        <v>165</v>
      </c>
      <c r="B26" s="112" t="s">
        <v>57</v>
      </c>
      <c r="C26" s="112" t="s">
        <v>42</v>
      </c>
      <c r="D26" s="26"/>
      <c r="E26" s="381">
        <f>+B174</f>
        <v>2330</v>
      </c>
      <c r="G26" s="2" t="s">
        <v>183</v>
      </c>
    </row>
    <row r="27" spans="1:11" ht="15.6" x14ac:dyDescent="0.3">
      <c r="A27" s="152" t="s">
        <v>186</v>
      </c>
      <c r="B27" s="112" t="s">
        <v>26</v>
      </c>
      <c r="C27" s="112" t="s">
        <v>27</v>
      </c>
      <c r="D27" s="381">
        <f>+E76</f>
        <v>11584565</v>
      </c>
      <c r="E27" s="209"/>
      <c r="G27" s="2"/>
    </row>
    <row r="28" spans="1:11" ht="15.6" x14ac:dyDescent="0.3">
      <c r="A28" s="152" t="s">
        <v>302</v>
      </c>
      <c r="B28" s="112" t="s">
        <v>41</v>
      </c>
      <c r="C28" s="112" t="s">
        <v>303</v>
      </c>
      <c r="D28" s="381">
        <f>+C117</f>
        <v>7247.5</v>
      </c>
      <c r="E28" s="209"/>
      <c r="G28" s="2"/>
    </row>
    <row r="29" spans="1:11" ht="15.6" x14ac:dyDescent="0.3">
      <c r="A29" s="152" t="s">
        <v>125</v>
      </c>
      <c r="B29" s="112"/>
      <c r="C29" s="112"/>
      <c r="D29" s="381">
        <f>+C122</f>
        <v>16582.774296557189</v>
      </c>
      <c r="E29" s="209"/>
      <c r="G29" s="2"/>
    </row>
    <row r="30" spans="1:11" ht="15.6" x14ac:dyDescent="0.3">
      <c r="A30" s="152" t="s">
        <v>127</v>
      </c>
      <c r="B30" s="112"/>
      <c r="C30" s="112"/>
      <c r="D30" s="381">
        <f>+C123</f>
        <v>2567.3753798170187</v>
      </c>
      <c r="E30" s="209"/>
      <c r="G30" s="2"/>
    </row>
    <row r="31" spans="1:11" ht="15.6" x14ac:dyDescent="0.3">
      <c r="A31" s="152" t="s">
        <v>128</v>
      </c>
      <c r="B31" s="112"/>
      <c r="C31" s="112"/>
      <c r="D31" s="381">
        <f>+C124</f>
        <v>7912.6124812641156</v>
      </c>
      <c r="E31" s="209"/>
      <c r="G31" s="2"/>
    </row>
    <row r="32" spans="1:11" ht="15.6" x14ac:dyDescent="0.3">
      <c r="A32" s="152"/>
      <c r="B32" s="112"/>
      <c r="C32" s="112"/>
      <c r="D32" s="383"/>
      <c r="E32" s="209"/>
      <c r="G32" s="2"/>
    </row>
    <row r="33" spans="1:11" x14ac:dyDescent="0.3">
      <c r="A33" s="152"/>
      <c r="B33" s="112"/>
      <c r="C33" s="112"/>
      <c r="D33"/>
      <c r="E33"/>
      <c r="G33" s="2"/>
    </row>
    <row r="34" spans="1:11" x14ac:dyDescent="0.3">
      <c r="E34" s="118"/>
      <c r="G34" s="2"/>
    </row>
    <row r="35" spans="1:11" x14ac:dyDescent="0.3">
      <c r="A35" s="119" t="s">
        <v>59</v>
      </c>
      <c r="B35" s="119"/>
      <c r="C35" s="119"/>
      <c r="D35" s="119"/>
      <c r="E35" s="119"/>
      <c r="F35" s="119"/>
    </row>
    <row r="36" spans="1:11" x14ac:dyDescent="0.3">
      <c r="A36" s="119"/>
      <c r="B36" s="119"/>
      <c r="C36" s="119"/>
      <c r="D36" s="119"/>
      <c r="E36" s="119"/>
      <c r="F36" s="29"/>
      <c r="J36" s="84" t="s">
        <v>60</v>
      </c>
    </row>
    <row r="37" spans="1:11" x14ac:dyDescent="0.3">
      <c r="A37" s="119" t="s">
        <v>61</v>
      </c>
      <c r="B37" s="119" t="s">
        <v>175</v>
      </c>
      <c r="C37" s="119"/>
      <c r="D37" s="119"/>
      <c r="E37" s="120">
        <f>+G9+G10+G11</f>
        <v>142753.38</v>
      </c>
      <c r="F37" s="121"/>
    </row>
    <row r="38" spans="1:11" x14ac:dyDescent="0.3">
      <c r="A38" s="119" t="s">
        <v>63</v>
      </c>
      <c r="B38" s="119" t="s">
        <v>63</v>
      </c>
      <c r="C38" s="119"/>
      <c r="D38" s="119"/>
      <c r="E38" s="122">
        <f>+G8</f>
        <v>16183.27</v>
      </c>
      <c r="F38" s="121"/>
    </row>
    <row r="39" spans="1:11" x14ac:dyDescent="0.3">
      <c r="A39" s="119"/>
      <c r="B39" s="119" t="s">
        <v>64</v>
      </c>
      <c r="C39" s="119"/>
      <c r="D39" s="119"/>
      <c r="E39" s="120">
        <f>SUM(E37:E38)</f>
        <v>158936.65</v>
      </c>
      <c r="F39" s="119"/>
    </row>
    <row r="40" spans="1:11" x14ac:dyDescent="0.3">
      <c r="A40" s="119"/>
      <c r="B40" s="119"/>
      <c r="C40" s="119"/>
      <c r="D40" s="119"/>
      <c r="E40" s="119"/>
      <c r="F40" s="119"/>
    </row>
    <row r="43" spans="1:11" x14ac:dyDescent="0.3">
      <c r="A43" s="157" t="s">
        <v>65</v>
      </c>
      <c r="B43" s="108"/>
      <c r="C43" s="108"/>
      <c r="D43" s="108"/>
      <c r="E43" s="108"/>
      <c r="F43" s="108"/>
      <c r="G43" s="108"/>
      <c r="H43" s="108"/>
      <c r="I43" s="108"/>
      <c r="J43" s="108"/>
      <c r="K43" s="108"/>
    </row>
    <row r="44" spans="1:11" x14ac:dyDescent="0.3">
      <c r="A44" s="146" t="s">
        <v>66</v>
      </c>
    </row>
    <row r="45" spans="1:11" x14ac:dyDescent="0.3">
      <c r="B45" s="147"/>
      <c r="C45" s="158"/>
    </row>
    <row r="46" spans="1:11" x14ac:dyDescent="0.3">
      <c r="A46" s="148" t="s">
        <v>67</v>
      </c>
      <c r="B46" s="148" t="s">
        <v>68</v>
      </c>
      <c r="C46" s="148" t="s">
        <v>69</v>
      </c>
    </row>
    <row r="47" spans="1:11" x14ac:dyDescent="0.3">
      <c r="A47" s="2" t="s">
        <v>70</v>
      </c>
      <c r="B47" s="2" t="s">
        <v>13</v>
      </c>
      <c r="C47" s="45">
        <v>4030</v>
      </c>
    </row>
    <row r="48" spans="1:11" x14ac:dyDescent="0.3">
      <c r="A48" s="2"/>
      <c r="B48" s="2"/>
      <c r="C48" s="2"/>
    </row>
    <row r="49" spans="1:11" x14ac:dyDescent="0.3">
      <c r="A49" s="148" t="s">
        <v>71</v>
      </c>
      <c r="B49" s="2"/>
      <c r="C49" s="2"/>
    </row>
    <row r="50" spans="1:11" x14ac:dyDescent="0.3">
      <c r="A50" s="2" t="s">
        <v>72</v>
      </c>
      <c r="B50" s="2" t="s">
        <v>13</v>
      </c>
      <c r="C50" s="45">
        <v>0</v>
      </c>
    </row>
    <row r="51" spans="1:11" x14ac:dyDescent="0.3">
      <c r="A51" s="2" t="s">
        <v>73</v>
      </c>
      <c r="B51" s="2" t="s">
        <v>13</v>
      </c>
      <c r="C51" s="45">
        <v>36846</v>
      </c>
    </row>
    <row r="52" spans="1:11" x14ac:dyDescent="0.3">
      <c r="A52" s="2" t="s">
        <v>74</v>
      </c>
      <c r="B52" s="2" t="s">
        <v>13</v>
      </c>
      <c r="C52" s="45">
        <v>8858</v>
      </c>
    </row>
    <row r="53" spans="1:11" x14ac:dyDescent="0.3">
      <c r="A53" s="2"/>
      <c r="B53" s="2" t="s">
        <v>69</v>
      </c>
      <c r="C53" s="38">
        <f>SUM(C50:C52)</f>
        <v>45704</v>
      </c>
    </row>
    <row r="56" spans="1:11" x14ac:dyDescent="0.3">
      <c r="A56" s="159" t="s">
        <v>75</v>
      </c>
      <c r="B56" s="123"/>
      <c r="C56" s="123"/>
      <c r="D56" s="123"/>
      <c r="E56" s="123"/>
      <c r="F56" s="123"/>
      <c r="G56" s="123"/>
      <c r="H56" s="123"/>
      <c r="I56" s="123"/>
      <c r="J56" s="123"/>
      <c r="K56" s="123"/>
    </row>
    <row r="57" spans="1:11" x14ac:dyDescent="0.3">
      <c r="B57" s="146" t="s">
        <v>76</v>
      </c>
      <c r="C57" s="146" t="s">
        <v>77</v>
      </c>
    </row>
    <row r="58" spans="1:11" x14ac:dyDescent="0.3">
      <c r="A58" s="146" t="s">
        <v>78</v>
      </c>
      <c r="B58" s="124">
        <f>+C58/1000</f>
        <v>3051.7959999999998</v>
      </c>
      <c r="C58" s="40">
        <f>+I58</f>
        <v>3051796</v>
      </c>
      <c r="D58" s="84" t="s">
        <v>79</v>
      </c>
      <c r="E58" s="41"/>
      <c r="F58" s="458" t="s">
        <v>268</v>
      </c>
      <c r="G58" s="458"/>
      <c r="H58" s="458"/>
      <c r="I58" s="84">
        <f>60220204-57168408</f>
        <v>3051796</v>
      </c>
    </row>
    <row r="59" spans="1:11" x14ac:dyDescent="0.3">
      <c r="A59" s="146" t="s">
        <v>81</v>
      </c>
      <c r="B59" s="125"/>
      <c r="C59" s="34">
        <v>2764959</v>
      </c>
      <c r="D59" s="84" t="s">
        <v>79</v>
      </c>
      <c r="E59" s="41"/>
      <c r="F59" s="84" t="s">
        <v>82</v>
      </c>
    </row>
    <row r="60" spans="1:11" x14ac:dyDescent="0.3">
      <c r="A60" s="146" t="s">
        <v>83</v>
      </c>
      <c r="C60" s="40">
        <f>SUM(C58:C59)</f>
        <v>5816755</v>
      </c>
      <c r="D60" s="84" t="s">
        <v>79</v>
      </c>
      <c r="E60" s="41"/>
    </row>
    <row r="61" spans="1:11" x14ac:dyDescent="0.3">
      <c r="A61" s="146"/>
    </row>
    <row r="62" spans="1:11" x14ac:dyDescent="0.3">
      <c r="A62" s="146"/>
      <c r="B62" s="146" t="s">
        <v>84</v>
      </c>
      <c r="C62" s="146" t="s">
        <v>85</v>
      </c>
      <c r="D62" s="146"/>
      <c r="E62" s="146" t="s">
        <v>8</v>
      </c>
      <c r="F62" s="84" t="s">
        <v>86</v>
      </c>
    </row>
    <row r="63" spans="1:11" x14ac:dyDescent="0.3">
      <c r="A63" s="146" t="s">
        <v>87</v>
      </c>
      <c r="B63" s="126">
        <f>+'Oct 2015'!C63</f>
        <v>281053504</v>
      </c>
      <c r="C63" s="126">
        <v>281339264</v>
      </c>
      <c r="D63" s="84" t="s">
        <v>79</v>
      </c>
      <c r="E63" s="160">
        <f>+C63-B63</f>
        <v>285760</v>
      </c>
      <c r="F63" s="84" t="s">
        <v>88</v>
      </c>
    </row>
    <row r="66" spans="1:11" x14ac:dyDescent="0.3">
      <c r="A66" s="161" t="s">
        <v>89</v>
      </c>
      <c r="B66" s="127"/>
      <c r="C66" s="127"/>
      <c r="D66" s="125"/>
      <c r="E66" s="125"/>
    </row>
    <row r="67" spans="1:11" x14ac:dyDescent="0.3">
      <c r="A67" s="161" t="s">
        <v>90</v>
      </c>
      <c r="B67" s="127"/>
      <c r="C67" s="127"/>
      <c r="D67" s="125"/>
      <c r="E67" s="125"/>
    </row>
    <row r="68" spans="1:11" x14ac:dyDescent="0.3">
      <c r="A68" s="457" t="s">
        <v>167</v>
      </c>
      <c r="B68" s="457"/>
      <c r="C68" s="127" t="s">
        <v>272</v>
      </c>
      <c r="D68" s="125"/>
      <c r="E68" s="191">
        <f>+'Oct 2015'!E69</f>
        <v>11463749</v>
      </c>
    </row>
    <row r="69" spans="1:11" x14ac:dyDescent="0.3">
      <c r="A69" s="457" t="s">
        <v>167</v>
      </c>
      <c r="B69" s="457"/>
      <c r="C69" s="127" t="s">
        <v>171</v>
      </c>
      <c r="D69" s="125"/>
      <c r="E69" s="128">
        <v>11592063</v>
      </c>
      <c r="F69" s="84" t="s">
        <v>184</v>
      </c>
    </row>
    <row r="70" spans="1:11" x14ac:dyDescent="0.3">
      <c r="A70" s="457" t="s">
        <v>168</v>
      </c>
      <c r="B70" s="457"/>
      <c r="C70" s="127" t="s">
        <v>171</v>
      </c>
      <c r="D70" s="125"/>
      <c r="E70" s="216">
        <f>+E69-E68</f>
        <v>128314</v>
      </c>
    </row>
    <row r="71" spans="1:11" x14ac:dyDescent="0.3">
      <c r="A71" s="457" t="s">
        <v>169</v>
      </c>
      <c r="B71" s="457"/>
      <c r="C71" s="127" t="s">
        <v>272</v>
      </c>
      <c r="D71" s="125"/>
      <c r="E71" s="192">
        <f>+'Oct 2015'!E72</f>
        <v>256365.1</v>
      </c>
    </row>
    <row r="72" spans="1:11" x14ac:dyDescent="0.3">
      <c r="A72" s="457" t="s">
        <v>170</v>
      </c>
      <c r="B72" s="457"/>
      <c r="C72" s="127" t="s">
        <v>171</v>
      </c>
      <c r="D72" s="125"/>
      <c r="E72" s="128">
        <v>263863.09999999998</v>
      </c>
      <c r="F72" s="84" t="s">
        <v>185</v>
      </c>
    </row>
    <row r="73" spans="1:11" x14ac:dyDescent="0.3">
      <c r="A73" s="457" t="s">
        <v>173</v>
      </c>
      <c r="B73" s="457"/>
      <c r="C73" s="127" t="s">
        <v>171</v>
      </c>
      <c r="D73" s="125"/>
      <c r="E73" s="216">
        <f>+E72-E71</f>
        <v>7497.9999999999709</v>
      </c>
    </row>
    <row r="74" spans="1:11" x14ac:dyDescent="0.3">
      <c r="A74" s="448" t="s">
        <v>91</v>
      </c>
      <c r="B74" s="448"/>
      <c r="C74" s="164" t="s">
        <v>171</v>
      </c>
      <c r="D74" s="125"/>
      <c r="E74" s="217">
        <f>+E70-E73</f>
        <v>120816.00000000003</v>
      </c>
      <c r="F74" s="84">
        <f>(64586+7498)/10</f>
        <v>7208.4</v>
      </c>
    </row>
    <row r="75" spans="1:11" x14ac:dyDescent="0.3">
      <c r="A75" s="127"/>
      <c r="B75" s="127"/>
      <c r="C75" s="127"/>
      <c r="D75" s="125"/>
      <c r="E75" s="69"/>
    </row>
    <row r="76" spans="1:11" x14ac:dyDescent="0.3">
      <c r="A76" s="449" t="s">
        <v>92</v>
      </c>
      <c r="B76" s="449"/>
      <c r="C76" s="166" t="str">
        <f>+C74</f>
        <v>November</v>
      </c>
      <c r="D76" s="167"/>
      <c r="E76" s="392">
        <f>+E68+E74</f>
        <v>11584565</v>
      </c>
    </row>
    <row r="79" spans="1:11" x14ac:dyDescent="0.3">
      <c r="A79" s="159" t="s">
        <v>93</v>
      </c>
      <c r="B79" s="123"/>
      <c r="C79" s="123"/>
      <c r="D79" s="123"/>
      <c r="E79" s="123"/>
      <c r="F79" s="123"/>
      <c r="G79" s="123"/>
      <c r="H79" s="123"/>
      <c r="I79" s="123"/>
      <c r="J79" s="123"/>
      <c r="K79" s="123"/>
    </row>
    <row r="80" spans="1:11" x14ac:dyDescent="0.3">
      <c r="A80" s="169" t="s">
        <v>94</v>
      </c>
      <c r="B80" s="169" t="s">
        <v>95</v>
      </c>
      <c r="C80" s="146" t="s">
        <v>42</v>
      </c>
    </row>
    <row r="81" spans="1:10" ht="30" customHeight="1" x14ac:dyDescent="0.3">
      <c r="A81" s="84" t="s">
        <v>96</v>
      </c>
      <c r="B81" s="129"/>
      <c r="E81" s="458" t="s">
        <v>97</v>
      </c>
      <c r="F81" s="458"/>
      <c r="G81" s="458"/>
      <c r="H81" s="458"/>
      <c r="I81" s="458"/>
      <c r="J81" s="458"/>
    </row>
    <row r="82" spans="1:10" x14ac:dyDescent="0.3">
      <c r="A82" s="130" t="s">
        <v>98</v>
      </c>
      <c r="B82" s="131">
        <v>16605000</v>
      </c>
      <c r="C82" s="84">
        <f>B82/1000</f>
        <v>16605</v>
      </c>
    </row>
    <row r="83" spans="1:10" x14ac:dyDescent="0.3">
      <c r="A83" s="130" t="s">
        <v>99</v>
      </c>
      <c r="B83" s="131">
        <v>411000</v>
      </c>
      <c r="C83" s="84">
        <f>B83/1000</f>
        <v>411</v>
      </c>
    </row>
    <row r="84" spans="1:10" x14ac:dyDescent="0.3">
      <c r="A84" s="130" t="s">
        <v>100</v>
      </c>
      <c r="B84" s="131">
        <v>0</v>
      </c>
      <c r="C84" s="84">
        <f>B84/1000</f>
        <v>0</v>
      </c>
      <c r="D84" s="84">
        <v>121354000</v>
      </c>
    </row>
    <row r="85" spans="1:10" x14ac:dyDescent="0.3">
      <c r="A85" s="130" t="s">
        <v>101</v>
      </c>
      <c r="B85" s="131">
        <v>41829000</v>
      </c>
      <c r="C85" s="84">
        <f>B85/1000</f>
        <v>41829</v>
      </c>
    </row>
    <row r="86" spans="1:10" x14ac:dyDescent="0.3">
      <c r="A86" s="84" t="s">
        <v>102</v>
      </c>
      <c r="B86" s="75"/>
      <c r="C86" s="132">
        <f t="shared" ref="C86" si="0">B86/1000</f>
        <v>0</v>
      </c>
      <c r="F86" s="84" t="s">
        <v>103</v>
      </c>
    </row>
    <row r="87" spans="1:10" x14ac:dyDescent="0.3">
      <c r="A87" s="84" t="s">
        <v>104</v>
      </c>
      <c r="B87" s="170">
        <f>SUM(B82:B86)</f>
        <v>58845000</v>
      </c>
      <c r="C87" s="133">
        <f>SUM(C81:C86)</f>
        <v>58845</v>
      </c>
    </row>
    <row r="88" spans="1:10" x14ac:dyDescent="0.3">
      <c r="B88" s="147"/>
    </row>
    <row r="89" spans="1:10" x14ac:dyDescent="0.3">
      <c r="A89" s="84" t="s">
        <v>105</v>
      </c>
    </row>
    <row r="90" spans="1:10" ht="15" thickBot="1" x14ac:dyDescent="0.35">
      <c r="B90" s="84" t="s">
        <v>95</v>
      </c>
      <c r="C90" s="84" t="s">
        <v>106</v>
      </c>
      <c r="D90" s="84" t="s">
        <v>107</v>
      </c>
    </row>
    <row r="91" spans="1:10" x14ac:dyDescent="0.3">
      <c r="A91" s="84" t="s">
        <v>45</v>
      </c>
      <c r="B91" s="171">
        <v>3168800</v>
      </c>
      <c r="C91" s="171">
        <f>+'Oct 2015'!C91</f>
        <v>34726722</v>
      </c>
      <c r="D91" s="100">
        <f>+C91+B91</f>
        <v>37895522</v>
      </c>
      <c r="E91" s="84" t="s">
        <v>108</v>
      </c>
    </row>
    <row r="92" spans="1:10" x14ac:dyDescent="0.3">
      <c r="A92" s="84" t="s">
        <v>109</v>
      </c>
      <c r="B92" s="172" t="s">
        <v>110</v>
      </c>
      <c r="C92" s="172" t="s">
        <v>111</v>
      </c>
      <c r="D92" s="173" t="s">
        <v>112</v>
      </c>
    </row>
    <row r="93" spans="1:10" x14ac:dyDescent="0.3">
      <c r="A93" s="84" t="s">
        <v>45</v>
      </c>
      <c r="B93" s="124">
        <f>+'Oct 2015'!C93</f>
        <v>9100754</v>
      </c>
      <c r="C93" s="124">
        <v>9413954</v>
      </c>
      <c r="D93" s="391">
        <f>+C93-B93</f>
        <v>313200</v>
      </c>
      <c r="E93" s="84" t="s">
        <v>113</v>
      </c>
    </row>
    <row r="94" spans="1:10" x14ac:dyDescent="0.3">
      <c r="C94" s="146"/>
      <c r="D94" s="146"/>
    </row>
    <row r="95" spans="1:10" ht="15" thickBot="1" x14ac:dyDescent="0.35">
      <c r="B95" s="146" t="s">
        <v>114</v>
      </c>
      <c r="C95" s="146" t="s">
        <v>115</v>
      </c>
      <c r="D95" s="149" t="s">
        <v>112</v>
      </c>
      <c r="E95" s="146"/>
      <c r="F95" s="146"/>
    </row>
    <row r="96" spans="1:10" x14ac:dyDescent="0.3">
      <c r="A96" s="84" t="s">
        <v>116</v>
      </c>
      <c r="B96" s="77">
        <f>+'Oct 2015'!C96</f>
        <v>13244802</v>
      </c>
      <c r="C96" s="77">
        <v>14057652</v>
      </c>
      <c r="D96" s="134">
        <f>C96-B96</f>
        <v>812850</v>
      </c>
      <c r="E96" s="63"/>
    </row>
    <row r="97" spans="1:6" x14ac:dyDescent="0.3">
      <c r="A97" s="84" t="s">
        <v>117</v>
      </c>
      <c r="B97" s="78">
        <f>+'Oct 2015'!C97</f>
        <v>15401452</v>
      </c>
      <c r="C97" s="78">
        <v>15409102</v>
      </c>
      <c r="D97" s="134">
        <f t="shared" ref="D97:D99" si="1">C97-B97</f>
        <v>7650</v>
      </c>
      <c r="E97" s="63"/>
      <c r="F97" s="86"/>
    </row>
    <row r="98" spans="1:6" x14ac:dyDescent="0.3">
      <c r="A98" s="84" t="s">
        <v>118</v>
      </c>
      <c r="B98" s="78">
        <f>+'Oct 2015'!C98</f>
        <v>7600250</v>
      </c>
      <c r="C98" s="78">
        <v>8053240</v>
      </c>
      <c r="D98" s="134">
        <f t="shared" si="1"/>
        <v>452990</v>
      </c>
      <c r="E98" s="63"/>
      <c r="F98" s="86"/>
    </row>
    <row r="99" spans="1:6" ht="15" thickBot="1" x14ac:dyDescent="0.35">
      <c r="A99" s="84" t="s">
        <v>119</v>
      </c>
      <c r="B99" s="79">
        <f>+'Oct 2015'!C99</f>
        <v>1624444</v>
      </c>
      <c r="C99" s="79">
        <v>1624444</v>
      </c>
      <c r="D99" s="134">
        <f t="shared" si="1"/>
        <v>0</v>
      </c>
      <c r="E99" s="63"/>
      <c r="F99" s="86"/>
    </row>
    <row r="100" spans="1:6" x14ac:dyDescent="0.3">
      <c r="B100" s="134"/>
      <c r="C100" s="64"/>
      <c r="D100" s="174">
        <f>SUM(D96:D99)</f>
        <v>1273490</v>
      </c>
      <c r="E100" s="175"/>
      <c r="F100" s="158"/>
    </row>
    <row r="101" spans="1:6" ht="15" thickBot="1" x14ac:dyDescent="0.35">
      <c r="B101" s="146" t="s">
        <v>114</v>
      </c>
      <c r="C101" s="146" t="s">
        <v>115</v>
      </c>
      <c r="D101" s="134"/>
    </row>
    <row r="102" spans="1:6" x14ac:dyDescent="0.3">
      <c r="A102" s="84" t="s">
        <v>120</v>
      </c>
      <c r="B102" s="80">
        <f>+'Oct 2015'!C102</f>
        <v>20737488</v>
      </c>
      <c r="C102" s="80">
        <v>20737488</v>
      </c>
      <c r="D102" s="2">
        <f>C102-B102</f>
        <v>0</v>
      </c>
    </row>
    <row r="103" spans="1:6" ht="15" thickBot="1" x14ac:dyDescent="0.35">
      <c r="A103" s="84" t="s">
        <v>121</v>
      </c>
      <c r="B103" s="81">
        <f>+'Oct 2015'!C103</f>
        <v>753701</v>
      </c>
      <c r="C103" s="81">
        <v>835801</v>
      </c>
      <c r="D103" s="2">
        <f>C103-B103</f>
        <v>82100</v>
      </c>
    </row>
    <row r="104" spans="1:6" x14ac:dyDescent="0.3">
      <c r="D104" s="148">
        <f>SUM(D102:D103)</f>
        <v>82100</v>
      </c>
    </row>
    <row r="105" spans="1:6" x14ac:dyDescent="0.3">
      <c r="D105" s="2"/>
    </row>
    <row r="106" spans="1:6" x14ac:dyDescent="0.3">
      <c r="B106" s="84" t="s">
        <v>42</v>
      </c>
      <c r="D106" s="2"/>
    </row>
    <row r="107" spans="1:6" x14ac:dyDescent="0.3">
      <c r="A107" s="84" t="s">
        <v>46</v>
      </c>
      <c r="B107" s="135">
        <f>D100/1000</f>
        <v>1273.49</v>
      </c>
      <c r="D107" s="2"/>
    </row>
    <row r="108" spans="1:6" x14ac:dyDescent="0.3">
      <c r="A108" s="84" t="s">
        <v>47</v>
      </c>
      <c r="B108" s="136">
        <f>D104/1000</f>
        <v>82.1</v>
      </c>
      <c r="D108" s="2"/>
    </row>
    <row r="109" spans="1:6" x14ac:dyDescent="0.3">
      <c r="B109" s="136"/>
      <c r="D109" s="2"/>
    </row>
    <row r="110" spans="1:6" x14ac:dyDescent="0.3">
      <c r="A110" s="84" t="s">
        <v>293</v>
      </c>
      <c r="B110" s="136"/>
      <c r="C110" s="84">
        <f>+'Oct 2015'!C111</f>
        <v>68276</v>
      </c>
      <c r="D110" s="2" t="s">
        <v>301</v>
      </c>
    </row>
    <row r="111" spans="1:6" x14ac:dyDescent="0.3">
      <c r="A111" s="84" t="s">
        <v>294</v>
      </c>
      <c r="B111" s="136"/>
      <c r="C111" s="132">
        <v>80805</v>
      </c>
      <c r="D111" s="2" t="s">
        <v>301</v>
      </c>
    </row>
    <row r="112" spans="1:6" x14ac:dyDescent="0.3">
      <c r="A112" s="84" t="s">
        <v>295</v>
      </c>
      <c r="B112" s="136"/>
      <c r="C112" s="339">
        <f>+C111-C110</f>
        <v>12529</v>
      </c>
      <c r="D112" s="2"/>
    </row>
    <row r="113" spans="1:11" x14ac:dyDescent="0.3">
      <c r="A113" s="84" t="s">
        <v>296</v>
      </c>
      <c r="B113" s="136"/>
      <c r="C113" s="370">
        <f>+'Oct 2015'!C114</f>
        <v>58540</v>
      </c>
      <c r="D113" s="2" t="s">
        <v>301</v>
      </c>
    </row>
    <row r="114" spans="1:11" x14ac:dyDescent="0.3">
      <c r="A114" s="84" t="s">
        <v>297</v>
      </c>
      <c r="B114" s="136"/>
      <c r="C114" s="132">
        <v>63180</v>
      </c>
      <c r="D114" s="2" t="s">
        <v>301</v>
      </c>
    </row>
    <row r="115" spans="1:11" x14ac:dyDescent="0.3">
      <c r="A115" s="84" t="s">
        <v>298</v>
      </c>
      <c r="B115" s="136"/>
      <c r="C115" s="370">
        <f>+C114-C113</f>
        <v>4640</v>
      </c>
      <c r="D115" s="2"/>
    </row>
    <row r="116" spans="1:11" ht="15" thickBot="1" x14ac:dyDescent="0.35">
      <c r="A116" s="84" t="s">
        <v>299</v>
      </c>
      <c r="B116" s="136"/>
      <c r="C116" s="84">
        <f>+C112-C115</f>
        <v>7889</v>
      </c>
      <c r="D116" s="2"/>
    </row>
    <row r="117" spans="1:11" ht="15" thickBot="1" x14ac:dyDescent="0.35">
      <c r="A117" s="84" t="s">
        <v>300</v>
      </c>
      <c r="B117" s="136"/>
      <c r="C117" s="418">
        <f>(64586+C116)/10</f>
        <v>7247.5</v>
      </c>
      <c r="D117" s="2"/>
    </row>
    <row r="118" spans="1:11" x14ac:dyDescent="0.3">
      <c r="B118" s="136"/>
      <c r="D118" s="2"/>
    </row>
    <row r="119" spans="1:11" x14ac:dyDescent="0.3">
      <c r="D119" s="2"/>
    </row>
    <row r="120" spans="1:11" ht="15" thickBot="1" x14ac:dyDescent="0.35">
      <c r="A120" s="125"/>
      <c r="B120" s="125"/>
      <c r="C120" s="125"/>
      <c r="D120" s="69"/>
      <c r="E120" s="125"/>
      <c r="F120" s="125"/>
      <c r="G120" s="125"/>
      <c r="H120" s="125"/>
      <c r="I120" s="125"/>
    </row>
    <row r="121" spans="1:11" ht="28.8" x14ac:dyDescent="0.3">
      <c r="A121" s="84" t="s">
        <v>122</v>
      </c>
      <c r="B121" s="84" t="s">
        <v>123</v>
      </c>
      <c r="C121" s="137" t="s">
        <v>124</v>
      </c>
      <c r="D121" s="138"/>
      <c r="E121" s="139"/>
      <c r="F121" s="139"/>
      <c r="G121" s="139"/>
      <c r="H121" s="139"/>
      <c r="I121" s="140"/>
    </row>
    <row r="122" spans="1:11" x14ac:dyDescent="0.3">
      <c r="A122" s="124" t="s">
        <v>125</v>
      </c>
      <c r="B122" s="141">
        <v>0.28180430447034055</v>
      </c>
      <c r="C122" s="176">
        <f>$C$87*B122</f>
        <v>16582.774296557189</v>
      </c>
      <c r="D122" s="450" t="s">
        <v>176</v>
      </c>
      <c r="E122" s="451"/>
      <c r="F122" s="451"/>
      <c r="G122" s="451"/>
      <c r="H122" s="451"/>
      <c r="I122" s="452"/>
    </row>
    <row r="123" spans="1:11" x14ac:dyDescent="0.3">
      <c r="A123" s="124" t="s">
        <v>127</v>
      </c>
      <c r="B123" s="141">
        <v>4.3629456705191923E-2</v>
      </c>
      <c r="C123" s="435">
        <f>$C$87*B123</f>
        <v>2567.3753798170187</v>
      </c>
      <c r="D123" s="450"/>
      <c r="E123" s="451"/>
      <c r="F123" s="451"/>
      <c r="G123" s="451"/>
      <c r="H123" s="451"/>
      <c r="I123" s="452"/>
    </row>
    <row r="124" spans="1:11" ht="15" thickBot="1" x14ac:dyDescent="0.35">
      <c r="A124" s="124" t="s">
        <v>128</v>
      </c>
      <c r="B124" s="141">
        <v>0.13446533233518762</v>
      </c>
      <c r="C124" s="177">
        <f>$C$87*B124</f>
        <v>7912.6124812641156</v>
      </c>
      <c r="D124" s="453"/>
      <c r="E124" s="454"/>
      <c r="F124" s="454"/>
      <c r="G124" s="454"/>
      <c r="H124" s="454"/>
      <c r="I124" s="455"/>
    </row>
    <row r="127" spans="1:11" x14ac:dyDescent="0.3">
      <c r="A127" s="159" t="s">
        <v>129</v>
      </c>
      <c r="B127" s="123"/>
      <c r="C127" s="123"/>
      <c r="D127" s="123"/>
      <c r="E127" s="123"/>
      <c r="F127" s="123"/>
      <c r="G127" s="123"/>
      <c r="H127" s="123"/>
      <c r="I127" s="123"/>
      <c r="J127" s="123"/>
      <c r="K127" s="123"/>
    </row>
    <row r="128" spans="1:11" x14ac:dyDescent="0.3">
      <c r="A128" s="148" t="s">
        <v>67</v>
      </c>
      <c r="B128" s="148" t="s">
        <v>68</v>
      </c>
      <c r="C128" s="148" t="s">
        <v>69</v>
      </c>
    </row>
    <row r="129" spans="1:11" x14ac:dyDescent="0.3">
      <c r="A129" s="2" t="s">
        <v>130</v>
      </c>
      <c r="B129" s="2" t="s">
        <v>131</v>
      </c>
      <c r="C129" s="45">
        <v>212000</v>
      </c>
      <c r="E129" s="84" t="s">
        <v>80</v>
      </c>
    </row>
    <row r="130" spans="1:11" x14ac:dyDescent="0.3">
      <c r="A130" s="2" t="s">
        <v>132</v>
      </c>
      <c r="B130" s="2" t="s">
        <v>131</v>
      </c>
      <c r="C130" s="45">
        <v>5416000</v>
      </c>
      <c r="E130" s="84" t="s">
        <v>80</v>
      </c>
    </row>
    <row r="131" spans="1:11" x14ac:dyDescent="0.3">
      <c r="A131" s="2" t="s">
        <v>133</v>
      </c>
      <c r="B131" s="2" t="s">
        <v>131</v>
      </c>
      <c r="C131" s="45">
        <v>2961000</v>
      </c>
      <c r="E131" s="84" t="s">
        <v>80</v>
      </c>
    </row>
    <row r="132" spans="1:11" x14ac:dyDescent="0.3">
      <c r="A132" s="2" t="s">
        <v>134</v>
      </c>
      <c r="B132" s="2" t="s">
        <v>131</v>
      </c>
      <c r="C132" s="45">
        <v>12805000</v>
      </c>
      <c r="E132" s="84" t="s">
        <v>80</v>
      </c>
    </row>
    <row r="133" spans="1:11" x14ac:dyDescent="0.3">
      <c r="A133" s="2"/>
      <c r="B133" s="148" t="s">
        <v>69</v>
      </c>
      <c r="C133" s="178">
        <f>SUM(C129:C132)</f>
        <v>21394000</v>
      </c>
      <c r="E133" s="148"/>
      <c r="F133" s="148"/>
    </row>
    <row r="134" spans="1:11" x14ac:dyDescent="0.3">
      <c r="A134" s="2"/>
      <c r="F134" s="86"/>
    </row>
    <row r="135" spans="1:11" x14ac:dyDescent="0.3">
      <c r="A135" s="146"/>
      <c r="B135" s="146" t="s">
        <v>135</v>
      </c>
      <c r="C135" s="146" t="s">
        <v>136</v>
      </c>
      <c r="D135" s="146"/>
      <c r="E135" s="146"/>
    </row>
    <row r="136" spans="1:11" x14ac:dyDescent="0.3">
      <c r="A136" s="84" t="s">
        <v>137</v>
      </c>
      <c r="B136" s="45">
        <v>0</v>
      </c>
      <c r="C136" s="84">
        <f>B136/1000</f>
        <v>0</v>
      </c>
      <c r="E136" s="84" t="s">
        <v>80</v>
      </c>
    </row>
    <row r="137" spans="1:11" x14ac:dyDescent="0.3">
      <c r="A137" s="84" t="s">
        <v>138</v>
      </c>
      <c r="B137" s="179">
        <f>+C133</f>
        <v>21394000</v>
      </c>
      <c r="C137" s="88">
        <f>B137/1000</f>
        <v>21394</v>
      </c>
      <c r="E137" s="84" t="s">
        <v>80</v>
      </c>
    </row>
    <row r="140" spans="1:11" x14ac:dyDescent="0.3">
      <c r="A140" s="159" t="s">
        <v>139</v>
      </c>
      <c r="B140" s="123"/>
      <c r="C140" s="123"/>
      <c r="D140" s="123"/>
      <c r="E140" s="123"/>
      <c r="F140" s="123"/>
      <c r="G140" s="123"/>
      <c r="H140" s="123"/>
      <c r="I140" s="123"/>
      <c r="J140" s="123"/>
      <c r="K140" s="123"/>
    </row>
    <row r="141" spans="1:11" x14ac:dyDescent="0.3">
      <c r="A141" s="169" t="s">
        <v>140</v>
      </c>
      <c r="B141" s="169" t="s">
        <v>141</v>
      </c>
      <c r="C141" s="169" t="s">
        <v>6</v>
      </c>
      <c r="D141" s="180"/>
      <c r="E141" s="90" t="s">
        <v>142</v>
      </c>
    </row>
    <row r="142" spans="1:11" x14ac:dyDescent="0.3">
      <c r="A142" s="142" t="s">
        <v>143</v>
      </c>
      <c r="B142" s="143">
        <v>400101</v>
      </c>
      <c r="C142" s="84" t="s">
        <v>144</v>
      </c>
      <c r="D142" s="125"/>
    </row>
    <row r="143" spans="1:11" x14ac:dyDescent="0.3">
      <c r="A143" s="142" t="s">
        <v>145</v>
      </c>
      <c r="B143" s="143">
        <v>222039</v>
      </c>
      <c r="C143" s="84" t="s">
        <v>144</v>
      </c>
      <c r="D143" s="125"/>
    </row>
    <row r="144" spans="1:11" x14ac:dyDescent="0.3">
      <c r="A144" s="142" t="s">
        <v>146</v>
      </c>
      <c r="B144" s="143">
        <v>1706</v>
      </c>
      <c r="C144" s="84" t="s">
        <v>144</v>
      </c>
      <c r="D144" s="125"/>
      <c r="F144" s="144"/>
    </row>
    <row r="145" spans="1:6" x14ac:dyDescent="0.3">
      <c r="A145" s="181" t="s">
        <v>147</v>
      </c>
      <c r="B145" s="182">
        <f>SUM(B142:B144)</f>
        <v>623846</v>
      </c>
      <c r="C145" s="146" t="s">
        <v>144</v>
      </c>
      <c r="D145" s="183"/>
      <c r="F145" s="144"/>
    </row>
    <row r="146" spans="1:6" x14ac:dyDescent="0.3">
      <c r="A146" s="147"/>
      <c r="B146" s="146"/>
      <c r="C146" s="146"/>
      <c r="D146" s="125"/>
      <c r="F146" s="144"/>
    </row>
    <row r="147" spans="1:6" x14ac:dyDescent="0.3">
      <c r="A147" s="169" t="s">
        <v>148</v>
      </c>
      <c r="B147" s="169" t="s">
        <v>141</v>
      </c>
      <c r="C147" s="169" t="s">
        <v>6</v>
      </c>
      <c r="D147" s="125"/>
      <c r="F147" s="144"/>
    </row>
    <row r="148" spans="1:6" x14ac:dyDescent="0.3">
      <c r="A148" s="142" t="s">
        <v>149</v>
      </c>
      <c r="B148" s="124">
        <v>0</v>
      </c>
      <c r="C148" s="84" t="s">
        <v>144</v>
      </c>
      <c r="D148" s="125"/>
      <c r="F148" s="144"/>
    </row>
    <row r="149" spans="1:6" x14ac:dyDescent="0.3">
      <c r="A149" s="142" t="s">
        <v>150</v>
      </c>
      <c r="B149" s="124">
        <v>0</v>
      </c>
      <c r="C149" s="84" t="s">
        <v>144</v>
      </c>
      <c r="D149" s="125"/>
      <c r="F149" s="144"/>
    </row>
    <row r="150" spans="1:6" x14ac:dyDescent="0.3">
      <c r="A150" s="181" t="s">
        <v>147</v>
      </c>
      <c r="B150" s="184">
        <f>SUM(B148:B149)</f>
        <v>0</v>
      </c>
      <c r="D150" s="125"/>
      <c r="F150" s="144"/>
    </row>
    <row r="151" spans="1:6" x14ac:dyDescent="0.3">
      <c r="A151" s="149" t="s">
        <v>151</v>
      </c>
      <c r="B151" s="183" t="s">
        <v>141</v>
      </c>
      <c r="C151" s="183" t="s">
        <v>6</v>
      </c>
      <c r="D151" s="125"/>
      <c r="F151" s="144"/>
    </row>
    <row r="152" spans="1:6" x14ac:dyDescent="0.3">
      <c r="A152" s="142" t="s">
        <v>152</v>
      </c>
      <c r="B152" s="185" t="s">
        <v>153</v>
      </c>
      <c r="C152" s="186" t="s">
        <v>154</v>
      </c>
      <c r="D152" s="185" t="s">
        <v>155</v>
      </c>
      <c r="F152" s="144"/>
    </row>
    <row r="153" spans="1:6" x14ac:dyDescent="0.3">
      <c r="A153" s="145"/>
      <c r="B153" s="124">
        <f>+'Oct 2015'!C153</f>
        <v>27149582</v>
      </c>
      <c r="C153" s="124">
        <v>27316984</v>
      </c>
      <c r="D153" s="144">
        <f>C153-B153</f>
        <v>167402</v>
      </c>
      <c r="E153" s="125"/>
      <c r="F153" s="144"/>
    </row>
    <row r="154" spans="1:6" x14ac:dyDescent="0.3">
      <c r="A154" s="145"/>
      <c r="B154" s="125"/>
      <c r="C154" s="84" t="s">
        <v>144</v>
      </c>
      <c r="D154" s="100">
        <f>SUM(D153)</f>
        <v>167402</v>
      </c>
      <c r="E154" s="125"/>
      <c r="F154" s="144"/>
    </row>
    <row r="155" spans="1:6" x14ac:dyDescent="0.3">
      <c r="A155" s="142" t="s">
        <v>156</v>
      </c>
      <c r="B155" s="185" t="s">
        <v>153</v>
      </c>
      <c r="C155" s="186" t="s">
        <v>154</v>
      </c>
      <c r="D155" s="185" t="s">
        <v>155</v>
      </c>
      <c r="F155" s="144"/>
    </row>
    <row r="156" spans="1:6" x14ac:dyDescent="0.3">
      <c r="A156" s="145"/>
      <c r="B156" s="124">
        <f>+'Oct 2015'!C156</f>
        <v>4779591.5</v>
      </c>
      <c r="C156" s="124">
        <v>4815533.5</v>
      </c>
      <c r="D156" s="144">
        <f>C156-B156</f>
        <v>35942</v>
      </c>
      <c r="E156" s="125"/>
      <c r="F156" s="144"/>
    </row>
    <row r="157" spans="1:6" x14ac:dyDescent="0.3">
      <c r="A157" s="145"/>
      <c r="B157" s="125"/>
      <c r="C157" s="84" t="s">
        <v>144</v>
      </c>
      <c r="D157" s="100">
        <f>D156</f>
        <v>35942</v>
      </c>
      <c r="E157" s="125"/>
      <c r="F157" s="144"/>
    </row>
    <row r="158" spans="1:6" x14ac:dyDescent="0.3">
      <c r="A158" s="142" t="s">
        <v>187</v>
      </c>
      <c r="B158" s="185" t="s">
        <v>153</v>
      </c>
      <c r="C158" s="186" t="s">
        <v>154</v>
      </c>
      <c r="D158" s="185" t="s">
        <v>155</v>
      </c>
      <c r="E158" s="125"/>
      <c r="F158" s="144"/>
    </row>
    <row r="159" spans="1:6" x14ac:dyDescent="0.3">
      <c r="A159" s="145"/>
      <c r="B159" s="124">
        <f>+'Oct 2015'!C159</f>
        <v>5183833.5</v>
      </c>
      <c r="C159" s="124">
        <v>5192208.5</v>
      </c>
      <c r="D159" s="144">
        <f>C159-B159</f>
        <v>8375</v>
      </c>
      <c r="E159" s="125"/>
      <c r="F159" s="144"/>
    </row>
    <row r="160" spans="1:6" x14ac:dyDescent="0.3">
      <c r="A160" s="145"/>
      <c r="B160" s="125"/>
      <c r="C160" s="84" t="s">
        <v>144</v>
      </c>
      <c r="D160" s="100">
        <f>D159</f>
        <v>8375</v>
      </c>
      <c r="E160" s="125"/>
      <c r="F160" s="144"/>
    </row>
    <row r="161" spans="1:11" x14ac:dyDescent="0.3">
      <c r="A161" s="145"/>
      <c r="B161" s="125"/>
      <c r="D161" s="101"/>
      <c r="E161" s="125"/>
      <c r="F161" s="144"/>
    </row>
    <row r="162" spans="1:11" x14ac:dyDescent="0.3">
      <c r="A162" s="145"/>
      <c r="B162" s="125"/>
      <c r="C162" s="125"/>
      <c r="D162" s="101"/>
      <c r="E162" s="125"/>
      <c r="F162" s="144"/>
    </row>
    <row r="163" spans="1:11" x14ac:dyDescent="0.3">
      <c r="A163" s="181" t="s">
        <v>157</v>
      </c>
      <c r="B163" s="187">
        <f>D157+D154+D160</f>
        <v>211719</v>
      </c>
      <c r="C163" s="84" t="s">
        <v>144</v>
      </c>
      <c r="D163" s="125"/>
      <c r="F163" s="144"/>
    </row>
    <row r="164" spans="1:11" x14ac:dyDescent="0.3">
      <c r="F164" s="144"/>
    </row>
    <row r="165" spans="1:11" x14ac:dyDescent="0.3">
      <c r="A165" s="188" t="s">
        <v>158</v>
      </c>
      <c r="B165" s="200">
        <f>B145+B150+B163</f>
        <v>835565</v>
      </c>
      <c r="C165" s="189" t="s">
        <v>144</v>
      </c>
      <c r="D165" s="146"/>
      <c r="F165" s="144"/>
    </row>
    <row r="168" spans="1:11" x14ac:dyDescent="0.3">
      <c r="A168" s="159" t="s">
        <v>159</v>
      </c>
      <c r="B168" s="123"/>
      <c r="C168" s="123"/>
      <c r="D168" s="123"/>
      <c r="E168" s="123"/>
      <c r="F168" s="123"/>
      <c r="G168" s="123"/>
      <c r="H168" s="123"/>
      <c r="I168" s="123"/>
      <c r="J168" s="123"/>
      <c r="K168" s="123"/>
    </row>
    <row r="169" spans="1:11" x14ac:dyDescent="0.3">
      <c r="B169" s="146" t="s">
        <v>160</v>
      </c>
      <c r="C169" s="146" t="s">
        <v>161</v>
      </c>
    </row>
    <row r="170" spans="1:11" x14ac:dyDescent="0.3">
      <c r="A170" s="84" t="s">
        <v>162</v>
      </c>
      <c r="B170" s="124">
        <v>13097000</v>
      </c>
      <c r="C170" s="88">
        <f>B170/1000</f>
        <v>13097</v>
      </c>
      <c r="D170" s="84" t="s">
        <v>163</v>
      </c>
    </row>
    <row r="173" spans="1:11" x14ac:dyDescent="0.3">
      <c r="A173" s="84" t="s">
        <v>164</v>
      </c>
    </row>
    <row r="174" spans="1:11" x14ac:dyDescent="0.3">
      <c r="A174" s="84" t="s">
        <v>165</v>
      </c>
      <c r="B174" s="124">
        <v>2330</v>
      </c>
      <c r="D174" s="456" t="s">
        <v>166</v>
      </c>
      <c r="E174" s="456"/>
      <c r="F174" s="456"/>
      <c r="G174" s="456"/>
      <c r="H174" s="456"/>
      <c r="I174" s="456"/>
    </row>
    <row r="175" spans="1:11" x14ac:dyDescent="0.3">
      <c r="D175" s="456"/>
      <c r="E175" s="456"/>
      <c r="F175" s="456"/>
      <c r="G175" s="456"/>
      <c r="H175" s="456"/>
      <c r="I175" s="456"/>
    </row>
    <row r="176" spans="1:11" x14ac:dyDescent="0.3">
      <c r="D176" s="456"/>
      <c r="E176" s="456"/>
      <c r="F176" s="456"/>
      <c r="G176" s="456"/>
      <c r="H176" s="456"/>
      <c r="I176" s="456"/>
    </row>
  </sheetData>
  <protectedRanges>
    <protectedRange sqref="G8:G25" name="UTILITY COSTS_1"/>
    <protectedRange sqref="B6" name="DATE_1"/>
    <protectedRange sqref="C50:C52" name="HP USAGE"/>
    <protectedRange sqref="C47" name="CLC USAGE"/>
    <protectedRange sqref="C74" name="Month"/>
    <protectedRange sqref="B58" name="NMSU PRODUCED"/>
    <protectedRange sqref="C59" name="PURCHASED EPE"/>
    <protectedRange sqref="E68:E69" name="GERALD THOMAS 5KV"/>
    <protectedRange sqref="E71:E72" name="BLAKES"/>
    <protectedRange sqref="B102:C103" name="COOL POOL"/>
    <protectedRange sqref="B96:C99" name="TOWER READINGS"/>
    <protectedRange sqref="B91:D92" name="WATER STEAM"/>
    <protectedRange sqref="B82:B86" name="WATER USAGE"/>
    <protectedRange sqref="B136" name="STEAM CHILLED"/>
    <protectedRange sqref="C129:C132" name="BOILERS USAGE"/>
    <protectedRange sqref="F143:F161" name="Notes"/>
    <protectedRange sqref="B142:B144" name="ELECTRIC CHILLERS"/>
    <protectedRange sqref="B148:B149" name="ABSORBERS"/>
    <protectedRange sqref="B153:C153" name="SUP CHILLER 6"/>
    <protectedRange sqref="B156:C156 B159:C159" name="SUP CHILLER 7"/>
    <protectedRange sqref="B174" name="VSEWER"/>
    <protectedRange sqref="B170" name="CLC USAGE_1"/>
  </protectedRanges>
  <mergeCells count="12">
    <mergeCell ref="F58:H58"/>
    <mergeCell ref="A74:B74"/>
    <mergeCell ref="A76:B76"/>
    <mergeCell ref="D122:I124"/>
    <mergeCell ref="D174:I176"/>
    <mergeCell ref="A68:B68"/>
    <mergeCell ref="A69:B69"/>
    <mergeCell ref="A70:B70"/>
    <mergeCell ref="A71:B71"/>
    <mergeCell ref="A72:B72"/>
    <mergeCell ref="A73:B73"/>
    <mergeCell ref="E81:J81"/>
  </mergeCells>
  <printOptions headings="1" gridLines="1"/>
  <pageMargins left="0.25" right="0.25" top="0.25" bottom="0.25" header="0.3" footer="0.3"/>
  <pageSetup scale="55" fitToHeight="2" orientation="portrait" r:id="rId1"/>
  <rowBreaks count="1" manualBreakCount="1">
    <brk id="94"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Summary</vt:lpstr>
      <vt:lpstr>June 2016</vt:lpstr>
      <vt:lpstr>May 2016</vt:lpstr>
      <vt:lpstr>Apr 2016</vt:lpstr>
      <vt:lpstr>Mar 2016</vt:lpstr>
      <vt:lpstr>Feb 2016</vt:lpstr>
      <vt:lpstr>Jan 2016</vt:lpstr>
      <vt:lpstr>Dec 2015</vt:lpstr>
      <vt:lpstr>Nov 2015</vt:lpstr>
      <vt:lpstr>Oct 2015</vt:lpstr>
      <vt:lpstr>Sept 2015</vt:lpstr>
      <vt:lpstr>Aug 2015</vt:lpstr>
      <vt:lpstr>July 2015</vt:lpstr>
      <vt:lpstr>Sheet3</vt:lpstr>
      <vt:lpstr>NMSU Energy Use Data</vt:lpstr>
      <vt:lpstr>HPG-LPG ELEC Breakout</vt:lpstr>
      <vt:lpstr>NMSU Sewer-Water Breakout</vt:lpstr>
      <vt:lpstr>NMSU Utlity Rates</vt:lpstr>
      <vt:lpstr>'Feb 2016'!Print_Area</vt:lpstr>
      <vt:lpstr>'HPG-LPG ELEC Breakout'!Print_Area</vt:lpstr>
    </vt:vector>
  </TitlesOfParts>
  <Company>New Mexico State University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Lorraine M. Silva</dc:creator>
  <cp:lastModifiedBy>Lorraine M. Silva</cp:lastModifiedBy>
  <cp:lastPrinted>2014-12-30T00:08:56Z</cp:lastPrinted>
  <dcterms:created xsi:type="dcterms:W3CDTF">2014-03-05T17:31:42Z</dcterms:created>
  <dcterms:modified xsi:type="dcterms:W3CDTF">2016-07-27T22:57:48Z</dcterms:modified>
</cp:coreProperties>
</file>