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harts/chart21.xml" ContentType="application/vnd.openxmlformats-officedocument.drawingml.chart+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Utilities Budget Info\FY19\External Payment Tracking\"/>
    </mc:Choice>
  </mc:AlternateContent>
  <bookViews>
    <workbookView xWindow="2955" yWindow="435" windowWidth="19395" windowHeight="11220" tabRatio="749" activeTab="3"/>
  </bookViews>
  <sheets>
    <sheet name="Utility Costs by FY" sheetId="12" r:id="rId1"/>
    <sheet name="EPEC KWH Comparison" sheetId="8" r:id="rId2"/>
    <sheet name="CLC DTH Comparison" sheetId="9" r:id="rId3"/>
    <sheet name="FY Comparison" sheetId="4" r:id="rId4"/>
    <sheet name="EPEC FY19 Actuals" sheetId="1" r:id="rId5"/>
    <sheet name="CLC FY19 Actuals" sheetId="2" r:id="rId6"/>
    <sheet name="Sheet1" sheetId="3" r:id="rId7"/>
    <sheet name="Sheet2" sheetId="11" r:id="rId8"/>
    <sheet name="EPEC FY19 w Accruals" sheetId="14" r:id="rId9"/>
    <sheet name="CLC FY19 w Accruals" sheetId="13" r:id="rId10"/>
  </sheets>
  <definedNames>
    <definedName name="_xlnm.Print_Area" localSheetId="4">'EPEC FY19 Actuals'!$A$1:$U$64</definedName>
    <definedName name="_xlnm.Print_Area" localSheetId="8">'EPEC FY19 w Accruals'!$A$1:$U$64</definedName>
    <definedName name="_xlnm.Print_Area" localSheetId="1">'EPEC KWH Comparison'!$A$1:$V$175</definedName>
    <definedName name="_xlnm.Print_Area" localSheetId="3">'FY Comparison'!$A$1:$L$133,'FY Comparison'!$M$1:$AW$140</definedName>
    <definedName name="_xlnm.Print_Area" localSheetId="0">'Utility Costs by FY'!$A$1:$G$55</definedName>
    <definedName name="_xlnm.Print_Titles" localSheetId="1">'EPEC KWH Comparison'!$1:$4</definedName>
    <definedName name="_xlnm.Print_Titles" localSheetId="3">'FY Comparison'!$1:$4</definedName>
  </definedNames>
  <calcPr calcId="162913"/>
</workbook>
</file>

<file path=xl/calcChain.xml><?xml version="1.0" encoding="utf-8"?>
<calcChain xmlns="http://schemas.openxmlformats.org/spreadsheetml/2006/main">
  <c r="U47" i="14" l="1"/>
  <c r="U40" i="14"/>
  <c r="S35" i="14"/>
  <c r="H35" i="14"/>
  <c r="G35" i="14"/>
  <c r="S34" i="14"/>
  <c r="R34" i="14"/>
  <c r="Q34" i="14"/>
  <c r="P34" i="14"/>
  <c r="O34" i="14"/>
  <c r="N34" i="14"/>
  <c r="M34" i="14"/>
  <c r="M35" i="14" s="1"/>
  <c r="L34" i="14"/>
  <c r="K34" i="14"/>
  <c r="J34" i="14"/>
  <c r="I34" i="14"/>
  <c r="H34" i="14"/>
  <c r="G34" i="14"/>
  <c r="F34" i="14"/>
  <c r="E34" i="14"/>
  <c r="D34" i="14"/>
  <c r="C34" i="14"/>
  <c r="B34" i="14"/>
  <c r="B35" i="14" s="1"/>
  <c r="S28" i="14"/>
  <c r="R28" i="14"/>
  <c r="R35" i="14" s="1"/>
  <c r="M28" i="14"/>
  <c r="K28" i="14"/>
  <c r="K35" i="14" s="1"/>
  <c r="J28" i="14"/>
  <c r="J35" i="14" s="1"/>
  <c r="I28" i="14"/>
  <c r="I35" i="14" s="1"/>
  <c r="H28" i="14"/>
  <c r="G28" i="14"/>
  <c r="F28" i="14"/>
  <c r="F35" i="14" s="1"/>
  <c r="B28" i="14"/>
  <c r="T26" i="14"/>
  <c r="T28" i="14" s="1"/>
  <c r="S26" i="14"/>
  <c r="Q26" i="14"/>
  <c r="Q28" i="14" s="1"/>
  <c r="Q35" i="14" s="1"/>
  <c r="P26" i="14"/>
  <c r="P28" i="14" s="1"/>
  <c r="P35" i="14" s="1"/>
  <c r="O26" i="14"/>
  <c r="O28" i="14" s="1"/>
  <c r="O35" i="14" s="1"/>
  <c r="N26" i="14"/>
  <c r="N28" i="14" s="1"/>
  <c r="N35" i="14" s="1"/>
  <c r="L26" i="14"/>
  <c r="L28" i="14" s="1"/>
  <c r="L35" i="14" s="1"/>
  <c r="K26" i="14"/>
  <c r="J26" i="14"/>
  <c r="I26" i="14"/>
  <c r="H26" i="14"/>
  <c r="G26" i="14"/>
  <c r="F26" i="14"/>
  <c r="E26" i="14"/>
  <c r="E28" i="14" s="1"/>
  <c r="E35" i="14" s="1"/>
  <c r="D26" i="14"/>
  <c r="D28" i="14" s="1"/>
  <c r="D35" i="14" s="1"/>
  <c r="C26" i="14"/>
  <c r="C28" i="14" s="1"/>
  <c r="U25" i="14"/>
  <c r="U24" i="14"/>
  <c r="U23" i="14"/>
  <c r="U22" i="14"/>
  <c r="U21" i="14"/>
  <c r="U20" i="14"/>
  <c r="U19" i="14"/>
  <c r="U18" i="14"/>
  <c r="U17" i="14"/>
  <c r="U16" i="14"/>
  <c r="U15" i="14"/>
  <c r="L26" i="13"/>
  <c r="K26" i="13"/>
  <c r="J26" i="13"/>
  <c r="I26" i="13"/>
  <c r="H26" i="13"/>
  <c r="G26" i="13"/>
  <c r="F26" i="13"/>
  <c r="E26" i="13"/>
  <c r="D26" i="13"/>
  <c r="C26" i="13"/>
  <c r="B26" i="13"/>
  <c r="M24" i="13"/>
  <c r="M23" i="13"/>
  <c r="M22" i="13"/>
  <c r="M21" i="13"/>
  <c r="M20" i="13"/>
  <c r="M19" i="13"/>
  <c r="M18" i="13"/>
  <c r="M17" i="13"/>
  <c r="M16" i="13"/>
  <c r="M15" i="13"/>
  <c r="M26" i="13" s="1"/>
  <c r="M14" i="13"/>
  <c r="M13" i="13"/>
  <c r="C35" i="14" l="1"/>
  <c r="U28" i="14"/>
  <c r="U41" i="14" s="1"/>
  <c r="U26" i="14"/>
  <c r="U25" i="1" l="1"/>
  <c r="U26" i="1"/>
  <c r="X18" i="8" l="1"/>
  <c r="Y18" i="8"/>
  <c r="I37" i="12" l="1"/>
  <c r="I35" i="12"/>
  <c r="I30" i="12"/>
  <c r="I25" i="12"/>
  <c r="E24" i="12"/>
  <c r="F24" i="12" l="1"/>
  <c r="H24" i="12" l="1"/>
  <c r="H23" i="12"/>
  <c r="G24" i="12"/>
  <c r="P56" i="9" l="1"/>
  <c r="P55" i="9"/>
  <c r="P54" i="9"/>
  <c r="H13" i="12" l="1"/>
  <c r="H29" i="12"/>
  <c r="H26" i="12"/>
  <c r="H27" i="12"/>
  <c r="G27" i="12"/>
  <c r="F27" i="12"/>
  <c r="H20" i="12"/>
  <c r="G20" i="12"/>
  <c r="F20" i="12"/>
  <c r="H18" i="12"/>
  <c r="G18" i="12"/>
  <c r="H16" i="12"/>
  <c r="G16" i="12"/>
  <c r="F16" i="12"/>
  <c r="H14" i="12"/>
  <c r="G14" i="12"/>
  <c r="H11" i="12"/>
  <c r="Y11" i="8" l="1"/>
  <c r="Y10" i="8"/>
  <c r="Y9" i="8"/>
  <c r="Y8" i="8"/>
  <c r="Y7" i="8"/>
  <c r="X11" i="8"/>
  <c r="X10" i="8"/>
  <c r="X9" i="8"/>
  <c r="X8" i="8"/>
  <c r="X7" i="8"/>
  <c r="X32" i="8"/>
  <c r="G26" i="12" l="1"/>
  <c r="F26" i="12"/>
  <c r="E26" i="12"/>
  <c r="O9" i="8" l="1"/>
  <c r="U8" i="8" l="1"/>
  <c r="D25" i="4" l="1"/>
  <c r="C25" i="4"/>
  <c r="C24" i="4"/>
  <c r="D24" i="4"/>
  <c r="E24" i="4"/>
  <c r="F25" i="4"/>
  <c r="F24" i="4"/>
  <c r="I24" i="4"/>
  <c r="H24" i="4"/>
  <c r="G24" i="4"/>
  <c r="G50" i="4"/>
  <c r="C126" i="4"/>
  <c r="C128" i="4" s="1"/>
  <c r="C103" i="4"/>
  <c r="C101" i="4"/>
  <c r="C78" i="4"/>
  <c r="C75" i="4"/>
  <c r="C54" i="4"/>
  <c r="C52" i="4"/>
  <c r="C49" i="4"/>
  <c r="C51" i="4" s="1"/>
  <c r="C23" i="4"/>
  <c r="C26" i="4" s="1"/>
  <c r="C77" i="4" l="1"/>
  <c r="P22" i="8" l="1"/>
  <c r="L20" i="8"/>
  <c r="I20" i="8"/>
  <c r="F20" i="8"/>
  <c r="V19" i="8"/>
  <c r="S19" i="8"/>
  <c r="R19" i="8"/>
  <c r="R22" i="8" s="1"/>
  <c r="L19" i="8"/>
  <c r="L22" i="8" s="1"/>
  <c r="I19" i="8"/>
  <c r="I22" i="8" s="1"/>
  <c r="F19" i="8"/>
  <c r="F22" i="8" s="1"/>
  <c r="E19" i="8"/>
  <c r="E22" i="8" s="1"/>
  <c r="D19" i="8"/>
  <c r="D22" i="8" s="1"/>
  <c r="O18" i="8"/>
  <c r="N18" i="8"/>
  <c r="K18" i="8"/>
  <c r="H18" i="8"/>
  <c r="O17" i="8"/>
  <c r="N17" i="8"/>
  <c r="K17" i="8"/>
  <c r="H17" i="8"/>
  <c r="O16" i="8"/>
  <c r="N16" i="8"/>
  <c r="K16" i="8"/>
  <c r="H16" i="8"/>
  <c r="O15" i="8"/>
  <c r="N15" i="8"/>
  <c r="K15" i="8"/>
  <c r="H15" i="8"/>
  <c r="O14" i="8"/>
  <c r="N14" i="8"/>
  <c r="K14" i="8"/>
  <c r="O13" i="8"/>
  <c r="N13" i="8"/>
  <c r="K13" i="8"/>
  <c r="H13" i="8"/>
  <c r="O12" i="8"/>
  <c r="N12" i="8"/>
  <c r="K12" i="8"/>
  <c r="H12" i="8"/>
  <c r="O11" i="8"/>
  <c r="N11" i="8"/>
  <c r="K11" i="8"/>
  <c r="O10" i="8"/>
  <c r="N10" i="8"/>
  <c r="K10" i="8"/>
  <c r="H10" i="8"/>
  <c r="N9" i="8"/>
  <c r="K9" i="8"/>
  <c r="H9" i="8"/>
  <c r="O8" i="8"/>
  <c r="N8" i="8"/>
  <c r="K8" i="8"/>
  <c r="H8" i="8"/>
  <c r="O7" i="8"/>
  <c r="N7" i="8"/>
  <c r="K7" i="8"/>
  <c r="H7" i="8"/>
  <c r="B22" i="9"/>
  <c r="N21" i="9"/>
  <c r="M21" i="9"/>
  <c r="L21" i="9"/>
  <c r="K21" i="9"/>
  <c r="J21" i="9"/>
  <c r="I21" i="9"/>
  <c r="H21" i="9"/>
  <c r="G21" i="9"/>
  <c r="F21" i="9"/>
  <c r="E21" i="9"/>
  <c r="D21" i="9"/>
  <c r="C21" i="9"/>
  <c r="R20" i="9"/>
  <c r="Q20" i="9"/>
  <c r="P20" i="9"/>
  <c r="O20" i="9"/>
  <c r="R19" i="9"/>
  <c r="Q19" i="9"/>
  <c r="P19" i="9"/>
  <c r="O19" i="9"/>
  <c r="R18" i="9"/>
  <c r="Q18" i="9"/>
  <c r="P18" i="9"/>
  <c r="O18" i="9"/>
  <c r="R17" i="9"/>
  <c r="Q17" i="9"/>
  <c r="P17" i="9"/>
  <c r="O17" i="9"/>
  <c r="R16" i="9"/>
  <c r="Q16" i="9"/>
  <c r="P16" i="9"/>
  <c r="O16" i="9"/>
  <c r="R15" i="9"/>
  <c r="Q15" i="9"/>
  <c r="P15" i="9"/>
  <c r="O15" i="9"/>
  <c r="R14" i="9"/>
  <c r="Q14" i="9"/>
  <c r="P14" i="9"/>
  <c r="O14" i="9"/>
  <c r="R13" i="9"/>
  <c r="Q13" i="9"/>
  <c r="P13" i="9"/>
  <c r="O13" i="9"/>
  <c r="R12" i="9"/>
  <c r="Q12" i="9"/>
  <c r="P12" i="9"/>
  <c r="O12" i="9"/>
  <c r="R11" i="9"/>
  <c r="Q11" i="9"/>
  <c r="P11" i="9"/>
  <c r="O11" i="9"/>
  <c r="R10" i="9"/>
  <c r="Q10" i="9"/>
  <c r="P10" i="9"/>
  <c r="O10" i="9"/>
  <c r="R9" i="9"/>
  <c r="Q9" i="9"/>
  <c r="P9" i="9"/>
  <c r="O9" i="9"/>
  <c r="U18" i="8" l="1"/>
  <c r="Q17" i="8"/>
  <c r="X17" i="8"/>
  <c r="U17" i="8"/>
  <c r="P21" i="9"/>
  <c r="P24" i="9" s="1"/>
  <c r="X16" i="8"/>
  <c r="U16" i="8"/>
  <c r="Q15" i="8"/>
  <c r="X15" i="8"/>
  <c r="U15" i="8"/>
  <c r="X14" i="8"/>
  <c r="U14" i="8"/>
  <c r="Q13" i="8"/>
  <c r="X13" i="8"/>
  <c r="U13" i="8"/>
  <c r="X12" i="8"/>
  <c r="U12" i="8"/>
  <c r="U11" i="8"/>
  <c r="U10" i="8"/>
  <c r="Q9" i="8"/>
  <c r="U9" i="8"/>
  <c r="O21" i="9"/>
  <c r="O23" i="9" s="1"/>
  <c r="R21" i="9"/>
  <c r="R23" i="9" s="1"/>
  <c r="N19" i="8"/>
  <c r="N22" i="8" s="1"/>
  <c r="K20" i="8"/>
  <c r="K19" i="8"/>
  <c r="H20" i="8"/>
  <c r="Q8" i="8"/>
  <c r="W8" i="8" s="1"/>
  <c r="Q12" i="8"/>
  <c r="Q11" i="8"/>
  <c r="O19" i="8"/>
  <c r="O22" i="8" s="1"/>
  <c r="Q16" i="8"/>
  <c r="Q10" i="8"/>
  <c r="Q14" i="8"/>
  <c r="W11" i="8"/>
  <c r="Q18" i="8"/>
  <c r="Q7" i="8"/>
  <c r="W7" i="8" s="1"/>
  <c r="H19" i="8"/>
  <c r="N20" i="8"/>
  <c r="O20" i="8"/>
  <c r="Q21" i="9"/>
  <c r="Q23" i="9" s="1"/>
  <c r="W17" i="8" l="1"/>
  <c r="Y17" i="8" s="1"/>
  <c r="P23" i="9"/>
  <c r="W16" i="8"/>
  <c r="Y16" i="8" s="1"/>
  <c r="W15" i="8"/>
  <c r="Y15" i="8" s="1"/>
  <c r="W14" i="8"/>
  <c r="Y14" i="8" s="1"/>
  <c r="W13" i="8"/>
  <c r="Y13" i="8" s="1"/>
  <c r="W12" i="8"/>
  <c r="Y12" i="8" s="1"/>
  <c r="W10" i="8"/>
  <c r="W9" i="8"/>
  <c r="N23" i="8"/>
  <c r="W18" i="8"/>
  <c r="X19" i="8"/>
  <c r="Q19" i="8"/>
  <c r="Q20" i="8"/>
  <c r="U43" i="8"/>
  <c r="W20" i="8" l="1"/>
  <c r="W19" i="8"/>
  <c r="W22" i="8" s="1"/>
  <c r="W42" i="8"/>
  <c r="W32" i="8"/>
  <c r="W33" i="8"/>
  <c r="W34" i="8"/>
  <c r="W35" i="8"/>
  <c r="W36" i="8"/>
  <c r="W37" i="8"/>
  <c r="W38" i="8"/>
  <c r="W39" i="8"/>
  <c r="W40" i="8"/>
  <c r="W41" i="8"/>
  <c r="U42" i="8"/>
  <c r="Y19" i="8" l="1"/>
  <c r="X41" i="8"/>
  <c r="U41" i="8"/>
  <c r="N68" i="9" l="1"/>
  <c r="L69" i="9"/>
  <c r="F26" i="2"/>
  <c r="E26" i="2"/>
  <c r="P38" i="9"/>
  <c r="P37" i="9"/>
  <c r="P36" i="9"/>
  <c r="P35" i="9"/>
  <c r="P34" i="9"/>
  <c r="P43" i="9"/>
  <c r="O43" i="9"/>
  <c r="P42" i="9"/>
  <c r="O42" i="9"/>
  <c r="P41" i="9"/>
  <c r="O41" i="9"/>
  <c r="P40" i="9"/>
  <c r="O40" i="9"/>
  <c r="O39" i="9"/>
  <c r="P39" i="9"/>
  <c r="R43" i="9"/>
  <c r="Q43" i="9"/>
  <c r="R42" i="9"/>
  <c r="Q42" i="9"/>
  <c r="R41" i="9"/>
  <c r="Q41" i="9"/>
  <c r="R40" i="9"/>
  <c r="Q40" i="9"/>
  <c r="Q38" i="9"/>
  <c r="Q37" i="9"/>
  <c r="Q36" i="9"/>
  <c r="Q35" i="9"/>
  <c r="Q34" i="9"/>
  <c r="R38" i="9"/>
  <c r="R37" i="9"/>
  <c r="R36" i="9"/>
  <c r="R35" i="9"/>
  <c r="R34" i="9"/>
  <c r="R39" i="9"/>
  <c r="Q39" i="9"/>
  <c r="U39" i="8" l="1"/>
  <c r="U38" i="8"/>
  <c r="U40" i="8"/>
  <c r="U171" i="8" l="1"/>
  <c r="U170" i="8"/>
  <c r="U169" i="8"/>
  <c r="U168" i="8"/>
  <c r="U167" i="8"/>
  <c r="U166" i="8"/>
  <c r="U165" i="8"/>
  <c r="U164" i="8"/>
  <c r="U163" i="8"/>
  <c r="U162" i="8"/>
  <c r="U161" i="8"/>
  <c r="U160" i="8"/>
  <c r="U172" i="8" s="1"/>
  <c r="U175" i="8" s="1"/>
  <c r="U151" i="8"/>
  <c r="U150" i="8"/>
  <c r="U149" i="8"/>
  <c r="U148" i="8"/>
  <c r="U147" i="8"/>
  <c r="U146" i="8"/>
  <c r="U145" i="8"/>
  <c r="U144" i="8"/>
  <c r="U143" i="8"/>
  <c r="U142" i="8"/>
  <c r="U141" i="8"/>
  <c r="U140" i="8"/>
  <c r="U153" i="8" s="1"/>
  <c r="U131" i="8"/>
  <c r="U130" i="8"/>
  <c r="U129" i="8"/>
  <c r="U128" i="8"/>
  <c r="U127" i="8"/>
  <c r="U126" i="8"/>
  <c r="U125" i="8"/>
  <c r="U124" i="8"/>
  <c r="U123" i="8"/>
  <c r="U122" i="8"/>
  <c r="U121" i="8"/>
  <c r="U120" i="8"/>
  <c r="U133" i="8" s="1"/>
  <c r="Y37" i="8"/>
  <c r="Y36" i="8"/>
  <c r="Y35" i="8"/>
  <c r="Y34" i="8"/>
  <c r="Y33" i="8"/>
  <c r="Y32" i="8"/>
  <c r="W55" i="8"/>
  <c r="W67" i="8"/>
  <c r="W66" i="8"/>
  <c r="W65" i="8"/>
  <c r="W64" i="8"/>
  <c r="W63" i="8"/>
  <c r="W62" i="8"/>
  <c r="W61" i="8"/>
  <c r="W60" i="8"/>
  <c r="W59" i="8"/>
  <c r="W58" i="8"/>
  <c r="W57" i="8"/>
  <c r="W56" i="8"/>
  <c r="W89" i="8"/>
  <c r="W88" i="8"/>
  <c r="W87" i="8"/>
  <c r="W86" i="8"/>
  <c r="W85" i="8"/>
  <c r="W84" i="8"/>
  <c r="W83" i="8"/>
  <c r="W82" i="8"/>
  <c r="W81" i="8"/>
  <c r="W80" i="8"/>
  <c r="W79" i="8"/>
  <c r="W78" i="8"/>
  <c r="W77" i="8"/>
  <c r="V77" i="8"/>
  <c r="U110" i="8"/>
  <c r="U109" i="8"/>
  <c r="U108" i="8"/>
  <c r="U107" i="8"/>
  <c r="U106" i="8"/>
  <c r="U105" i="8"/>
  <c r="U104" i="8"/>
  <c r="U103" i="8"/>
  <c r="U102" i="8"/>
  <c r="U101" i="8"/>
  <c r="U100" i="8"/>
  <c r="U99" i="8"/>
  <c r="U112" i="8" s="1"/>
  <c r="U88" i="8"/>
  <c r="U87" i="8"/>
  <c r="U86" i="8"/>
  <c r="U85" i="8"/>
  <c r="U84" i="8"/>
  <c r="U83" i="8"/>
  <c r="U82" i="8"/>
  <c r="U81" i="8"/>
  <c r="U80" i="8"/>
  <c r="U79" i="8"/>
  <c r="U78" i="8"/>
  <c r="U77" i="8"/>
  <c r="U90" i="8" s="1"/>
  <c r="U66" i="8"/>
  <c r="U65" i="8"/>
  <c r="U64" i="8"/>
  <c r="U63" i="8"/>
  <c r="U62" i="8"/>
  <c r="U61" i="8"/>
  <c r="U60" i="8"/>
  <c r="U59" i="8"/>
  <c r="U58" i="8"/>
  <c r="U57" i="8"/>
  <c r="U56" i="8"/>
  <c r="U55" i="8"/>
  <c r="V44" i="8"/>
  <c r="U173" i="8" l="1"/>
  <c r="U152" i="8"/>
  <c r="U155" i="8" s="1"/>
  <c r="U132" i="8"/>
  <c r="U135" i="8" s="1"/>
  <c r="U111" i="8"/>
  <c r="U114" i="8" s="1"/>
  <c r="U89" i="8"/>
  <c r="U92" i="8" s="1"/>
  <c r="B39" i="4"/>
  <c r="E27" i="12" l="1"/>
  <c r="G13" i="12"/>
  <c r="G8" i="12"/>
  <c r="G9" i="12"/>
  <c r="G29" i="12" l="1"/>
  <c r="F29" i="12"/>
  <c r="G11" i="12"/>
  <c r="F11" i="12" l="1"/>
  <c r="I53" i="12" l="1"/>
  <c r="I51" i="12"/>
  <c r="I45" i="12"/>
  <c r="I43" i="12"/>
  <c r="B47" i="4" l="1"/>
  <c r="B46" i="4"/>
  <c r="B45" i="4"/>
  <c r="B44" i="4"/>
  <c r="B43" i="4"/>
  <c r="B42" i="4"/>
  <c r="B41" i="4"/>
  <c r="B40" i="4"/>
  <c r="B38" i="4"/>
  <c r="B37" i="4"/>
  <c r="B36" i="4"/>
  <c r="M16" i="2"/>
  <c r="M13" i="2"/>
  <c r="P32" i="9"/>
  <c r="O38" i="9"/>
  <c r="O37" i="9"/>
  <c r="O36" i="9"/>
  <c r="O35" i="9"/>
  <c r="O34" i="9"/>
  <c r="O33" i="9"/>
  <c r="O32" i="9"/>
  <c r="N44" i="9"/>
  <c r="M44" i="9"/>
  <c r="L44" i="9"/>
  <c r="K44" i="9"/>
  <c r="O44" i="9" l="1"/>
  <c r="O46" i="9" s="1"/>
  <c r="B45" i="9" l="1"/>
  <c r="J44" i="9"/>
  <c r="I44" i="9"/>
  <c r="H44" i="9"/>
  <c r="G44" i="9"/>
  <c r="F44" i="9"/>
  <c r="E44" i="9"/>
  <c r="D44" i="9"/>
  <c r="C44" i="9"/>
  <c r="R33" i="9"/>
  <c r="Q33" i="9"/>
  <c r="P33" i="9"/>
  <c r="R32" i="9"/>
  <c r="Q32" i="9"/>
  <c r="P47" i="8"/>
  <c r="L45" i="8"/>
  <c r="I45" i="8"/>
  <c r="F45" i="8"/>
  <c r="S44" i="8"/>
  <c r="R44" i="8"/>
  <c r="L44" i="8"/>
  <c r="I44" i="8"/>
  <c r="F44" i="8"/>
  <c r="E44" i="8"/>
  <c r="D44" i="8"/>
  <c r="O43" i="8"/>
  <c r="N43" i="8"/>
  <c r="K43" i="8"/>
  <c r="H43" i="8"/>
  <c r="O42" i="8"/>
  <c r="Q42" i="8" s="1"/>
  <c r="N42" i="8"/>
  <c r="K42" i="8"/>
  <c r="H42" i="8"/>
  <c r="O41" i="8"/>
  <c r="N41" i="8"/>
  <c r="K41" i="8"/>
  <c r="H41" i="8"/>
  <c r="O40" i="8"/>
  <c r="N40" i="8"/>
  <c r="K40" i="8"/>
  <c r="H40" i="8"/>
  <c r="O39" i="8"/>
  <c r="N39" i="8"/>
  <c r="K39" i="8"/>
  <c r="O38" i="8"/>
  <c r="N38" i="8"/>
  <c r="K38" i="8"/>
  <c r="H38" i="8"/>
  <c r="O37" i="8"/>
  <c r="N37" i="8"/>
  <c r="K37" i="8"/>
  <c r="H37" i="8"/>
  <c r="O36" i="8"/>
  <c r="N36" i="8"/>
  <c r="K36" i="8"/>
  <c r="H36" i="8"/>
  <c r="O35" i="8"/>
  <c r="N35" i="8"/>
  <c r="K35" i="8"/>
  <c r="H35" i="8"/>
  <c r="O34" i="8"/>
  <c r="N34" i="8"/>
  <c r="K34" i="8"/>
  <c r="H34" i="8"/>
  <c r="O33" i="8"/>
  <c r="N33" i="8"/>
  <c r="K33" i="8"/>
  <c r="H33" i="8"/>
  <c r="O32" i="8"/>
  <c r="N32" i="8"/>
  <c r="K32" i="8"/>
  <c r="H32" i="8"/>
  <c r="D126" i="4"/>
  <c r="D101" i="4"/>
  <c r="D75" i="4"/>
  <c r="D49" i="4"/>
  <c r="D23" i="4"/>
  <c r="D54" i="4" s="1"/>
  <c r="Y42" i="8" l="1"/>
  <c r="P44" i="9"/>
  <c r="R44" i="9"/>
  <c r="R46" i="9" s="1"/>
  <c r="Q44" i="9"/>
  <c r="Q46" i="9" s="1"/>
  <c r="N44" i="8"/>
  <c r="N48" i="8" s="1"/>
  <c r="Q40" i="8"/>
  <c r="Y40" i="8" s="1"/>
  <c r="K45" i="8"/>
  <c r="Q39" i="8"/>
  <c r="Y39" i="8" s="1"/>
  <c r="Q41" i="8"/>
  <c r="Y41" i="8" s="1"/>
  <c r="Q43" i="8"/>
  <c r="W43" i="8" s="1"/>
  <c r="Y43" i="8" s="1"/>
  <c r="H44" i="8"/>
  <c r="O44" i="8"/>
  <c r="Q32" i="8"/>
  <c r="Q33" i="8"/>
  <c r="Q34" i="8"/>
  <c r="Q35" i="8"/>
  <c r="Q36" i="8"/>
  <c r="Q37" i="8"/>
  <c r="Q38" i="8"/>
  <c r="Y38" i="8" s="1"/>
  <c r="K44" i="8"/>
  <c r="H45" i="8"/>
  <c r="N45" i="8"/>
  <c r="O45" i="8"/>
  <c r="P46" i="9" l="1"/>
  <c r="P47" i="9"/>
  <c r="W44" i="8"/>
  <c r="W45" i="8"/>
  <c r="Q45" i="8"/>
  <c r="Q44" i="8"/>
  <c r="M24" i="2"/>
  <c r="W47" i="8" l="1"/>
  <c r="Y44" i="8"/>
  <c r="U24" i="1"/>
  <c r="U40" i="1"/>
  <c r="O56" i="8" l="1"/>
  <c r="X33" i="8" s="1"/>
  <c r="N56" i="8"/>
  <c r="K56" i="8"/>
  <c r="H56" i="8"/>
  <c r="B11" i="4"/>
  <c r="Q56" i="8" l="1"/>
  <c r="E126" i="4"/>
  <c r="D128" i="4" s="1"/>
  <c r="E101" i="4"/>
  <c r="D103" i="4" s="1"/>
  <c r="F101" i="4"/>
  <c r="E75" i="4"/>
  <c r="E49" i="4"/>
  <c r="D51" i="4" l="1"/>
  <c r="D52" i="4"/>
  <c r="F12" i="12"/>
  <c r="F17" i="12"/>
  <c r="F18" i="12" s="1"/>
  <c r="D77" i="4"/>
  <c r="D78" i="4"/>
  <c r="E103" i="4"/>
  <c r="B67" i="9"/>
  <c r="J66" i="9"/>
  <c r="I66" i="9"/>
  <c r="H66" i="9"/>
  <c r="G66" i="9"/>
  <c r="F66" i="9"/>
  <c r="E66" i="9"/>
  <c r="D66" i="9"/>
  <c r="C66" i="9"/>
  <c r="N65" i="9"/>
  <c r="M65" i="9"/>
  <c r="L65" i="9"/>
  <c r="K65" i="9"/>
  <c r="N64" i="9"/>
  <c r="M64" i="9"/>
  <c r="L64" i="9"/>
  <c r="K64" i="9"/>
  <c r="N63" i="9"/>
  <c r="M63" i="9"/>
  <c r="L63" i="9"/>
  <c r="K63" i="9"/>
  <c r="N62" i="9"/>
  <c r="M62" i="9"/>
  <c r="L62" i="9"/>
  <c r="K62" i="9"/>
  <c r="N61" i="9"/>
  <c r="M61" i="9"/>
  <c r="L61" i="9"/>
  <c r="K61" i="9"/>
  <c r="N60" i="9"/>
  <c r="M60" i="9"/>
  <c r="L60" i="9"/>
  <c r="K60" i="9"/>
  <c r="N59" i="9"/>
  <c r="M59" i="9"/>
  <c r="L59" i="9"/>
  <c r="K59" i="9"/>
  <c r="N58" i="9"/>
  <c r="M58" i="9"/>
  <c r="L58" i="9"/>
  <c r="K58" i="9"/>
  <c r="N57" i="9"/>
  <c r="M57" i="9"/>
  <c r="L57" i="9"/>
  <c r="K57" i="9"/>
  <c r="N56" i="9"/>
  <c r="M56" i="9"/>
  <c r="L56" i="9"/>
  <c r="K56" i="9"/>
  <c r="N55" i="9"/>
  <c r="M55" i="9"/>
  <c r="L55" i="9"/>
  <c r="K55" i="9"/>
  <c r="N54" i="9"/>
  <c r="M54" i="9"/>
  <c r="L54" i="9"/>
  <c r="K54" i="9"/>
  <c r="P70" i="8"/>
  <c r="L68" i="8"/>
  <c r="I68" i="8"/>
  <c r="F68" i="8"/>
  <c r="T67" i="8"/>
  <c r="S67" i="8"/>
  <c r="R67" i="8"/>
  <c r="L67" i="8"/>
  <c r="I67" i="8"/>
  <c r="F67" i="8"/>
  <c r="E67" i="8"/>
  <c r="D67" i="8"/>
  <c r="O66" i="8"/>
  <c r="N66" i="8"/>
  <c r="K66" i="8"/>
  <c r="H66" i="8"/>
  <c r="O65" i="8"/>
  <c r="N65" i="8"/>
  <c r="K65" i="8"/>
  <c r="H65" i="8"/>
  <c r="O64" i="8"/>
  <c r="N64" i="8"/>
  <c r="K64" i="8"/>
  <c r="H64" i="8"/>
  <c r="O63" i="8"/>
  <c r="N63" i="8"/>
  <c r="K63" i="8"/>
  <c r="H63" i="8"/>
  <c r="O62" i="8"/>
  <c r="N62" i="8"/>
  <c r="K62" i="8"/>
  <c r="O61" i="8"/>
  <c r="N61" i="8"/>
  <c r="K61" i="8"/>
  <c r="H61" i="8"/>
  <c r="O60" i="8"/>
  <c r="N60" i="8"/>
  <c r="K60" i="8"/>
  <c r="H60" i="8"/>
  <c r="O59" i="8"/>
  <c r="N59" i="8"/>
  <c r="K59" i="8"/>
  <c r="H59" i="8"/>
  <c r="O58" i="8"/>
  <c r="X35" i="8" s="1"/>
  <c r="N58" i="8"/>
  <c r="K58" i="8"/>
  <c r="H58" i="8"/>
  <c r="O57" i="8"/>
  <c r="N57" i="8"/>
  <c r="K57" i="8"/>
  <c r="H57" i="8"/>
  <c r="O55" i="8"/>
  <c r="N55" i="8"/>
  <c r="K55" i="8"/>
  <c r="H55" i="8"/>
  <c r="E23" i="4"/>
  <c r="E54" i="4" s="1"/>
  <c r="F23" i="4"/>
  <c r="F13" i="12" l="1"/>
  <c r="F14" i="12"/>
  <c r="Q64" i="8"/>
  <c r="D26" i="4"/>
  <c r="X34" i="8"/>
  <c r="X36" i="8"/>
  <c r="X38" i="8"/>
  <c r="L47" i="8"/>
  <c r="R47" i="8"/>
  <c r="Q66" i="8"/>
  <c r="X43" i="8"/>
  <c r="X44" i="8"/>
  <c r="Q60" i="8"/>
  <c r="X37" i="8"/>
  <c r="E47" i="8"/>
  <c r="F47" i="8"/>
  <c r="Q62" i="8"/>
  <c r="X39" i="8"/>
  <c r="D55" i="4"/>
  <c r="D47" i="8"/>
  <c r="Q63" i="8"/>
  <c r="X40" i="8"/>
  <c r="Q65" i="8"/>
  <c r="X42" i="8"/>
  <c r="I47" i="8"/>
  <c r="F7" i="12"/>
  <c r="E132" i="4"/>
  <c r="E25" i="4"/>
  <c r="E26" i="4"/>
  <c r="Q58" i="8"/>
  <c r="K66" i="9"/>
  <c r="N67" i="8"/>
  <c r="K67" i="8"/>
  <c r="K68" i="8"/>
  <c r="M66" i="9"/>
  <c r="L66" i="9"/>
  <c r="N66" i="9"/>
  <c r="N68" i="8"/>
  <c r="O67" i="8"/>
  <c r="O68" i="8"/>
  <c r="Q55" i="8"/>
  <c r="Q57" i="8"/>
  <c r="Q59" i="8"/>
  <c r="Q61" i="8"/>
  <c r="H67" i="8"/>
  <c r="H68" i="8"/>
  <c r="D87" i="9"/>
  <c r="U68" i="8" l="1"/>
  <c r="U67" i="8"/>
  <c r="U70" i="8" s="1"/>
  <c r="F9" i="12"/>
  <c r="F8" i="12"/>
  <c r="O47" i="8"/>
  <c r="N47" i="8"/>
  <c r="Q68" i="8"/>
  <c r="Q67" i="8"/>
  <c r="P92" i="8" l="1"/>
  <c r="P114" i="8" l="1"/>
  <c r="L112" i="8"/>
  <c r="I112" i="8"/>
  <c r="F112" i="8"/>
  <c r="T111" i="8"/>
  <c r="S111" i="8"/>
  <c r="R111" i="8"/>
  <c r="L111" i="8"/>
  <c r="I111" i="8"/>
  <c r="F111" i="8"/>
  <c r="E111" i="8"/>
  <c r="D111" i="8"/>
  <c r="O110" i="8"/>
  <c r="N110" i="8"/>
  <c r="K110" i="8"/>
  <c r="H110" i="8"/>
  <c r="Q110" i="8" l="1"/>
  <c r="M21" i="2" l="1"/>
  <c r="K81" i="9" l="1"/>
  <c r="B88" i="9" l="1"/>
  <c r="J87" i="9"/>
  <c r="I87" i="9"/>
  <c r="H87" i="9"/>
  <c r="G87" i="9"/>
  <c r="F87" i="9"/>
  <c r="E87" i="9"/>
  <c r="C87" i="9"/>
  <c r="N86" i="9"/>
  <c r="M86" i="9"/>
  <c r="L86" i="9"/>
  <c r="K86" i="9"/>
  <c r="N85" i="9"/>
  <c r="M85" i="9"/>
  <c r="L85" i="9"/>
  <c r="K85" i="9"/>
  <c r="N84" i="9"/>
  <c r="M84" i="9"/>
  <c r="L84" i="9"/>
  <c r="K84" i="9"/>
  <c r="N83" i="9"/>
  <c r="M83" i="9"/>
  <c r="L83" i="9"/>
  <c r="K83" i="9"/>
  <c r="N82" i="9"/>
  <c r="M82" i="9"/>
  <c r="L82" i="9"/>
  <c r="K82" i="9"/>
  <c r="N81" i="9"/>
  <c r="M81" i="9"/>
  <c r="L81" i="9"/>
  <c r="N80" i="9"/>
  <c r="M80" i="9"/>
  <c r="L80" i="9"/>
  <c r="K80" i="9"/>
  <c r="N79" i="9"/>
  <c r="M79" i="9"/>
  <c r="L79" i="9"/>
  <c r="K79" i="9"/>
  <c r="N78" i="9"/>
  <c r="M78" i="9"/>
  <c r="L78" i="9"/>
  <c r="K78" i="9"/>
  <c r="N77" i="9"/>
  <c r="M77" i="9"/>
  <c r="L77" i="9"/>
  <c r="K77" i="9"/>
  <c r="N76" i="9"/>
  <c r="M76" i="9"/>
  <c r="L76" i="9"/>
  <c r="K76" i="9"/>
  <c r="N75" i="9"/>
  <c r="M75" i="9"/>
  <c r="L75" i="9"/>
  <c r="K75" i="9"/>
  <c r="M87" i="9" l="1"/>
  <c r="K87" i="9"/>
  <c r="N87" i="9"/>
  <c r="L87" i="9"/>
  <c r="M68" i="9" l="1"/>
  <c r="L68" i="9"/>
  <c r="K68" i="9"/>
  <c r="L26" i="2"/>
  <c r="M23" i="2"/>
  <c r="M22" i="2"/>
  <c r="M20" i="2"/>
  <c r="M19" i="2"/>
  <c r="M18" i="2"/>
  <c r="M17" i="2"/>
  <c r="M15" i="2"/>
  <c r="M14" i="2"/>
  <c r="M26" i="2" l="1"/>
  <c r="L90" i="8"/>
  <c r="I90" i="8"/>
  <c r="F90" i="8"/>
  <c r="T89" i="8"/>
  <c r="S89" i="8"/>
  <c r="R89" i="8"/>
  <c r="L89" i="8"/>
  <c r="I89" i="8"/>
  <c r="F89" i="8"/>
  <c r="E89" i="8"/>
  <c r="D89" i="8"/>
  <c r="O88" i="8"/>
  <c r="V66" i="8" s="1"/>
  <c r="N88" i="8"/>
  <c r="K88" i="8"/>
  <c r="H88" i="8"/>
  <c r="O87" i="8"/>
  <c r="N87" i="8"/>
  <c r="K87" i="8"/>
  <c r="H87" i="8"/>
  <c r="O86" i="8"/>
  <c r="V64" i="8" s="1"/>
  <c r="N86" i="8"/>
  <c r="K86" i="8"/>
  <c r="H86" i="8"/>
  <c r="O85" i="8"/>
  <c r="N85" i="8"/>
  <c r="K85" i="8"/>
  <c r="H85" i="8"/>
  <c r="O84" i="8"/>
  <c r="N84" i="8"/>
  <c r="K84" i="8"/>
  <c r="O83" i="8"/>
  <c r="N83" i="8"/>
  <c r="K83" i="8"/>
  <c r="H83" i="8"/>
  <c r="O82" i="8"/>
  <c r="N82" i="8"/>
  <c r="K82" i="8"/>
  <c r="H82" i="8"/>
  <c r="O81" i="8"/>
  <c r="N81" i="8"/>
  <c r="K81" i="8"/>
  <c r="H81" i="8"/>
  <c r="O80" i="8"/>
  <c r="N80" i="8"/>
  <c r="K80" i="8"/>
  <c r="H80" i="8"/>
  <c r="O79" i="8"/>
  <c r="N79" i="8"/>
  <c r="K79" i="8"/>
  <c r="H79" i="8"/>
  <c r="O78" i="8"/>
  <c r="N78" i="8"/>
  <c r="K78" i="8"/>
  <c r="H78" i="8"/>
  <c r="O77" i="8"/>
  <c r="N77" i="8"/>
  <c r="K77" i="8"/>
  <c r="H77" i="8"/>
  <c r="F126" i="4"/>
  <c r="F75" i="4"/>
  <c r="E77" i="4" s="1"/>
  <c r="F49" i="4"/>
  <c r="Q78" i="8" l="1"/>
  <c r="V56" i="8"/>
  <c r="Q77" i="8"/>
  <c r="V55" i="8"/>
  <c r="Q79" i="8"/>
  <c r="V57" i="8"/>
  <c r="Q81" i="8"/>
  <c r="V59" i="8"/>
  <c r="Q83" i="8"/>
  <c r="V61" i="8"/>
  <c r="L92" i="8"/>
  <c r="L70" i="8"/>
  <c r="R92" i="8"/>
  <c r="R70" i="8"/>
  <c r="E52" i="4"/>
  <c r="E51" i="4"/>
  <c r="F54" i="4"/>
  <c r="E55" i="4" s="1"/>
  <c r="Q80" i="8"/>
  <c r="V58" i="8"/>
  <c r="Q82" i="8"/>
  <c r="V60" i="8"/>
  <c r="D92" i="8"/>
  <c r="D70" i="8"/>
  <c r="E92" i="8"/>
  <c r="E70" i="8"/>
  <c r="F92" i="8"/>
  <c r="F70" i="8"/>
  <c r="Q84" i="8"/>
  <c r="V62" i="8"/>
  <c r="Q85" i="8"/>
  <c r="V63" i="8"/>
  <c r="Q87" i="8"/>
  <c r="V65" i="8"/>
  <c r="I92" i="8"/>
  <c r="I70" i="8"/>
  <c r="F133" i="4"/>
  <c r="E128" i="4"/>
  <c r="E17" i="12"/>
  <c r="E78" i="4"/>
  <c r="B49" i="4"/>
  <c r="N90" i="8"/>
  <c r="E7" i="12"/>
  <c r="F132" i="4"/>
  <c r="E12" i="12"/>
  <c r="Q88" i="8"/>
  <c r="V88" i="8"/>
  <c r="Q86" i="8"/>
  <c r="K90" i="8"/>
  <c r="N89" i="8"/>
  <c r="H89" i="8"/>
  <c r="H90" i="8"/>
  <c r="O90" i="8"/>
  <c r="O89" i="8"/>
  <c r="K89" i="8"/>
  <c r="B21" i="4"/>
  <c r="B52" i="4" l="1"/>
  <c r="B51" i="4"/>
  <c r="O70" i="8"/>
  <c r="V67" i="8"/>
  <c r="N91" i="8"/>
  <c r="N70" i="8"/>
  <c r="N71" i="8"/>
  <c r="Q90" i="8"/>
  <c r="O94" i="8"/>
  <c r="Q89" i="8"/>
  <c r="C130" i="9"/>
  <c r="O171" i="8" l="1"/>
  <c r="O170" i="8"/>
  <c r="O169" i="8"/>
  <c r="O168" i="8"/>
  <c r="O167" i="8"/>
  <c r="O166" i="8"/>
  <c r="O165" i="8"/>
  <c r="O164" i="8"/>
  <c r="O163" i="8"/>
  <c r="O162" i="8"/>
  <c r="O161" i="8"/>
  <c r="O160" i="8"/>
  <c r="O151" i="8"/>
  <c r="O150" i="8"/>
  <c r="O149" i="8"/>
  <c r="O148" i="8"/>
  <c r="O147" i="8"/>
  <c r="O146" i="8"/>
  <c r="O145" i="8"/>
  <c r="O144" i="8"/>
  <c r="O143" i="8"/>
  <c r="O142" i="8"/>
  <c r="O141" i="8"/>
  <c r="O140" i="8"/>
  <c r="O131" i="8"/>
  <c r="V109" i="8" s="1"/>
  <c r="O130" i="8"/>
  <c r="O129" i="8"/>
  <c r="O128" i="8"/>
  <c r="O127" i="8"/>
  <c r="O126" i="8"/>
  <c r="O125" i="8"/>
  <c r="O124" i="8"/>
  <c r="O123" i="8"/>
  <c r="O122" i="8"/>
  <c r="O121" i="8"/>
  <c r="O120" i="8"/>
  <c r="O109" i="8"/>
  <c r="O108" i="8"/>
  <c r="O107" i="8"/>
  <c r="O106" i="8"/>
  <c r="O105" i="8"/>
  <c r="O104" i="8"/>
  <c r="O103" i="8"/>
  <c r="O102" i="8"/>
  <c r="O101" i="8"/>
  <c r="O100" i="8"/>
  <c r="O99" i="8"/>
  <c r="V100" i="8" l="1"/>
  <c r="V79" i="8"/>
  <c r="V104" i="8"/>
  <c r="V83" i="8"/>
  <c r="V108" i="8"/>
  <c r="V87" i="8"/>
  <c r="V101" i="8"/>
  <c r="V80" i="8"/>
  <c r="V105" i="8"/>
  <c r="V84" i="8"/>
  <c r="O111" i="8"/>
  <c r="O112" i="8"/>
  <c r="V98" i="8"/>
  <c r="V102" i="8"/>
  <c r="V81" i="8"/>
  <c r="V106" i="8"/>
  <c r="V85" i="8"/>
  <c r="V99" i="8"/>
  <c r="V78" i="8"/>
  <c r="V103" i="8"/>
  <c r="V82" i="8"/>
  <c r="V107" i="8"/>
  <c r="V86" i="8"/>
  <c r="Q101" i="8"/>
  <c r="O92" i="8" l="1"/>
  <c r="V89" i="8"/>
  <c r="R136" i="8"/>
  <c r="R156" i="8"/>
  <c r="P173" i="8"/>
  <c r="P155" i="8"/>
  <c r="P135" i="8"/>
  <c r="G126" i="4" l="1"/>
  <c r="G101" i="4"/>
  <c r="F103" i="4" l="1"/>
  <c r="G133" i="4"/>
  <c r="F128" i="4"/>
  <c r="D159" i="9"/>
  <c r="B124" i="4" l="1"/>
  <c r="B123" i="4"/>
  <c r="B122" i="4"/>
  <c r="B121" i="4"/>
  <c r="B120" i="4"/>
  <c r="B119" i="4"/>
  <c r="B118" i="4"/>
  <c r="B117" i="4"/>
  <c r="B116" i="4"/>
  <c r="B115" i="4"/>
  <c r="B114" i="4"/>
  <c r="B113" i="4"/>
  <c r="B99" i="4"/>
  <c r="B98" i="4"/>
  <c r="B97" i="4"/>
  <c r="B96" i="4"/>
  <c r="B95" i="4"/>
  <c r="B94" i="4"/>
  <c r="B93" i="4"/>
  <c r="B92" i="4"/>
  <c r="B91" i="4"/>
  <c r="B90" i="4"/>
  <c r="B89" i="4"/>
  <c r="B88" i="4"/>
  <c r="B73" i="4"/>
  <c r="B72" i="4"/>
  <c r="B71" i="4"/>
  <c r="B70" i="4"/>
  <c r="B69" i="4"/>
  <c r="B68" i="4"/>
  <c r="B67" i="4"/>
  <c r="B66" i="4"/>
  <c r="B65" i="4"/>
  <c r="B64" i="4"/>
  <c r="B63" i="4"/>
  <c r="B62" i="4"/>
  <c r="B20" i="4"/>
  <c r="B19" i="4"/>
  <c r="B18" i="4"/>
  <c r="B17" i="4"/>
  <c r="B16" i="4"/>
  <c r="B15" i="4"/>
  <c r="B14" i="4"/>
  <c r="B29" i="4" s="1"/>
  <c r="B13" i="4"/>
  <c r="B12" i="4"/>
  <c r="B10" i="4"/>
  <c r="B126" i="4" l="1"/>
  <c r="B128" i="4" s="1"/>
  <c r="B101" i="4"/>
  <c r="B103" i="4" s="1"/>
  <c r="B109" i="9"/>
  <c r="J108" i="9"/>
  <c r="I108" i="9"/>
  <c r="H108" i="9"/>
  <c r="G108" i="9"/>
  <c r="F108" i="9"/>
  <c r="E108" i="9"/>
  <c r="D108" i="9"/>
  <c r="C108" i="9"/>
  <c r="N107" i="9"/>
  <c r="M107" i="9"/>
  <c r="L107" i="9"/>
  <c r="K107" i="9"/>
  <c r="N106" i="9"/>
  <c r="M106" i="9"/>
  <c r="L106" i="9"/>
  <c r="K106" i="9"/>
  <c r="N105" i="9"/>
  <c r="M105" i="9"/>
  <c r="L105" i="9"/>
  <c r="K105" i="9"/>
  <c r="N104" i="9"/>
  <c r="M104" i="9"/>
  <c r="L104" i="9"/>
  <c r="K104" i="9"/>
  <c r="N103" i="9"/>
  <c r="M103" i="9"/>
  <c r="L103" i="9"/>
  <c r="K103" i="9"/>
  <c r="N102" i="9"/>
  <c r="M102" i="9"/>
  <c r="L102" i="9"/>
  <c r="K102" i="9"/>
  <c r="N101" i="9"/>
  <c r="M101" i="9"/>
  <c r="L101" i="9"/>
  <c r="K101" i="9"/>
  <c r="N100" i="9"/>
  <c r="M100" i="9"/>
  <c r="L100" i="9"/>
  <c r="K100" i="9"/>
  <c r="N99" i="9"/>
  <c r="M99" i="9"/>
  <c r="L99" i="9"/>
  <c r="K99" i="9"/>
  <c r="N98" i="9"/>
  <c r="M98" i="9"/>
  <c r="L98" i="9"/>
  <c r="K98" i="9"/>
  <c r="N97" i="9"/>
  <c r="M97" i="9"/>
  <c r="L97" i="9"/>
  <c r="K97" i="9"/>
  <c r="N96" i="9"/>
  <c r="M96" i="9"/>
  <c r="L96" i="9"/>
  <c r="K96" i="9"/>
  <c r="K108" i="9" l="1"/>
  <c r="M108" i="9"/>
  <c r="N108" i="9"/>
  <c r="N89" i="9" s="1"/>
  <c r="L108" i="9"/>
  <c r="Q103" i="8"/>
  <c r="Q104" i="8"/>
  <c r="Q107" i="8"/>
  <c r="Q108" i="8"/>
  <c r="Q109" i="8"/>
  <c r="N109" i="8"/>
  <c r="K109" i="8"/>
  <c r="H109" i="8"/>
  <c r="N108" i="8"/>
  <c r="K108" i="8"/>
  <c r="H108" i="8"/>
  <c r="N107" i="8"/>
  <c r="K107" i="8"/>
  <c r="H107" i="8"/>
  <c r="Q106" i="8"/>
  <c r="N106" i="8"/>
  <c r="K106" i="8"/>
  <c r="Q105" i="8"/>
  <c r="N105" i="8"/>
  <c r="K105" i="8"/>
  <c r="H105" i="8"/>
  <c r="N104" i="8"/>
  <c r="K104" i="8"/>
  <c r="H104" i="8"/>
  <c r="N103" i="8"/>
  <c r="K103" i="8"/>
  <c r="H103" i="8"/>
  <c r="Q102" i="8"/>
  <c r="N102" i="8"/>
  <c r="K102" i="8"/>
  <c r="H102" i="8"/>
  <c r="N101" i="8"/>
  <c r="K101" i="8"/>
  <c r="H101" i="8"/>
  <c r="Q100" i="8"/>
  <c r="N100" i="8"/>
  <c r="K100" i="8"/>
  <c r="H100" i="8"/>
  <c r="Q99" i="8"/>
  <c r="N99" i="8"/>
  <c r="K99" i="8"/>
  <c r="H99" i="8"/>
  <c r="B75" i="4"/>
  <c r="B23" i="4"/>
  <c r="B78" i="4" l="1"/>
  <c r="B77" i="4"/>
  <c r="B26" i="4"/>
  <c r="B25" i="4"/>
  <c r="K89" i="9"/>
  <c r="L89" i="9"/>
  <c r="L90" i="9"/>
  <c r="M89" i="9"/>
  <c r="B54" i="4"/>
  <c r="B132" i="4"/>
  <c r="Q111" i="8"/>
  <c r="Q112" i="8"/>
  <c r="H112" i="8"/>
  <c r="H111" i="8"/>
  <c r="K111" i="8"/>
  <c r="K112" i="8"/>
  <c r="N112" i="8"/>
  <c r="N111" i="8"/>
  <c r="N92" i="8" s="1"/>
  <c r="B171" i="9" l="1"/>
  <c r="B151" i="9"/>
  <c r="B131" i="9"/>
  <c r="T132" i="8"/>
  <c r="S132" i="8"/>
  <c r="R132" i="8"/>
  <c r="L132" i="8"/>
  <c r="I132" i="8"/>
  <c r="F132" i="8"/>
  <c r="L133" i="8"/>
  <c r="I133" i="8"/>
  <c r="F133" i="8"/>
  <c r="H125" i="8" l="1"/>
  <c r="K118" i="9" l="1"/>
  <c r="J130" i="9"/>
  <c r="I130" i="9"/>
  <c r="H130" i="9"/>
  <c r="G130" i="9"/>
  <c r="F130" i="9"/>
  <c r="E130" i="9"/>
  <c r="D130" i="9"/>
  <c r="G76" i="4" s="1"/>
  <c r="N129" i="9"/>
  <c r="M129" i="9"/>
  <c r="L129" i="9"/>
  <c r="K129" i="9"/>
  <c r="N128" i="9"/>
  <c r="N110" i="9" s="1"/>
  <c r="M128" i="9"/>
  <c r="L128" i="9"/>
  <c r="K128" i="9"/>
  <c r="N127" i="9"/>
  <c r="M127" i="9"/>
  <c r="L127" i="9"/>
  <c r="K127" i="9"/>
  <c r="N126" i="9"/>
  <c r="M126" i="9"/>
  <c r="L126" i="9"/>
  <c r="K126" i="9"/>
  <c r="N125" i="9"/>
  <c r="M125" i="9"/>
  <c r="L125" i="9"/>
  <c r="K125" i="9"/>
  <c r="N124" i="9"/>
  <c r="M124" i="9"/>
  <c r="L124" i="9"/>
  <c r="K124" i="9"/>
  <c r="N123" i="9"/>
  <c r="M123" i="9"/>
  <c r="L123" i="9"/>
  <c r="K123" i="9"/>
  <c r="N122" i="9"/>
  <c r="M122" i="9"/>
  <c r="L122" i="9"/>
  <c r="K122" i="9"/>
  <c r="N121" i="9"/>
  <c r="M121" i="9"/>
  <c r="L121" i="9"/>
  <c r="K121" i="9"/>
  <c r="N120" i="9"/>
  <c r="M120" i="9"/>
  <c r="L120" i="9"/>
  <c r="K120" i="9"/>
  <c r="N119" i="9"/>
  <c r="M119" i="9"/>
  <c r="L119" i="9"/>
  <c r="K119" i="9"/>
  <c r="N118" i="9"/>
  <c r="M118" i="9"/>
  <c r="L118" i="9"/>
  <c r="J150" i="9"/>
  <c r="I150" i="9"/>
  <c r="H150" i="9"/>
  <c r="G150" i="9"/>
  <c r="F150" i="9"/>
  <c r="E150" i="9"/>
  <c r="D150" i="9"/>
  <c r="H76" i="4" s="1"/>
  <c r="C150" i="9"/>
  <c r="N138" i="9"/>
  <c r="M138" i="9"/>
  <c r="N149" i="9"/>
  <c r="M149" i="9"/>
  <c r="N148" i="9"/>
  <c r="M148" i="9"/>
  <c r="N147" i="9"/>
  <c r="M147" i="9"/>
  <c r="N146" i="9"/>
  <c r="M146" i="9"/>
  <c r="N145" i="9"/>
  <c r="M145" i="9"/>
  <c r="N144" i="9"/>
  <c r="M144" i="9"/>
  <c r="N143" i="9"/>
  <c r="M143" i="9"/>
  <c r="N142" i="9"/>
  <c r="M142" i="9"/>
  <c r="N141" i="9"/>
  <c r="M141" i="9"/>
  <c r="N140" i="9"/>
  <c r="M140" i="9"/>
  <c r="N139" i="9"/>
  <c r="M139" i="9"/>
  <c r="J170" i="9"/>
  <c r="I170" i="9"/>
  <c r="H170" i="9"/>
  <c r="G170" i="9"/>
  <c r="F170" i="9"/>
  <c r="E170" i="9"/>
  <c r="D170" i="9"/>
  <c r="I76" i="4" s="1"/>
  <c r="C170" i="9"/>
  <c r="N169" i="9"/>
  <c r="M169" i="9"/>
  <c r="N168" i="9"/>
  <c r="M168" i="9"/>
  <c r="N167" i="9"/>
  <c r="M167" i="9"/>
  <c r="N166" i="9"/>
  <c r="M166" i="9"/>
  <c r="N165" i="9"/>
  <c r="M165" i="9"/>
  <c r="N164" i="9"/>
  <c r="M164" i="9"/>
  <c r="N163" i="9"/>
  <c r="M163" i="9"/>
  <c r="N162" i="9"/>
  <c r="M162" i="9"/>
  <c r="N161" i="9"/>
  <c r="M161" i="9"/>
  <c r="N160" i="9"/>
  <c r="M160" i="9"/>
  <c r="N159" i="9"/>
  <c r="M159" i="9"/>
  <c r="N158" i="9"/>
  <c r="M158" i="9"/>
  <c r="L138" i="9"/>
  <c r="L149" i="9"/>
  <c r="K149" i="9"/>
  <c r="L148" i="9"/>
  <c r="K148" i="9"/>
  <c r="L147" i="9"/>
  <c r="K147" i="9"/>
  <c r="L146" i="9"/>
  <c r="K146" i="9"/>
  <c r="L145" i="9"/>
  <c r="K145" i="9"/>
  <c r="L144" i="9"/>
  <c r="K144" i="9"/>
  <c r="L143" i="9"/>
  <c r="K143" i="9"/>
  <c r="L142" i="9"/>
  <c r="K142" i="9"/>
  <c r="L141" i="9"/>
  <c r="K141" i="9"/>
  <c r="L140" i="9"/>
  <c r="K140" i="9"/>
  <c r="L139" i="9"/>
  <c r="K139" i="9"/>
  <c r="K138" i="9"/>
  <c r="L169" i="9"/>
  <c r="K169" i="9"/>
  <c r="L168" i="9"/>
  <c r="K168" i="9"/>
  <c r="L167" i="9"/>
  <c r="K167" i="9"/>
  <c r="L166" i="9"/>
  <c r="K166" i="9"/>
  <c r="L165" i="9"/>
  <c r="K165" i="9"/>
  <c r="L164" i="9"/>
  <c r="K164" i="9"/>
  <c r="L163" i="9"/>
  <c r="K163" i="9"/>
  <c r="L162" i="9"/>
  <c r="K162" i="9"/>
  <c r="L161" i="9"/>
  <c r="K161" i="9"/>
  <c r="L160" i="9"/>
  <c r="K160" i="9"/>
  <c r="L159" i="9"/>
  <c r="K159" i="9"/>
  <c r="L158" i="9"/>
  <c r="K158" i="9"/>
  <c r="K170" i="9" l="1"/>
  <c r="M170" i="9"/>
  <c r="K130" i="9"/>
  <c r="K110" i="9" s="1"/>
  <c r="L130" i="9"/>
  <c r="N130" i="9"/>
  <c r="M130" i="9"/>
  <c r="K150" i="9"/>
  <c r="L150" i="9"/>
  <c r="H50" i="4" s="1"/>
  <c r="N150" i="9"/>
  <c r="M150" i="9"/>
  <c r="M152" i="9" s="1"/>
  <c r="L170" i="9"/>
  <c r="I50" i="4" s="1"/>
  <c r="N170" i="9"/>
  <c r="M132" i="9" l="1"/>
  <c r="M110" i="9"/>
  <c r="L110" i="9"/>
  <c r="L111" i="9"/>
  <c r="L133" i="9"/>
  <c r="L132" i="9"/>
  <c r="K152" i="9"/>
  <c r="N152" i="9"/>
  <c r="L152" i="9"/>
  <c r="K132" i="9"/>
  <c r="N132" i="9"/>
  <c r="L173" i="8"/>
  <c r="I173" i="8"/>
  <c r="F173" i="8"/>
  <c r="T172" i="8"/>
  <c r="S172" i="8"/>
  <c r="R172" i="8"/>
  <c r="L172" i="8"/>
  <c r="I172" i="8"/>
  <c r="F172" i="8"/>
  <c r="E172" i="8"/>
  <c r="D172" i="8"/>
  <c r="Q171" i="8"/>
  <c r="N171" i="8"/>
  <c r="K171" i="8"/>
  <c r="H171" i="8"/>
  <c r="Q170" i="8"/>
  <c r="N170" i="8"/>
  <c r="K170" i="8"/>
  <c r="H170" i="8"/>
  <c r="Q169" i="8"/>
  <c r="N169" i="8"/>
  <c r="K169" i="8"/>
  <c r="H169" i="8"/>
  <c r="Q168" i="8"/>
  <c r="N168" i="8"/>
  <c r="K168" i="8"/>
  <c r="H168" i="8"/>
  <c r="Q167" i="8"/>
  <c r="N167" i="8"/>
  <c r="K167" i="8"/>
  <c r="H167" i="8"/>
  <c r="Q166" i="8"/>
  <c r="N166" i="8"/>
  <c r="K166" i="8"/>
  <c r="H166" i="8"/>
  <c r="Q165" i="8"/>
  <c r="N165" i="8"/>
  <c r="K165" i="8"/>
  <c r="H165" i="8"/>
  <c r="Q164" i="8"/>
  <c r="N164" i="8"/>
  <c r="K164" i="8"/>
  <c r="H164" i="8"/>
  <c r="Q163" i="8"/>
  <c r="N163" i="8"/>
  <c r="K163" i="8"/>
  <c r="H163" i="8"/>
  <c r="Q162" i="8"/>
  <c r="N162" i="8"/>
  <c r="K162" i="8"/>
  <c r="H162" i="8"/>
  <c r="Q161" i="8"/>
  <c r="N161" i="8"/>
  <c r="K161" i="8"/>
  <c r="H161" i="8"/>
  <c r="O173" i="8"/>
  <c r="N160" i="8"/>
  <c r="N173" i="8" s="1"/>
  <c r="K160" i="8"/>
  <c r="H160" i="8"/>
  <c r="O153" i="8"/>
  <c r="L153" i="8"/>
  <c r="I153" i="8"/>
  <c r="F153" i="8"/>
  <c r="T152" i="8"/>
  <c r="S152" i="8"/>
  <c r="O152" i="8"/>
  <c r="L152" i="8"/>
  <c r="I152" i="8"/>
  <c r="F152" i="8"/>
  <c r="E152" i="8"/>
  <c r="D152" i="8"/>
  <c r="D155" i="8" s="1"/>
  <c r="Q151" i="8"/>
  <c r="N151" i="8"/>
  <c r="K151" i="8"/>
  <c r="H151" i="8"/>
  <c r="Q150" i="8"/>
  <c r="N150" i="8"/>
  <c r="K150" i="8"/>
  <c r="H150" i="8"/>
  <c r="Q149" i="8"/>
  <c r="N149" i="8"/>
  <c r="K149" i="8"/>
  <c r="H149" i="8"/>
  <c r="Q148" i="8"/>
  <c r="N148" i="8"/>
  <c r="K148" i="8"/>
  <c r="H148" i="8"/>
  <c r="Q147" i="8"/>
  <c r="N147" i="8"/>
  <c r="K147" i="8"/>
  <c r="H147" i="8"/>
  <c r="Q146" i="8"/>
  <c r="N146" i="8"/>
  <c r="K146" i="8"/>
  <c r="H146" i="8"/>
  <c r="Q145" i="8"/>
  <c r="N145" i="8"/>
  <c r="K145" i="8"/>
  <c r="H145" i="8"/>
  <c r="Q144" i="8"/>
  <c r="N144" i="8"/>
  <c r="K144" i="8"/>
  <c r="H144" i="8"/>
  <c r="Q143" i="8"/>
  <c r="N143" i="8"/>
  <c r="K143" i="8"/>
  <c r="H143" i="8"/>
  <c r="R142" i="8"/>
  <c r="R152" i="8" s="1"/>
  <c r="R135" i="8" s="1"/>
  <c r="Q142" i="8"/>
  <c r="N142" i="8"/>
  <c r="K142" i="8"/>
  <c r="H142" i="8"/>
  <c r="Q141" i="8"/>
  <c r="N141" i="8"/>
  <c r="K141" i="8"/>
  <c r="H141" i="8"/>
  <c r="Q140" i="8"/>
  <c r="N140" i="8"/>
  <c r="K140" i="8"/>
  <c r="H140" i="8"/>
  <c r="E132" i="8"/>
  <c r="D132" i="8"/>
  <c r="Q131" i="8"/>
  <c r="N131" i="8"/>
  <c r="K131" i="8"/>
  <c r="H131" i="8"/>
  <c r="Q130" i="8"/>
  <c r="N130" i="8"/>
  <c r="K130" i="8"/>
  <c r="H130" i="8"/>
  <c r="Q129" i="8"/>
  <c r="N129" i="8"/>
  <c r="K129" i="8"/>
  <c r="H129" i="8"/>
  <c r="Q128" i="8"/>
  <c r="N128" i="8"/>
  <c r="K128" i="8"/>
  <c r="H128" i="8"/>
  <c r="Q127" i="8"/>
  <c r="N127" i="8"/>
  <c r="K127" i="8"/>
  <c r="H127" i="8"/>
  <c r="Q126" i="8"/>
  <c r="N126" i="8"/>
  <c r="K126" i="8"/>
  <c r="H126" i="8"/>
  <c r="Q125" i="8"/>
  <c r="N125" i="8"/>
  <c r="K125" i="8"/>
  <c r="Q124" i="8"/>
  <c r="N124" i="8"/>
  <c r="K124" i="8"/>
  <c r="H124" i="8"/>
  <c r="Q123" i="8"/>
  <c r="N123" i="8"/>
  <c r="K123" i="8"/>
  <c r="H123" i="8"/>
  <c r="Q122" i="8"/>
  <c r="N122" i="8"/>
  <c r="K122" i="8"/>
  <c r="H122" i="8"/>
  <c r="Q121" i="8"/>
  <c r="N121" i="8"/>
  <c r="K121" i="8"/>
  <c r="H121" i="8"/>
  <c r="Q120" i="8"/>
  <c r="N120" i="8"/>
  <c r="K120" i="8"/>
  <c r="H120" i="8"/>
  <c r="H173" i="8" l="1"/>
  <c r="E155" i="8"/>
  <c r="N153" i="8"/>
  <c r="H153" i="8"/>
  <c r="D135" i="8"/>
  <c r="K173" i="8"/>
  <c r="Q153" i="8"/>
  <c r="K132" i="8"/>
  <c r="K133" i="8"/>
  <c r="E135" i="8"/>
  <c r="F135" i="8"/>
  <c r="F155" i="8"/>
  <c r="H133" i="8"/>
  <c r="H132" i="8"/>
  <c r="N133" i="8"/>
  <c r="N132" i="8"/>
  <c r="N134" i="8" s="1"/>
  <c r="Q152" i="8"/>
  <c r="I135" i="8"/>
  <c r="I155" i="8"/>
  <c r="Q132" i="8"/>
  <c r="Q133" i="8"/>
  <c r="O133" i="8"/>
  <c r="O132" i="8"/>
  <c r="O135" i="8" s="1"/>
  <c r="K153" i="8"/>
  <c r="K152" i="8"/>
  <c r="L135" i="8"/>
  <c r="L155" i="8"/>
  <c r="H152" i="8"/>
  <c r="N152" i="8"/>
  <c r="N154" i="8" s="1"/>
  <c r="Q160" i="8"/>
  <c r="H172" i="8"/>
  <c r="N172" i="8"/>
  <c r="O172" i="8"/>
  <c r="O155" i="8" s="1"/>
  <c r="K172" i="8"/>
  <c r="N136" i="8" l="1"/>
  <c r="N155" i="8"/>
  <c r="O136" i="8"/>
  <c r="N135" i="8"/>
  <c r="Q173" i="8"/>
  <c r="Q172" i="8"/>
  <c r="H23" i="4" l="1"/>
  <c r="H49" i="4"/>
  <c r="C12" i="12" s="1"/>
  <c r="H75" i="4"/>
  <c r="C17" i="12" s="1"/>
  <c r="H101" i="4"/>
  <c r="G103" i="4" s="1"/>
  <c r="C7" i="12" l="1"/>
  <c r="H54" i="4"/>
  <c r="G49" i="4"/>
  <c r="F52" i="4" s="1"/>
  <c r="G75" i="4"/>
  <c r="G23" i="4"/>
  <c r="H126" i="4"/>
  <c r="G128" i="4" s="1"/>
  <c r="H9" i="12" l="1"/>
  <c r="H8" i="12"/>
  <c r="F26" i="4"/>
  <c r="D7" i="12"/>
  <c r="G132" i="4"/>
  <c r="D17" i="12"/>
  <c r="F78" i="4"/>
  <c r="H132" i="4"/>
  <c r="D12" i="12"/>
  <c r="G54" i="4"/>
  <c r="F55" i="4" s="1"/>
  <c r="F51" i="4"/>
  <c r="G25" i="4"/>
  <c r="G78" i="4"/>
  <c r="G52" i="4"/>
  <c r="G51" i="4"/>
  <c r="G26" i="4"/>
  <c r="T28" i="1"/>
  <c r="U23" i="1"/>
  <c r="U22" i="1"/>
  <c r="U21" i="1"/>
  <c r="U20" i="1"/>
  <c r="U19" i="1"/>
  <c r="U18" i="1"/>
  <c r="U17" i="1"/>
  <c r="U16" i="1"/>
  <c r="U15" i="1"/>
  <c r="G55" i="4" l="1"/>
  <c r="B34" i="1"/>
  <c r="C34" i="1"/>
  <c r="G34" i="1"/>
  <c r="I34" i="1"/>
  <c r="J34" i="1"/>
  <c r="K34" i="1"/>
  <c r="L34" i="1"/>
  <c r="O34" i="1"/>
  <c r="S34" i="1"/>
  <c r="R34" i="1"/>
  <c r="F34" i="1"/>
  <c r="Q34" i="1"/>
  <c r="E34" i="1"/>
  <c r="P34" i="1"/>
  <c r="N34" i="1"/>
  <c r="M34" i="1"/>
  <c r="D34" i="1"/>
  <c r="H34" i="1"/>
  <c r="H28" i="1"/>
  <c r="S28" i="1"/>
  <c r="R28" i="1"/>
  <c r="K47" i="4"/>
  <c r="K46" i="4"/>
  <c r="K45" i="4"/>
  <c r="K44" i="4"/>
  <c r="K43" i="4"/>
  <c r="K42" i="4"/>
  <c r="K41" i="4"/>
  <c r="K40" i="4"/>
  <c r="K39" i="4"/>
  <c r="K38" i="4"/>
  <c r="K37" i="4"/>
  <c r="K36" i="4"/>
  <c r="J47" i="4"/>
  <c r="J46" i="4"/>
  <c r="J45" i="4"/>
  <c r="J44" i="4"/>
  <c r="J43" i="4"/>
  <c r="J42" i="4"/>
  <c r="J41" i="4"/>
  <c r="J40" i="4"/>
  <c r="J39" i="4"/>
  <c r="J38" i="4"/>
  <c r="J37" i="4"/>
  <c r="J36" i="4"/>
  <c r="K101" i="4"/>
  <c r="J101" i="4"/>
  <c r="K126" i="4"/>
  <c r="J126" i="4"/>
  <c r="K75" i="4"/>
  <c r="J75" i="4"/>
  <c r="J23" i="4"/>
  <c r="K23" i="4"/>
  <c r="J78" i="4" l="1"/>
  <c r="J103" i="4"/>
  <c r="J25" i="4"/>
  <c r="J26" i="4"/>
  <c r="J128" i="4"/>
  <c r="S35" i="1"/>
  <c r="H35" i="1"/>
  <c r="R35" i="1"/>
  <c r="K49" i="4"/>
  <c r="K132" i="4" s="1"/>
  <c r="J49" i="4"/>
  <c r="J132" i="4" s="1"/>
  <c r="I75" i="4"/>
  <c r="I126" i="4"/>
  <c r="I101" i="4"/>
  <c r="I49" i="4"/>
  <c r="I23" i="4"/>
  <c r="K26" i="2"/>
  <c r="J26" i="2"/>
  <c r="D26" i="2"/>
  <c r="I26" i="2"/>
  <c r="H26" i="2"/>
  <c r="G26" i="2"/>
  <c r="C26" i="2"/>
  <c r="B26" i="2"/>
  <c r="Q28" i="1"/>
  <c r="Q35" i="1" s="1"/>
  <c r="P28" i="1"/>
  <c r="P35" i="1" s="1"/>
  <c r="O28" i="1"/>
  <c r="O35" i="1" s="1"/>
  <c r="N28" i="1"/>
  <c r="N35" i="1" s="1"/>
  <c r="M28" i="1"/>
  <c r="M35" i="1" s="1"/>
  <c r="L28" i="1"/>
  <c r="K28" i="1"/>
  <c r="K35" i="1" s="1"/>
  <c r="J28" i="1"/>
  <c r="J35" i="1" s="1"/>
  <c r="I28" i="1"/>
  <c r="I35" i="1" s="1"/>
  <c r="G28" i="1"/>
  <c r="G35" i="1" s="1"/>
  <c r="F28" i="1"/>
  <c r="F35" i="1" s="1"/>
  <c r="E28" i="1"/>
  <c r="E35" i="1" s="1"/>
  <c r="D28" i="1"/>
  <c r="D35" i="1" s="1"/>
  <c r="C28" i="1"/>
  <c r="B28" i="1"/>
  <c r="U47" i="1" s="1"/>
  <c r="U28" i="1" l="1"/>
  <c r="U41" i="1" s="1"/>
  <c r="I132" i="4"/>
  <c r="J51" i="4"/>
  <c r="J52" i="4"/>
  <c r="I103" i="4"/>
  <c r="H103" i="4"/>
  <c r="I128" i="4"/>
  <c r="H128" i="4"/>
  <c r="I51" i="4"/>
  <c r="I52" i="4"/>
  <c r="H51" i="4"/>
  <c r="H52" i="4"/>
  <c r="I25" i="4"/>
  <c r="I26" i="4"/>
  <c r="H25" i="4"/>
  <c r="H26" i="4"/>
  <c r="I78" i="4"/>
  <c r="H78" i="4"/>
  <c r="L35" i="1"/>
  <c r="B35" i="1"/>
  <c r="C35" i="1"/>
  <c r="F114" i="8" l="1"/>
  <c r="E114" i="8"/>
  <c r="I114" i="8"/>
  <c r="L114" i="8"/>
  <c r="N114" i="8"/>
  <c r="O115" i="8"/>
  <c r="V110" i="8"/>
  <c r="O114" i="8"/>
  <c r="R114" i="8"/>
  <c r="D114" i="8"/>
  <c r="N113" i="8"/>
  <c r="N115" i="8" s="1"/>
</calcChain>
</file>

<file path=xl/comments1.xml><?xml version="1.0" encoding="utf-8"?>
<comments xmlns="http://schemas.openxmlformats.org/spreadsheetml/2006/main">
  <authors>
    <author>Lorraine M. Silva</author>
  </authors>
  <commentList>
    <comment ref="A7" authorId="0" shapeId="0">
      <text>
        <r>
          <rPr>
            <b/>
            <sz val="9"/>
            <color indexed="81"/>
            <rFont val="Tahoma"/>
            <family val="2"/>
          </rPr>
          <t>Lorraine M. Silva:</t>
        </r>
        <r>
          <rPr>
            <sz val="9"/>
            <color indexed="81"/>
            <rFont val="Tahoma"/>
            <family val="2"/>
          </rPr>
          <t xml:space="preserve">
Totals pulled from 
FYxx\External Payment Tracking\FYxx External utility pymt tracking</t>
        </r>
      </text>
    </comment>
    <comment ref="A12" authorId="0" shapeId="0">
      <text>
        <r>
          <rPr>
            <b/>
            <sz val="9"/>
            <color indexed="81"/>
            <rFont val="Tahoma"/>
            <family val="2"/>
          </rPr>
          <t>Lorraine M. Silva:</t>
        </r>
        <r>
          <rPr>
            <sz val="9"/>
            <color indexed="81"/>
            <rFont val="Tahoma"/>
            <family val="2"/>
          </rPr>
          <t xml:space="preserve">
Totals pulled from 
FYxx\External Payment Tracking\FYxx External utility pymt tracking</t>
        </r>
      </text>
    </comment>
    <comment ref="A17" authorId="0" shapeId="0">
      <text>
        <r>
          <rPr>
            <b/>
            <sz val="9"/>
            <color indexed="81"/>
            <rFont val="Tahoma"/>
            <family val="2"/>
          </rPr>
          <t>Lorraine M. Silva:</t>
        </r>
        <r>
          <rPr>
            <sz val="9"/>
            <color indexed="81"/>
            <rFont val="Tahoma"/>
            <family val="2"/>
          </rPr>
          <t xml:space="preserve">
Totals pulled from 
FYxx\External Payment Tracking\FYxx External utility pymt tracking</t>
        </r>
      </text>
    </comment>
    <comment ref="A22" authorId="0" shapeId="0">
      <text>
        <r>
          <rPr>
            <b/>
            <sz val="9"/>
            <color indexed="81"/>
            <rFont val="Tahoma"/>
            <family val="2"/>
          </rPr>
          <t>Lorraine M. Silva:</t>
        </r>
        <r>
          <rPr>
            <sz val="9"/>
            <color indexed="81"/>
            <rFont val="Tahoma"/>
            <family val="2"/>
          </rPr>
          <t xml:space="preserve">
total utility usage from Utility Rate Monthly Tracking worksheet - these usages should total our master meters</t>
        </r>
      </text>
    </comment>
    <comment ref="A34" authorId="0" shapeId="0">
      <text>
        <r>
          <rPr>
            <b/>
            <sz val="9"/>
            <color indexed="81"/>
            <rFont val="Tahoma"/>
            <family val="2"/>
          </rPr>
          <t>Lorraine M. Silva:</t>
        </r>
        <r>
          <rPr>
            <sz val="9"/>
            <color indexed="81"/>
            <rFont val="Tahoma"/>
            <family val="2"/>
          </rPr>
          <t xml:space="preserve">
total utility usage from Utility Rate Monthly Tracking worksheet - these usages should total our master meters</t>
        </r>
      </text>
    </comment>
    <comment ref="A41" authorId="0" shapeId="0">
      <text>
        <r>
          <rPr>
            <b/>
            <sz val="9"/>
            <color indexed="81"/>
            <rFont val="Tahoma"/>
            <family val="2"/>
          </rPr>
          <t>Lorraine M. Silva:</t>
        </r>
        <r>
          <rPr>
            <sz val="9"/>
            <color indexed="81"/>
            <rFont val="Tahoma"/>
            <family val="2"/>
          </rPr>
          <t xml:space="preserve">
total utility usage from Utility Rate Monthly Tracking worksheet - these usages should total our master meters</t>
        </r>
      </text>
    </comment>
    <comment ref="A49" authorId="0" shapeId="0">
      <text>
        <r>
          <rPr>
            <b/>
            <sz val="9"/>
            <color indexed="81"/>
            <rFont val="Tahoma"/>
            <family val="2"/>
          </rPr>
          <t>Lorraine M. Silva:</t>
        </r>
        <r>
          <rPr>
            <sz val="9"/>
            <color indexed="81"/>
            <rFont val="Tahoma"/>
            <family val="2"/>
          </rPr>
          <t xml:space="preserve">
total utility usage from Utility Rate Monthly Tracking worksheet - these usages should total our master meters</t>
        </r>
      </text>
    </comment>
  </commentList>
</comments>
</file>

<file path=xl/comments2.xml><?xml version="1.0" encoding="utf-8"?>
<comments xmlns="http://schemas.openxmlformats.org/spreadsheetml/2006/main">
  <authors>
    <author>lorrsilv</author>
    <author>Kimberly Acosta</author>
    <author>Kiri Baca</author>
    <author>Lorraine M. Silva</author>
  </authors>
  <commentList>
    <comment ref="L6" authorId="0" shapeId="0">
      <text>
        <r>
          <rPr>
            <b/>
            <sz val="8"/>
            <color indexed="81"/>
            <rFont val="Tahoma"/>
            <family val="2"/>
          </rPr>
          <t>lorrsilv:</t>
        </r>
        <r>
          <rPr>
            <sz val="8"/>
            <color indexed="81"/>
            <rFont val="Tahoma"/>
            <family val="2"/>
          </rPr>
          <t xml:space="preserve">
Per Glen's email on 8/28/2013 to Lori Gobble
Sorry, poor choice of words. In the commercial rate world, the electric bill consists of the DEMAND component and the CONSUMPTION component. 
DEMAND is around $9 per KW (note that there is no “h” after that; demand is for capacity and is based on highest instantaneous use for any 15 minute interval period in one month. CONSUMPTION is measured in KWH (a kilowatt used for one hour).
Anyway, say that we implement a measure in Hadley that saves 1,000 KW for every hour over the time that the HVAC operates. That would reduce the monthly DEMAND by 1,000 KW and the monthly consumption by 172,000 KWH (8 x 5 x 4.3 x 1,000). But at $9 per KW of DEMAND and at $.03 of CONSUMPTION, that works out to $9,000 in demand savings and $5,160 in use savings – which is not too far off from how that breaks out.</t>
        </r>
      </text>
    </comment>
    <comment ref="S7" authorId="1" shapeId="0">
      <text>
        <r>
          <rPr>
            <b/>
            <sz val="9"/>
            <color indexed="81"/>
            <rFont val="Tahoma"/>
            <family val="2"/>
          </rPr>
          <t>Kimberly Acosta:</t>
        </r>
        <r>
          <rPr>
            <sz val="9"/>
            <color indexed="81"/>
            <rFont val="Tahoma"/>
            <family val="2"/>
          </rPr>
          <t xml:space="preserve">
Federal Tax Credit</t>
        </r>
      </text>
    </comment>
    <comment ref="S12" authorId="2" shapeId="0">
      <text>
        <r>
          <rPr>
            <b/>
            <sz val="9"/>
            <color indexed="81"/>
            <rFont val="Tahoma"/>
            <family val="2"/>
          </rPr>
          <t>Kiri Baca:</t>
        </r>
        <r>
          <rPr>
            <sz val="9"/>
            <color indexed="81"/>
            <rFont val="Tahoma"/>
            <family val="2"/>
          </rPr>
          <t xml:space="preserve">
Federal Tax Credit of 3246.60
</t>
        </r>
      </text>
    </comment>
    <comment ref="S13" authorId="2" shapeId="0">
      <text>
        <r>
          <rPr>
            <b/>
            <sz val="9"/>
            <color indexed="81"/>
            <rFont val="Tahoma"/>
            <family val="2"/>
          </rPr>
          <t>Kiri Baca:</t>
        </r>
        <r>
          <rPr>
            <sz val="9"/>
            <color indexed="81"/>
            <rFont val="Tahoma"/>
            <family val="2"/>
          </rPr>
          <t xml:space="preserve">
Federal Tax Credit of 2647.86
</t>
        </r>
      </text>
    </comment>
    <comment ref="S15" authorId="2" shapeId="0">
      <text>
        <r>
          <rPr>
            <b/>
            <sz val="9"/>
            <color indexed="81"/>
            <rFont val="Tahoma"/>
            <family val="2"/>
          </rPr>
          <t>Kiri Baca:</t>
        </r>
        <r>
          <rPr>
            <sz val="9"/>
            <color indexed="81"/>
            <rFont val="Tahoma"/>
            <family val="2"/>
          </rPr>
          <t xml:space="preserve">
Federal Tax Credit
</t>
        </r>
      </text>
    </comment>
    <comment ref="S16" authorId="2" shapeId="0">
      <text>
        <r>
          <rPr>
            <b/>
            <sz val="9"/>
            <color indexed="81"/>
            <rFont val="Tahoma"/>
            <family val="2"/>
          </rPr>
          <t>Kiri Baca:</t>
        </r>
        <r>
          <rPr>
            <sz val="9"/>
            <color indexed="81"/>
            <rFont val="Tahoma"/>
            <family val="2"/>
          </rPr>
          <t xml:space="preserve">
federal tax credit
</t>
        </r>
      </text>
    </comment>
    <comment ref="S17" authorId="2" shapeId="0">
      <text>
        <r>
          <rPr>
            <b/>
            <sz val="9"/>
            <color indexed="81"/>
            <rFont val="Tahoma"/>
            <family val="2"/>
          </rPr>
          <t>lorrsilv:</t>
        </r>
        <r>
          <rPr>
            <sz val="9"/>
            <color indexed="81"/>
            <rFont val="Tahoma"/>
            <family val="2"/>
          </rPr>
          <t xml:space="preserve">
federal tax credit
</t>
        </r>
      </text>
    </comment>
    <comment ref="S18" authorId="2" shapeId="0">
      <text>
        <r>
          <rPr>
            <b/>
            <sz val="9"/>
            <color indexed="81"/>
            <rFont val="Tahoma"/>
            <family val="2"/>
          </rPr>
          <t>lorrsilv:</t>
        </r>
        <r>
          <rPr>
            <sz val="9"/>
            <color indexed="81"/>
            <rFont val="Tahoma"/>
            <family val="2"/>
          </rPr>
          <t xml:space="preserve">
federal tax credit
</t>
        </r>
      </text>
    </comment>
    <comment ref="L31" authorId="0" shapeId="0">
      <text>
        <r>
          <rPr>
            <b/>
            <sz val="8"/>
            <color indexed="81"/>
            <rFont val="Tahoma"/>
            <family val="2"/>
          </rPr>
          <t>lorrsilv:</t>
        </r>
        <r>
          <rPr>
            <sz val="8"/>
            <color indexed="81"/>
            <rFont val="Tahoma"/>
            <family val="2"/>
          </rPr>
          <t xml:space="preserve">
Per Glen's email on 8/28/2013 to Lori Gobble
Sorry, poor choice of words. In the commercial rate world, the electric bill consists of the DEMAND component and the CONSUMPTION component. 
DEMAND is around $9 per KW (note that there is no “h” after that; demand is for capacity and is based on highest instantaneous use for any 15 minute interval period in one month. CONSUMPTION is measured in KWH (a kilowatt used for one hour).
Anyway, say that we implement a measure in Hadley that saves 1,000 KW for every hour over the time that the HVAC operates. That would reduce the monthly DEMAND by 1,000 KW and the monthly consumption by 172,000 KWH (8 x 5 x 4.3 x 1,000). But at $9 per KW of DEMAND and at $.03 of CONSUMPTION, that works out to $9,000 in demand savings and $5,160 in use savings – which is not too far off from how that breaks out.</t>
        </r>
      </text>
    </comment>
    <comment ref="S42" authorId="3" shapeId="0">
      <text>
        <r>
          <rPr>
            <b/>
            <sz val="9"/>
            <color indexed="81"/>
            <rFont val="Tahoma"/>
            <family val="2"/>
          </rPr>
          <t>Lorraine M. Silva:</t>
        </r>
        <r>
          <rPr>
            <sz val="9"/>
            <color indexed="81"/>
            <rFont val="Tahoma"/>
            <family val="2"/>
          </rPr>
          <t xml:space="preserve">
Federal Tax Credit
</t>
        </r>
      </text>
    </comment>
    <comment ref="S43" authorId="3" shapeId="0">
      <text>
        <r>
          <rPr>
            <b/>
            <sz val="9"/>
            <color indexed="81"/>
            <rFont val="Tahoma"/>
            <family val="2"/>
          </rPr>
          <t>Lorraine M. Silva:</t>
        </r>
        <r>
          <rPr>
            <sz val="9"/>
            <color indexed="81"/>
            <rFont val="Tahoma"/>
            <family val="2"/>
          </rPr>
          <t xml:space="preserve">
Federal Tax Credit
</t>
        </r>
      </text>
    </comment>
    <comment ref="L54" authorId="0" shapeId="0">
      <text>
        <r>
          <rPr>
            <b/>
            <sz val="8"/>
            <color indexed="81"/>
            <rFont val="Tahoma"/>
            <family val="2"/>
          </rPr>
          <t>lorrsilv:</t>
        </r>
        <r>
          <rPr>
            <sz val="8"/>
            <color indexed="81"/>
            <rFont val="Tahoma"/>
            <family val="2"/>
          </rPr>
          <t xml:space="preserve">
Per Glen's email on 8/28/2013 to Lori Gobble
Sorry, poor choice of words. In the commercial rate world, the electric bill consists of the DEMAND component and the CONSUMPTION component. 
DEMAND is around $9 per KW (note that there is no “h” after that; demand is for capacity and is based on highest instantaneous use for any 15 minute interval period in one month. CONSUMPTION is measured in KWH (a kilowatt used for one hour).
Anyway, say that we implement a measure in Hadley that saves 1,000 KW for every hour over the time that the HVAC operates. That would reduce the monthly DEMAND by 1,000 KW and the monthly consumption by 172,000 KWH (8 x 5 x 4.3 x 1,000). But at $9 per KW of DEMAND and at $.03 of CONSUMPTION, that works out to $9,000 in demand savings and $5,160 in use savings – which is not too far off from how that breaks out.</t>
        </r>
      </text>
    </comment>
    <comment ref="L76" authorId="0" shapeId="0">
      <text>
        <r>
          <rPr>
            <b/>
            <sz val="8"/>
            <color indexed="81"/>
            <rFont val="Tahoma"/>
            <family val="2"/>
          </rPr>
          <t>lorrsilv:</t>
        </r>
        <r>
          <rPr>
            <sz val="8"/>
            <color indexed="81"/>
            <rFont val="Tahoma"/>
            <family val="2"/>
          </rPr>
          <t xml:space="preserve">
Per Glen's email on 8/28/2013 to Lori Gobble
Sorry, poor choice of words. In the commercial rate world, the electric bill consists of the DEMAND component and the CONSUMPTION component. 
DEMAND is around $9 per KW (note that there is no “h” after that; demand is for capacity and is based on highest instantaneous use for any 15 minute interval period in one month. CONSUMPTION is measured in KWH (a kilowatt used for one hour).
Anyway, say that we implement a measure in Hadley that saves 1,000 KW for every hour over the time that the HVAC operates. That would reduce the monthly DEMAND by 1,000 KW and the monthly consumption by 172,000 KWH (8 x 5 x 4.3 x 1,000). But at $9 per KW of DEMAND and at $.03 of CONSUMPTION, that works out to $9,000 in demand savings and $5,160 in use savings – which is not too far off from how that breaks out.</t>
        </r>
      </text>
    </comment>
    <comment ref="L79" authorId="3" shapeId="0">
      <text>
        <r>
          <rPr>
            <b/>
            <sz val="9"/>
            <color indexed="81"/>
            <rFont val="Tahoma"/>
            <family val="2"/>
          </rPr>
          <t>Lorraine M. Silva:</t>
        </r>
        <r>
          <rPr>
            <sz val="9"/>
            <color indexed="81"/>
            <rFont val="Tahoma"/>
            <family val="2"/>
          </rPr>
          <t xml:space="preserve">
Turbine Outage 9/19/2015 - 9/20/2016</t>
        </r>
      </text>
    </comment>
    <comment ref="L98" authorId="0" shapeId="0">
      <text>
        <r>
          <rPr>
            <b/>
            <sz val="8"/>
            <color indexed="81"/>
            <rFont val="Tahoma"/>
            <family val="2"/>
          </rPr>
          <t>lorrsilv:</t>
        </r>
        <r>
          <rPr>
            <sz val="8"/>
            <color indexed="81"/>
            <rFont val="Tahoma"/>
            <family val="2"/>
          </rPr>
          <t xml:space="preserve">
Per Glen's email on 8/28/2013 to Lori Gobble
Sorry, poor choice of words. In the commercial rate world, the electric bill consists of the DEMAND component and the CONSUMPTION component. 
DEMAND is around $9 per KW (note that there is no “h” after that; demand is for capacity and is based on highest instantaneous use for any 15 minute interval period in one month. CONSUMPTION is measured in KWH (a kilowatt used for one hour).
Anyway, say that we implement a measure in Hadley that saves 1,000 KW for every hour over the time that the HVAC operates. That would reduce the monthly DEMAND by 1,000 KW and the monthly consumption by 172,000 KWH (8 x 5 x 4.3 x 1,000). But at $9 per KW of DEMAND and at $.03 of CONSUMPTION, that works out to $9,000 in demand savings and $5,160 in use savings – which is not too far off from how that breaks out.</t>
        </r>
      </text>
    </comment>
    <comment ref="L119" authorId="0" shapeId="0">
      <text>
        <r>
          <rPr>
            <b/>
            <sz val="8"/>
            <color indexed="81"/>
            <rFont val="Tahoma"/>
            <family val="2"/>
          </rPr>
          <t>lorrsilv:</t>
        </r>
        <r>
          <rPr>
            <sz val="8"/>
            <color indexed="81"/>
            <rFont val="Tahoma"/>
            <family val="2"/>
          </rPr>
          <t xml:space="preserve">
Per Glen's email on 8/28/2013 to Lori Gobble
Sorry, poor choice of words. In the commercial rate world, the electric bill consists of the DEMAND component and the CONSUMPTION component. 
DEMAND is around $9 per KW (note that there is no “h” after that; demand is for capacity and is based on highest instantaneous use for any 15 minute interval period in one month. CONSUMPTION is measured in KWH (a kilowatt used for one hour).
Anyway, say that we implement a measure in Hadley that saves 1,000 KW for every hour over the time that the HVAC operates. That would reduce the monthly DEMAND by 1,000 KW and the monthly consumption by 172,000 KWH (8 x 5 x 4.3 x 1,000). But at $9 per KW of DEMAND and at $.03 of CONSUMPTION, that works out to $9,000 in demand savings and $5,160 in use savings – which is not too far off from how that breaks out.</t>
        </r>
      </text>
    </comment>
  </commentList>
</comments>
</file>

<file path=xl/comments3.xml><?xml version="1.0" encoding="utf-8"?>
<comments xmlns="http://schemas.openxmlformats.org/spreadsheetml/2006/main">
  <authors>
    <author>lorrsilv</author>
  </authors>
  <commentList>
    <comment ref="K19" authorId="0" shapeId="0">
      <text>
        <r>
          <rPr>
            <b/>
            <sz val="8"/>
            <color indexed="81"/>
            <rFont val="Tahoma"/>
            <family val="2"/>
          </rPr>
          <t>lorrsilv:</t>
        </r>
        <r>
          <rPr>
            <sz val="8"/>
            <color indexed="81"/>
            <rFont val="Tahoma"/>
            <family val="2"/>
          </rPr>
          <t xml:space="preserve">
this bill was paid twice. DPR dated 5/26/10 &amp; 6/8/10 both got processed thru AP. Verified with Liz at EPEC on 6/30/2010 that account shows a credit balance of $256,829.44</t>
        </r>
      </text>
    </comment>
    <comment ref="K21" authorId="0" shapeId="0">
      <text>
        <r>
          <rPr>
            <b/>
            <sz val="8"/>
            <color indexed="81"/>
            <rFont val="Tahoma"/>
            <family val="2"/>
          </rPr>
          <t>lorrsilv:</t>
        </r>
        <r>
          <rPr>
            <sz val="8"/>
            <color indexed="81"/>
            <rFont val="Tahoma"/>
            <family val="2"/>
          </rPr>
          <t xml:space="preserve">
due to a duplicate payment of the April bill there was a credit so actual amount paid was only $110,686.11 but the current month's charges were $367,515.55 so for actual comparative purposes will use actual month's charges</t>
        </r>
      </text>
    </comment>
  </commentList>
</comments>
</file>

<file path=xl/comments4.xml><?xml version="1.0" encoding="utf-8"?>
<comments xmlns="http://schemas.openxmlformats.org/spreadsheetml/2006/main">
  <authors>
    <author>lorrsilv</author>
    <author>Lorraine M. Silva</author>
  </authors>
  <commentList>
    <comment ref="T8" authorId="0" shapeId="0">
      <text>
        <r>
          <rPr>
            <b/>
            <sz val="8"/>
            <color indexed="81"/>
            <rFont val="Tahoma"/>
            <family val="2"/>
          </rPr>
          <t>lorrsilv:</t>
        </r>
        <r>
          <rPr>
            <sz val="8"/>
            <color indexed="81"/>
            <rFont val="Tahoma"/>
            <family val="2"/>
          </rPr>
          <t xml:space="preserve">
New service requested by Jose Loera 7/9/2012 email
</t>
        </r>
      </text>
    </comment>
    <comment ref="C9" authorId="1" shapeId="0">
      <text>
        <r>
          <rPr>
            <b/>
            <sz val="9"/>
            <color indexed="81"/>
            <rFont val="Tahoma"/>
            <family val="2"/>
          </rPr>
          <t>Lorraine M. Silva:</t>
        </r>
        <r>
          <rPr>
            <sz val="9"/>
            <color indexed="81"/>
            <rFont val="Tahoma"/>
            <family val="2"/>
          </rPr>
          <t xml:space="preserve">
updated 2/5/2015
</t>
        </r>
      </text>
    </comment>
  </commentList>
</comments>
</file>

<file path=xl/comments5.xml><?xml version="1.0" encoding="utf-8"?>
<comments xmlns="http://schemas.openxmlformats.org/spreadsheetml/2006/main">
  <authors>
    <author>Lorraine M. Silva</author>
  </authors>
  <commentList>
    <comment ref="L9" authorId="0" shapeId="0">
      <text>
        <r>
          <rPr>
            <b/>
            <sz val="9"/>
            <color indexed="81"/>
            <rFont val="Tahoma"/>
            <family val="2"/>
          </rPr>
          <t>Lorraine M. Silva:</t>
        </r>
        <r>
          <rPr>
            <sz val="9"/>
            <color indexed="81"/>
            <rFont val="Tahoma"/>
            <family val="2"/>
          </rPr>
          <t xml:space="preserve">
new svc requested by Fabian Garcia's Mike Pettersen. </t>
        </r>
      </text>
    </comment>
  </commentList>
</comments>
</file>

<file path=xl/comments6.xml><?xml version="1.0" encoding="utf-8"?>
<comments xmlns="http://schemas.openxmlformats.org/spreadsheetml/2006/main">
  <authors>
    <author>lorrsilv</author>
    <author>Lorraine M. Silva</author>
  </authors>
  <commentList>
    <comment ref="T8" authorId="0" shapeId="0">
      <text>
        <r>
          <rPr>
            <b/>
            <sz val="8"/>
            <color indexed="81"/>
            <rFont val="Tahoma"/>
            <family val="2"/>
          </rPr>
          <t>lorrsilv:</t>
        </r>
        <r>
          <rPr>
            <sz val="8"/>
            <color indexed="81"/>
            <rFont val="Tahoma"/>
            <family val="2"/>
          </rPr>
          <t xml:space="preserve">
New service requested by Jose Loera 7/9/2012 email
</t>
        </r>
      </text>
    </comment>
    <comment ref="C9" authorId="1" shapeId="0">
      <text>
        <r>
          <rPr>
            <b/>
            <sz val="9"/>
            <color indexed="81"/>
            <rFont val="Tahoma"/>
            <family val="2"/>
          </rPr>
          <t>Lorraine M. Silva:</t>
        </r>
        <r>
          <rPr>
            <sz val="9"/>
            <color indexed="81"/>
            <rFont val="Tahoma"/>
            <family val="2"/>
          </rPr>
          <t xml:space="preserve">
updated 2/5/2015
</t>
        </r>
      </text>
    </comment>
  </commentList>
</comments>
</file>

<file path=xl/comments7.xml><?xml version="1.0" encoding="utf-8"?>
<comments xmlns="http://schemas.openxmlformats.org/spreadsheetml/2006/main">
  <authors>
    <author>Lorraine M. Silva</author>
  </authors>
  <commentList>
    <comment ref="L9" authorId="0" shapeId="0">
      <text>
        <r>
          <rPr>
            <b/>
            <sz val="9"/>
            <color indexed="81"/>
            <rFont val="Tahoma"/>
            <family val="2"/>
          </rPr>
          <t>Lorraine M. Silva:</t>
        </r>
        <r>
          <rPr>
            <sz val="9"/>
            <color indexed="81"/>
            <rFont val="Tahoma"/>
            <family val="2"/>
          </rPr>
          <t xml:space="preserve">
new svc requested by Fabian Garcia's Mike Pettersen. </t>
        </r>
      </text>
    </comment>
  </commentList>
</comments>
</file>

<file path=xl/sharedStrings.xml><?xml version="1.0" encoding="utf-8"?>
<sst xmlns="http://schemas.openxmlformats.org/spreadsheetml/2006/main" count="1235" uniqueCount="307">
  <si>
    <t>NEW MEXICO STATE UNIVERSITY</t>
  </si>
  <si>
    <t>OFFICE OF FACILITIES &amp; SERVICES</t>
  </si>
  <si>
    <t>EXTERNAL BILL TRACKING BY FISCAL YEAR - EL PASO ELECTRIC</t>
  </si>
  <si>
    <t>ACCOUNTS</t>
  </si>
  <si>
    <t>Acct #</t>
  </si>
  <si>
    <t>0168900000</t>
  </si>
  <si>
    <t>Meters</t>
  </si>
  <si>
    <t>I104966205  &amp; 
I104966217</t>
  </si>
  <si>
    <t>I104974407</t>
  </si>
  <si>
    <t>I104883456</t>
  </si>
  <si>
    <t>S104776547</t>
  </si>
  <si>
    <t>Location</t>
  </si>
  <si>
    <t>Tortugas Sub Station</t>
  </si>
  <si>
    <t>4530 Observatory
Rd Twr</t>
  </si>
  <si>
    <t>A Mountain Rd</t>
  </si>
  <si>
    <t>W Main &amp; University</t>
  </si>
  <si>
    <t>SW Main/
University Ave</t>
  </si>
  <si>
    <t>SW Main/Univ Hort Farm</t>
  </si>
  <si>
    <t>3650 S Triviz Dr Light</t>
  </si>
  <si>
    <t>9900 College Ranch Rd</t>
  </si>
  <si>
    <t>2000 Frontage Rd</t>
  </si>
  <si>
    <t>601 W Union Ave Well</t>
  </si>
  <si>
    <t>2540 El Paseo Rd</t>
  </si>
  <si>
    <t>250 E. University
Ave Pump</t>
  </si>
  <si>
    <t>SE Bowman/
Union Ave</t>
  </si>
  <si>
    <t>SE Bowman/
Union Ave Corrl</t>
  </si>
  <si>
    <t>400 W College Ave</t>
  </si>
  <si>
    <t>Index #</t>
  </si>
  <si>
    <t>Acct Code</t>
  </si>
  <si>
    <t>MONTH</t>
  </si>
  <si>
    <t>Total Pd by Month</t>
  </si>
  <si>
    <t>JULY</t>
  </si>
  <si>
    <t>AUG</t>
  </si>
  <si>
    <t>SEPT</t>
  </si>
  <si>
    <t>OCT</t>
  </si>
  <si>
    <t>NOV</t>
  </si>
  <si>
    <t>DEC</t>
  </si>
  <si>
    <t>JAN</t>
  </si>
  <si>
    <t>FEB</t>
  </si>
  <si>
    <t>MAR</t>
  </si>
  <si>
    <t>APR</t>
  </si>
  <si>
    <t>MAY</t>
  </si>
  <si>
    <t>JUN</t>
  </si>
  <si>
    <t xml:space="preserve">Total Pd </t>
  </si>
  <si>
    <t>Notes:</t>
  </si>
  <si>
    <t>Total Index 100860 - I&amp;G Electricicity</t>
  </si>
  <si>
    <t>Per Banner as of</t>
  </si>
  <si>
    <t>difference</t>
  </si>
  <si>
    <t>FY12</t>
  </si>
  <si>
    <t>EXTERNAL BILL TRACKING BY FISCAL YEAR - CITY OF LAS CRUCES</t>
  </si>
  <si>
    <t>150148950-
160459</t>
  </si>
  <si>
    <t>150148954-
160461</t>
  </si>
  <si>
    <t>159900000-
160978</t>
  </si>
  <si>
    <t>150148952-
160460</t>
  </si>
  <si>
    <t>092004330-
130707</t>
  </si>
  <si>
    <t>Cogen 1</t>
  </si>
  <si>
    <t>LPNat'l Gas</t>
  </si>
  <si>
    <t>Water</t>
  </si>
  <si>
    <t>Sewer</t>
  </si>
  <si>
    <t>Cogen 2</t>
  </si>
  <si>
    <t>Head Start Office</t>
  </si>
  <si>
    <t>KRWG TV</t>
  </si>
  <si>
    <t>NMSU Turf Irrig Facility</t>
  </si>
  <si>
    <t>Irrigation Service</t>
  </si>
  <si>
    <t>Addt'l Location info</t>
  </si>
  <si>
    <t>I104900036</t>
  </si>
  <si>
    <t xml:space="preserve"> </t>
  </si>
  <si>
    <t>Fabian Garcia Farm 
(400 W College)</t>
  </si>
  <si>
    <t>FY11</t>
  </si>
  <si>
    <t>COMPARISON BY FISCAL YEAR</t>
  </si>
  <si>
    <t>ACCOUNTS - 8172000000</t>
  </si>
  <si>
    <t>FY10</t>
  </si>
  <si>
    <t>300003049-56088</t>
  </si>
  <si>
    <t xml:space="preserve">Fabian Garcia Algae Farm </t>
  </si>
  <si>
    <t>ACCOUNTS - 150148950-160459</t>
  </si>
  <si>
    <t>Low Pressure Gas</t>
  </si>
  <si>
    <t>ACCOUNTS - 159900000-160978</t>
  </si>
  <si>
    <t>401 W Union Ave B</t>
  </si>
  <si>
    <t>Water
(Locations served: Horse Farm-Union and Greenhouse-College Ave)</t>
  </si>
  <si>
    <t>FY11 accrl reversal</t>
  </si>
  <si>
    <t>0505707307</t>
  </si>
  <si>
    <t>FY11 bills pd in FY12</t>
  </si>
  <si>
    <t>Reconciled Amt</t>
  </si>
  <si>
    <t>Diff</t>
  </si>
  <si>
    <t>Bills not yet pd in Banner</t>
  </si>
  <si>
    <t>FY13</t>
  </si>
  <si>
    <t>I105102264</t>
  </si>
  <si>
    <t xml:space="preserve">611 W. Union </t>
  </si>
  <si>
    <t>Horse Farm Well</t>
  </si>
  <si>
    <t>Gable Barn - Horse Farm Stud Barn</t>
  </si>
  <si>
    <t>I105021282</t>
  </si>
  <si>
    <t>FY14</t>
  </si>
  <si>
    <t xml:space="preserve">Banner as of </t>
  </si>
  <si>
    <t>FACILITIES &amp; SERVICES</t>
  </si>
  <si>
    <t>EL PASO ELECTRIC COMPANY BILL BREAKDOWN</t>
  </si>
  <si>
    <t>Billing Month</t>
  </si>
  <si>
    <t>FY</t>
  </si>
  <si>
    <t>On Peak
kW</t>
  </si>
  <si>
    <t>Off Peak
kW</t>
  </si>
  <si>
    <t>On Peak KWH</t>
  </si>
  <si>
    <t>On Peak Per KWH/cost</t>
  </si>
  <si>
    <t>On Peak Total Cost</t>
  </si>
  <si>
    <t>Off Peak KWH</t>
  </si>
  <si>
    <t>Off Peak Per KWH/cost</t>
  </si>
  <si>
    <t>Off Peak Total Cost</t>
  </si>
  <si>
    <t>Demand Total Cost</t>
  </si>
  <si>
    <t>Adj KWH</t>
  </si>
  <si>
    <t>Adj Per KWH/cost</t>
  </si>
  <si>
    <t>Adj Total Cost</t>
  </si>
  <si>
    <t>Efficient Use Recovery</t>
  </si>
  <si>
    <t>Energy Eff Incentive EUERF</t>
  </si>
  <si>
    <t>Customer Charge</t>
  </si>
  <si>
    <t>Total Bill</t>
  </si>
  <si>
    <t>July 2013</t>
  </si>
  <si>
    <t>Aug 2013</t>
  </si>
  <si>
    <t>Sept 2013</t>
  </si>
  <si>
    <t>Oct 2013</t>
  </si>
  <si>
    <t>Nov 2013</t>
  </si>
  <si>
    <t>Dec 2013</t>
  </si>
  <si>
    <t>Jan 2014</t>
  </si>
  <si>
    <t>Feb 2014</t>
  </si>
  <si>
    <t>Mar 2014</t>
  </si>
  <si>
    <t>Apr 2014</t>
  </si>
  <si>
    <t>May 2014</t>
  </si>
  <si>
    <t>Jun 2014</t>
  </si>
  <si>
    <t>Totals</t>
  </si>
  <si>
    <t>Avg</t>
  </si>
  <si>
    <t>July 2012</t>
  </si>
  <si>
    <t>Aug 2012</t>
  </si>
  <si>
    <t>Sept 2012</t>
  </si>
  <si>
    <t>Oct 2012</t>
  </si>
  <si>
    <t>Nov 2012</t>
  </si>
  <si>
    <t>Dec 2012</t>
  </si>
  <si>
    <t>Jan 2013</t>
  </si>
  <si>
    <t>Feb 2013</t>
  </si>
  <si>
    <t>Mar 2013</t>
  </si>
  <si>
    <t>Apr 2013</t>
  </si>
  <si>
    <t>May 2013</t>
  </si>
  <si>
    <t>Jun 2013</t>
  </si>
  <si>
    <t>On Peak kW</t>
  </si>
  <si>
    <t>Off Peak kW</t>
  </si>
  <si>
    <t>July 2011</t>
  </si>
  <si>
    <t>Aug 2011</t>
  </si>
  <si>
    <t>Sept 2011</t>
  </si>
  <si>
    <t>Oct 2011</t>
  </si>
  <si>
    <t>Nov 2011</t>
  </si>
  <si>
    <t>Dec 2011</t>
  </si>
  <si>
    <t>Jan 2012</t>
  </si>
  <si>
    <t>Feb 2012</t>
  </si>
  <si>
    <t>Mar 2012</t>
  </si>
  <si>
    <t>Apr 2012</t>
  </si>
  <si>
    <t>May 2012</t>
  </si>
  <si>
    <t>Jun 2012</t>
  </si>
  <si>
    <t>Month</t>
  </si>
  <si>
    <t>Demand KW</t>
  </si>
  <si>
    <t>Demand Per KW/cost</t>
  </si>
  <si>
    <t>July</t>
  </si>
  <si>
    <t>Aug</t>
  </si>
  <si>
    <t>Sept</t>
  </si>
  <si>
    <t>Oct</t>
  </si>
  <si>
    <t>Nov</t>
  </si>
  <si>
    <t>Dec</t>
  </si>
  <si>
    <t>Jan</t>
  </si>
  <si>
    <t>Feb</t>
  </si>
  <si>
    <t>Mar</t>
  </si>
  <si>
    <t>Apr</t>
  </si>
  <si>
    <t>May</t>
  </si>
  <si>
    <t>June</t>
  </si>
  <si>
    <t>CITY OF LAS CRUCES NATURAL GAS BILLS</t>
  </si>
  <si>
    <t>Low Pressure</t>
  </si>
  <si>
    <t>DTH</t>
  </si>
  <si>
    <t>Cost</t>
  </si>
  <si>
    <t>High Pressure</t>
  </si>
  <si>
    <t>Boilers</t>
  </si>
  <si>
    <t>Total HP DTH</t>
  </si>
  <si>
    <t>Total HP Costs</t>
  </si>
  <si>
    <t>Total DTH</t>
  </si>
  <si>
    <t>Total Cost</t>
  </si>
  <si>
    <t>HP Change FY12 to FY13</t>
  </si>
  <si>
    <t>Change from FY12 to FY13</t>
  </si>
  <si>
    <t>Change from FY13 to FY14</t>
  </si>
  <si>
    <t>Index 120423-755200</t>
  </si>
  <si>
    <t>Total Index 120422 - Int Svc Electricity</t>
  </si>
  <si>
    <t>Cost of Gas Rate</t>
  </si>
  <si>
    <t>Change in costs</t>
  </si>
  <si>
    <t>Incr/Decr</t>
  </si>
  <si>
    <t>FY15</t>
  </si>
  <si>
    <t>Ck figure</t>
  </si>
  <si>
    <t>total elec &amp; hp gas</t>
  </si>
  <si>
    <t xml:space="preserve">July </t>
  </si>
  <si>
    <t>change from Nov 2014 to Nov 2015</t>
  </si>
  <si>
    <t>% change in KWH purchased (FY15 vs. FY14)</t>
  </si>
  <si>
    <t>% change in total bill</t>
  </si>
  <si>
    <t>Total thru Dec</t>
  </si>
  <si>
    <t>Diff from FY14</t>
  </si>
  <si>
    <t>I105076430</t>
  </si>
  <si>
    <t>PW: FSutil3545</t>
  </si>
  <si>
    <t>NMSUele01</t>
  </si>
  <si>
    <t>NMSUele02</t>
  </si>
  <si>
    <t>NMSUele03</t>
  </si>
  <si>
    <t>NMSUele04</t>
  </si>
  <si>
    <t>NMSUele05</t>
  </si>
  <si>
    <t>NMSUele06</t>
  </si>
  <si>
    <t>NMSUele07</t>
  </si>
  <si>
    <t>NMSUele08</t>
  </si>
  <si>
    <t>NMSUele09</t>
  </si>
  <si>
    <t>NMSUele10</t>
  </si>
  <si>
    <t>NMSUele12</t>
  </si>
  <si>
    <t>NMSUele13</t>
  </si>
  <si>
    <t>NMSUele14</t>
  </si>
  <si>
    <t>NMSUele15</t>
  </si>
  <si>
    <t>NMSUele16</t>
  </si>
  <si>
    <t>NMSUele17</t>
  </si>
  <si>
    <t>NMSUele18</t>
  </si>
  <si>
    <t>FY16</t>
  </si>
  <si>
    <t>% change in KWH purchased (FY16 vs. FY15)</t>
  </si>
  <si>
    <t>300004997-130707</t>
  </si>
  <si>
    <t>Fabian Garcia -
113 W. University Chili dryer service</t>
  </si>
  <si>
    <t>LP Nat'l Gas</t>
  </si>
  <si>
    <t>HP Change FY15 to FY16</t>
  </si>
  <si>
    <t>Demand chrgs for year</t>
  </si>
  <si>
    <t>Demand change</t>
  </si>
  <si>
    <t>Demand Change</t>
  </si>
  <si>
    <t>Change from FY14 to FY15</t>
  </si>
  <si>
    <t>Change from FY15 to FY16</t>
  </si>
  <si>
    <t>Bill received but not yet paid</t>
  </si>
  <si>
    <t>Total electric charges</t>
  </si>
  <si>
    <t>New Mexico State University</t>
  </si>
  <si>
    <t>Utility Costs by FY</t>
  </si>
  <si>
    <t>Utility</t>
  </si>
  <si>
    <t>Purchased Electric (EPE)</t>
  </si>
  <si>
    <t>Purchased HP Natural Gas (CLC)</t>
  </si>
  <si>
    <t>Purchase LP Natural Gas (CLC)</t>
  </si>
  <si>
    <t>Total Billed Electric</t>
  </si>
  <si>
    <t>Billed Electric (I&amp;G)</t>
  </si>
  <si>
    <t>Billed Natural Gas (I&amp;G)</t>
  </si>
  <si>
    <t>Billed Natural Gas (non I&amp;G)</t>
  </si>
  <si>
    <t>Total Billed Chilled Water</t>
  </si>
  <si>
    <t>Billed Chilled Water (I&amp;G)</t>
  </si>
  <si>
    <t>Billed Chilled Water (non I&amp;G)</t>
  </si>
  <si>
    <t>Billed Electric (non I&amp;G)</t>
  </si>
  <si>
    <t>Total Billed Steam</t>
  </si>
  <si>
    <t>Billed Steam (I&amp;G)</t>
  </si>
  <si>
    <t>Billed Steam (non I&amp;G)</t>
  </si>
  <si>
    <t>Total kwh</t>
  </si>
  <si>
    <t>Total MCF</t>
  </si>
  <si>
    <t>Total ton-hrs</t>
  </si>
  <si>
    <t>Total klbs</t>
  </si>
  <si>
    <t>FY17</t>
  </si>
  <si>
    <t>Change from FY16 to FY17</t>
  </si>
  <si>
    <t>% change in KWH purchased (FY17 vs. FY16)</t>
  </si>
  <si>
    <r>
      <t xml:space="preserve">FY17 - </t>
    </r>
    <r>
      <rPr>
        <b/>
        <sz val="11"/>
        <color rgb="FF0070C0"/>
        <rFont val="Calibri"/>
        <family val="2"/>
        <scheme val="minor"/>
      </rPr>
      <t>new rate structure</t>
    </r>
  </si>
  <si>
    <t xml:space="preserve">FY16 </t>
  </si>
  <si>
    <t>L090851049</t>
  </si>
  <si>
    <t>I105166973</t>
  </si>
  <si>
    <t>I105195887</t>
  </si>
  <si>
    <t>I105182011</t>
  </si>
  <si>
    <t>I105131946</t>
  </si>
  <si>
    <t>I105128952</t>
  </si>
  <si>
    <t xml:space="preserve">   </t>
  </si>
  <si>
    <t>May bills already paid</t>
  </si>
  <si>
    <t>FY18</t>
  </si>
  <si>
    <t xml:space="preserve">FY18 </t>
  </si>
  <si>
    <t>Change from FY17 to FY18</t>
  </si>
  <si>
    <t>% change in KWH purchased (FY18 vs. FY17)</t>
  </si>
  <si>
    <t>Cogen 4</t>
  </si>
  <si>
    <t>Cogen 5</t>
  </si>
  <si>
    <t>300006464-
94318</t>
  </si>
  <si>
    <t>300006465-
94319</t>
  </si>
  <si>
    <t>Billed Electric (non I&amp;G Kwh)</t>
  </si>
  <si>
    <t>Billed Electric (I&amp;G Kwh)</t>
  </si>
  <si>
    <t>Billed Natural Gas (I&amp;G MCF)</t>
  </si>
  <si>
    <t>Billed Natural Gas (non I&amp;G MCF)</t>
  </si>
  <si>
    <t>Billed Chilled Water (I&amp;G ton hrs)</t>
  </si>
  <si>
    <t>Billed Chilled Water (non I&amp;G ton hrs)</t>
  </si>
  <si>
    <t>Billed Steam (I&amp;G klbs)</t>
  </si>
  <si>
    <t>Billed Steam (non I&amp;G klbs)</t>
  </si>
  <si>
    <t>I&amp;G vs Non I&amp;G %</t>
  </si>
  <si>
    <t>Facilities and Services - Utility Operations</t>
  </si>
  <si>
    <t>Total Billed Low Pressure Natural Gas</t>
  </si>
  <si>
    <t>Purchased Electric Kwh (EPE)</t>
  </si>
  <si>
    <t>Purchased HP Natural Gas MCF (CLC)</t>
  </si>
  <si>
    <t>Purchased LP Natural Gas MCF (CLC)</t>
  </si>
  <si>
    <t>High Pressure Gas (CoGen1, CoGen2 and Boilers, CoGen4, CoGen5)</t>
  </si>
  <si>
    <t>Renewable Portfolio Standard Recovery rate</t>
  </si>
  <si>
    <t>Renewable Portfolio Standard Recovery amt</t>
  </si>
  <si>
    <t>HP Change FY16 to FY17</t>
  </si>
  <si>
    <t>HP Change FY17 to FY18</t>
  </si>
  <si>
    <t>0423201824</t>
  </si>
  <si>
    <t>Months Accrued for June  - not actual bills</t>
  </si>
  <si>
    <t>FY19</t>
  </si>
  <si>
    <t>change % since 2012</t>
  </si>
  <si>
    <t>Boiler 1</t>
  </si>
  <si>
    <t>Boiler 2</t>
  </si>
  <si>
    <t>CP Boiler 3</t>
  </si>
  <si>
    <t>Boiler 3 (Boilers)</t>
  </si>
  <si>
    <t>Boiler 2 (Cogen 4)</t>
  </si>
  <si>
    <t>Boiler 1 (Cogen 5)</t>
  </si>
  <si>
    <t>Generation costs</t>
  </si>
  <si>
    <t>Generation consumption</t>
  </si>
  <si>
    <t>Fuel and Purchased Power Cost Adj Per KWH/cost</t>
  </si>
  <si>
    <t>I105275485</t>
  </si>
  <si>
    <t>I105253204</t>
  </si>
  <si>
    <t>I105093626</t>
  </si>
  <si>
    <t>I105259166</t>
  </si>
  <si>
    <t>I105275874</t>
  </si>
  <si>
    <t xml:space="preserve">FY19 Actuals - may not be acutal bill amts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</si>
</sst>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 #,##0.00000_);_(* \(#,##0.00000\);_(* &quot;-&quot;??_);_(@_)"/>
    <numFmt numFmtId="165" formatCode="_(* #,##0.0000_);_(* \(#,##0.0000\);_(* &quot;-&quot;??_);_(@_)"/>
    <numFmt numFmtId="166" formatCode="_(* #,##0.000000_);_(* \(#,##0.000000\);_(* &quot;-&quot;??_);_(@_)"/>
    <numFmt numFmtId="167" formatCode="_(* #,##0.0000_);_(* \(#,##0.0000\);_(* &quot;-&quot;????_);_(@_)"/>
  </numFmts>
  <fonts count="3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8"/>
      <color theme="1"/>
      <name val="Calibri"/>
      <family val="2"/>
      <scheme val="minor"/>
    </font>
    <font>
      <sz val="11"/>
      <name val="Calibri"/>
      <family val="2"/>
      <scheme val="minor"/>
    </font>
    <font>
      <sz val="11"/>
      <color indexed="8"/>
      <name val="Calibri"/>
      <family val="2"/>
    </font>
    <font>
      <sz val="10"/>
      <color theme="1"/>
      <name val="Calibri"/>
      <family val="2"/>
      <scheme val="minor"/>
    </font>
    <font>
      <b/>
      <sz val="8"/>
      <color indexed="81"/>
      <name val="Tahoma"/>
      <family val="2"/>
    </font>
    <font>
      <sz val="8"/>
      <color indexed="81"/>
      <name val="Tahoma"/>
      <family val="2"/>
    </font>
    <font>
      <sz val="11"/>
      <color theme="0" tint="-0.34998626667073579"/>
      <name val="Calibri"/>
      <family val="2"/>
      <scheme val="minor"/>
    </font>
    <font>
      <b/>
      <sz val="11"/>
      <color theme="0" tint="-0.34998626667073579"/>
      <name val="Calibri"/>
      <family val="2"/>
      <scheme val="minor"/>
    </font>
    <font>
      <sz val="11"/>
      <color rgb="FFFF0000"/>
      <name val="Calibri"/>
      <family val="2"/>
      <scheme val="minor"/>
    </font>
    <font>
      <b/>
      <sz val="11"/>
      <color rgb="FFFF0000"/>
      <name val="Calibri"/>
      <family val="2"/>
      <scheme val="minor"/>
    </font>
    <font>
      <i/>
      <sz val="11"/>
      <color theme="1"/>
      <name val="Calibri"/>
      <family val="2"/>
      <scheme val="minor"/>
    </font>
    <font>
      <i/>
      <sz val="11"/>
      <color rgb="FF0070C0"/>
      <name val="Calibri"/>
      <family val="2"/>
      <scheme val="minor"/>
    </font>
    <font>
      <b/>
      <sz val="10"/>
      <color rgb="FFFF0000"/>
      <name val="Calibri"/>
      <family val="2"/>
      <scheme val="minor"/>
    </font>
    <font>
      <sz val="10"/>
      <color rgb="FFFF0000"/>
      <name val="Calibri"/>
      <family val="2"/>
      <scheme val="minor"/>
    </font>
    <font>
      <b/>
      <sz val="11"/>
      <name val="Calibri"/>
      <family val="2"/>
      <scheme val="minor"/>
    </font>
    <font>
      <sz val="11"/>
      <color rgb="FF0070C0"/>
      <name val="Calibri"/>
      <family val="2"/>
      <scheme val="minor"/>
    </font>
    <font>
      <i/>
      <sz val="11"/>
      <color theme="0" tint="-0.499984740745262"/>
      <name val="Calibri"/>
      <family val="2"/>
      <scheme val="minor"/>
    </font>
    <font>
      <sz val="9"/>
      <color indexed="81"/>
      <name val="Tahoma"/>
      <family val="2"/>
    </font>
    <font>
      <b/>
      <sz val="9"/>
      <color indexed="81"/>
      <name val="Tahoma"/>
      <family val="2"/>
    </font>
    <font>
      <b/>
      <sz val="11"/>
      <color rgb="FF0070C0"/>
      <name val="Calibri"/>
      <family val="2"/>
      <scheme val="minor"/>
    </font>
    <font>
      <b/>
      <sz val="10"/>
      <color theme="1"/>
      <name val="Calibri"/>
      <family val="2"/>
      <scheme val="minor"/>
    </font>
    <font>
      <sz val="11"/>
      <color rgb="FF006100"/>
      <name val="Calibri"/>
      <family val="2"/>
      <scheme val="minor"/>
    </font>
    <font>
      <sz val="11"/>
      <color rgb="FF9C0006"/>
      <name val="Calibri"/>
      <family val="2"/>
      <scheme val="minor"/>
    </font>
    <font>
      <b/>
      <sz val="11"/>
      <color theme="5" tint="-0.249977111117893"/>
      <name val="Calibri"/>
      <family val="2"/>
      <scheme val="minor"/>
    </font>
  </fonts>
  <fills count="1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6" tint="0.39997558519241921"/>
        <bgColor indexed="64"/>
      </patternFill>
    </fill>
    <fill>
      <patternFill patternType="solid">
        <fgColor rgb="FF0070C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00FFFF"/>
        <bgColor indexed="64"/>
      </patternFill>
    </fill>
    <fill>
      <patternFill patternType="solid">
        <fgColor rgb="FFFFCC99"/>
        <bgColor indexed="64"/>
      </patternFill>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A5A5A5"/>
      </patternFill>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9" fontId="1" fillId="0" borderId="0" applyFont="0" applyFill="0" applyBorder="0" applyAlignment="0" applyProtection="0"/>
    <xf numFmtId="0" fontId="27" fillId="14" borderId="0" applyNumberFormat="0" applyBorder="0" applyAlignment="0" applyProtection="0"/>
    <xf numFmtId="0" fontId="28" fillId="15" borderId="0" applyNumberFormat="0" applyBorder="0" applyAlignment="0" applyProtection="0"/>
    <xf numFmtId="0" fontId="2" fillId="16" borderId="9" applyNumberFormat="0" applyAlignment="0" applyProtection="0"/>
  </cellStyleXfs>
  <cellXfs count="598">
    <xf numFmtId="0" fontId="0" fillId="0" borderId="0" xfId="0"/>
    <xf numFmtId="0" fontId="3" fillId="0" borderId="0" xfId="0" applyFont="1"/>
    <xf numFmtId="0" fontId="0" fillId="0" borderId="1" xfId="0" applyBorder="1" applyAlignment="1"/>
    <xf numFmtId="0" fontId="0" fillId="2" borderId="1" xfId="0" applyFill="1" applyBorder="1" applyAlignment="1">
      <alignment horizontal="center"/>
    </xf>
    <xf numFmtId="0" fontId="0" fillId="2" borderId="1" xfId="0" applyFill="1" applyBorder="1"/>
    <xf numFmtId="0" fontId="3" fillId="0" borderId="1" xfId="0" applyFont="1" applyBorder="1" applyAlignment="1"/>
    <xf numFmtId="0" fontId="3" fillId="3" borderId="1" xfId="0" applyFont="1" applyFill="1" applyBorder="1" applyAlignment="1">
      <alignment horizontal="center"/>
    </xf>
    <xf numFmtId="0" fontId="0" fillId="0" borderId="0" xfId="0" applyAlignment="1">
      <alignment horizontal="center"/>
    </xf>
    <xf numFmtId="0" fontId="5" fillId="0" borderId="1" xfId="0" applyFont="1" applyBorder="1" applyAlignment="1">
      <alignment wrapText="1"/>
    </xf>
    <xf numFmtId="0" fontId="5" fillId="0" borderId="1" xfId="0" applyFont="1" applyFill="1" applyBorder="1" applyAlignment="1">
      <alignment wrapText="1"/>
    </xf>
    <xf numFmtId="0" fontId="3" fillId="0" borderId="2" xfId="0" applyFont="1" applyBorder="1" applyAlignment="1"/>
    <xf numFmtId="0" fontId="0" fillId="0" borderId="2" xfId="0" applyFont="1" applyBorder="1" applyAlignment="1">
      <alignment horizontal="center" wrapText="1"/>
    </xf>
    <xf numFmtId="0" fontId="0" fillId="0" borderId="2" xfId="0" applyFont="1" applyFill="1" applyBorder="1" applyAlignment="1">
      <alignment horizontal="center" wrapText="1"/>
    </xf>
    <xf numFmtId="0" fontId="0" fillId="2" borderId="2" xfId="0" applyFill="1" applyBorder="1"/>
    <xf numFmtId="0" fontId="0" fillId="2" borderId="3" xfId="0" applyFont="1" applyFill="1" applyBorder="1" applyAlignment="1">
      <alignment horizontal="left" wrapText="1"/>
    </xf>
    <xf numFmtId="0" fontId="6" fillId="0" borderId="3" xfId="0" applyFont="1" applyBorder="1" applyAlignment="1">
      <alignment horizontal="left" wrapText="1"/>
    </xf>
    <xf numFmtId="0" fontId="6" fillId="2" borderId="3" xfId="0" applyFont="1" applyFill="1" applyBorder="1" applyAlignment="1">
      <alignment horizontal="left" wrapText="1"/>
    </xf>
    <xf numFmtId="0" fontId="6" fillId="0" borderId="0" xfId="0" applyFont="1" applyAlignment="1">
      <alignment horizontal="left" wrapText="1"/>
    </xf>
    <xf numFmtId="0" fontId="0" fillId="0" borderId="4" xfId="0" applyBorder="1"/>
    <xf numFmtId="43" fontId="0" fillId="0" borderId="4" xfId="0" applyNumberFormat="1" applyBorder="1"/>
    <xf numFmtId="43" fontId="7" fillId="0" borderId="4" xfId="0" applyNumberFormat="1" applyFont="1" applyBorder="1"/>
    <xf numFmtId="43" fontId="0" fillId="2" borderId="4" xfId="0" applyNumberFormat="1" applyFill="1" applyBorder="1"/>
    <xf numFmtId="0" fontId="0" fillId="0" borderId="1" xfId="0" applyBorder="1"/>
    <xf numFmtId="43" fontId="0" fillId="0" borderId="1" xfId="0" applyNumberFormat="1" applyBorder="1"/>
    <xf numFmtId="43" fontId="0" fillId="2" borderId="1" xfId="0" applyNumberFormat="1" applyFill="1" applyBorder="1"/>
    <xf numFmtId="43" fontId="7" fillId="4" borderId="1" xfId="0" applyNumberFormat="1" applyFont="1" applyFill="1" applyBorder="1"/>
    <xf numFmtId="0" fontId="3" fillId="2" borderId="1" xfId="0" applyFont="1" applyFill="1" applyBorder="1"/>
    <xf numFmtId="44" fontId="3" fillId="2" borderId="1" xfId="2" applyFont="1" applyFill="1" applyBorder="1"/>
    <xf numFmtId="0" fontId="0" fillId="0" borderId="2" xfId="0" applyBorder="1"/>
    <xf numFmtId="43" fontId="0" fillId="0" borderId="2" xfId="0" applyNumberFormat="1" applyBorder="1"/>
    <xf numFmtId="44" fontId="0" fillId="2" borderId="1" xfId="0" applyNumberFormat="1" applyFill="1" applyBorder="1"/>
    <xf numFmtId="0" fontId="3" fillId="0" borderId="2" xfId="0" applyFont="1" applyBorder="1"/>
    <xf numFmtId="0" fontId="0" fillId="0" borderId="0" xfId="0" applyBorder="1"/>
    <xf numFmtId="43" fontId="4" fillId="0" borderId="1" xfId="0" applyNumberFormat="1" applyFont="1" applyFill="1" applyBorder="1"/>
    <xf numFmtId="43" fontId="4" fillId="0" borderId="1" xfId="2" applyNumberFormat="1" applyFont="1" applyFill="1" applyBorder="1"/>
    <xf numFmtId="0" fontId="4" fillId="0" borderId="1" xfId="0" applyFont="1" applyFill="1" applyBorder="1"/>
    <xf numFmtId="14" fontId="3" fillId="0" borderId="0" xfId="0" applyNumberFormat="1" applyFont="1" applyAlignment="1">
      <alignment horizontal="left"/>
    </xf>
    <xf numFmtId="43" fontId="0" fillId="0" borderId="0" xfId="1" applyFont="1"/>
    <xf numFmtId="43" fontId="2" fillId="5" borderId="1" xfId="0" applyNumberFormat="1" applyFont="1" applyFill="1" applyBorder="1"/>
    <xf numFmtId="43" fontId="4" fillId="5" borderId="1" xfId="0" applyNumberFormat="1" applyFont="1" applyFill="1" applyBorder="1"/>
    <xf numFmtId="0" fontId="0" fillId="5" borderId="0" xfId="0" applyFill="1"/>
    <xf numFmtId="44" fontId="0" fillId="0" borderId="0" xfId="0" applyNumberFormat="1"/>
    <xf numFmtId="0" fontId="0" fillId="2" borderId="1" xfId="0" applyFill="1" applyBorder="1" applyAlignment="1"/>
    <xf numFmtId="0" fontId="3" fillId="0" borderId="1" xfId="0" applyFont="1" applyBorder="1" applyAlignment="1">
      <alignment horizontal="center" wrapText="1"/>
    </xf>
    <xf numFmtId="0" fontId="3" fillId="2" borderId="1" xfId="0" applyFont="1" applyFill="1" applyBorder="1" applyAlignment="1">
      <alignment horizontal="center"/>
    </xf>
    <xf numFmtId="0" fontId="0" fillId="0" borderId="1" xfId="0" applyBorder="1" applyAlignment="1">
      <alignment horizontal="center" wrapText="1"/>
    </xf>
    <xf numFmtId="0" fontId="0" fillId="0" borderId="1" xfId="0" applyBorder="1" applyAlignment="1">
      <alignment horizontal="center"/>
    </xf>
    <xf numFmtId="0" fontId="6" fillId="0" borderId="1" xfId="0" applyFont="1" applyBorder="1" applyAlignment="1">
      <alignment horizontal="left" wrapText="1"/>
    </xf>
    <xf numFmtId="0" fontId="6" fillId="2" borderId="1" xfId="0" applyFont="1" applyFill="1" applyBorder="1" applyAlignment="1">
      <alignment horizontal="left" wrapText="1"/>
    </xf>
    <xf numFmtId="0" fontId="9" fillId="0" borderId="1" xfId="0" applyFont="1" applyBorder="1" applyAlignment="1">
      <alignment horizontal="center" wrapText="1"/>
    </xf>
    <xf numFmtId="0" fontId="0" fillId="2" borderId="1" xfId="0" applyFont="1" applyFill="1" applyBorder="1" applyAlignment="1">
      <alignment horizontal="left" wrapText="1"/>
    </xf>
    <xf numFmtId="43" fontId="3" fillId="0" borderId="0" xfId="1" applyFont="1"/>
    <xf numFmtId="0" fontId="5" fillId="0" borderId="2" xfId="0" applyFont="1" applyBorder="1" applyAlignment="1">
      <alignment wrapText="1"/>
    </xf>
    <xf numFmtId="0" fontId="5" fillId="0" borderId="2" xfId="0" applyFont="1" applyFill="1" applyBorder="1" applyAlignment="1">
      <alignment wrapText="1"/>
    </xf>
    <xf numFmtId="0" fontId="3" fillId="0" borderId="2" xfId="0" applyFont="1" applyBorder="1" applyAlignment="1">
      <alignment wrapText="1"/>
    </xf>
    <xf numFmtId="0" fontId="0" fillId="0" borderId="0" xfId="0" applyFill="1"/>
    <xf numFmtId="0" fontId="0" fillId="0" borderId="0" xfId="0" applyFill="1" applyAlignment="1">
      <alignment horizontal="center"/>
    </xf>
    <xf numFmtId="0" fontId="6" fillId="0" borderId="0" xfId="0" applyFont="1" applyFill="1" applyAlignment="1">
      <alignment horizontal="left" wrapText="1"/>
    </xf>
    <xf numFmtId="0" fontId="0" fillId="0" borderId="0" xfId="0" applyFill="1" applyBorder="1"/>
    <xf numFmtId="0" fontId="0" fillId="2" borderId="1" xfId="0" applyFill="1" applyBorder="1" applyAlignment="1">
      <alignment horizontal="center"/>
    </xf>
    <xf numFmtId="43" fontId="0" fillId="0" borderId="1" xfId="0" applyNumberFormat="1" applyBorder="1"/>
    <xf numFmtId="43" fontId="7" fillId="0" borderId="1" xfId="0" applyNumberFormat="1" applyFont="1" applyBorder="1"/>
    <xf numFmtId="43" fontId="7" fillId="0" borderId="1" xfId="0" applyNumberFormat="1" applyFont="1" applyFill="1" applyBorder="1"/>
    <xf numFmtId="43" fontId="0" fillId="0" borderId="1" xfId="0" applyNumberFormat="1" applyBorder="1"/>
    <xf numFmtId="43" fontId="7" fillId="0" borderId="1" xfId="0" applyNumberFormat="1" applyFont="1" applyBorder="1"/>
    <xf numFmtId="43" fontId="7" fillId="0" borderId="1" xfId="0" applyNumberFormat="1" applyFont="1" applyFill="1" applyBorder="1"/>
    <xf numFmtId="0" fontId="0" fillId="0" borderId="1" xfId="0" applyBorder="1" applyAlignment="1"/>
    <xf numFmtId="0" fontId="0" fillId="2" borderId="1" xfId="0" applyFill="1" applyBorder="1"/>
    <xf numFmtId="0" fontId="3" fillId="0" borderId="1" xfId="0" applyFont="1" applyBorder="1" applyAlignment="1"/>
    <xf numFmtId="0" fontId="3" fillId="3" borderId="1" xfId="0" applyFont="1" applyFill="1" applyBorder="1" applyAlignment="1">
      <alignment horizontal="center"/>
    </xf>
    <xf numFmtId="0" fontId="0" fillId="2" borderId="1" xfId="0" applyFill="1" applyBorder="1" applyAlignment="1">
      <alignment horizontal="center"/>
    </xf>
    <xf numFmtId="0" fontId="0" fillId="2" borderId="3" xfId="0" applyFont="1" applyFill="1" applyBorder="1" applyAlignment="1">
      <alignment horizontal="left" wrapText="1"/>
    </xf>
    <xf numFmtId="0" fontId="6" fillId="2" borderId="3" xfId="0" applyFont="1" applyFill="1" applyBorder="1" applyAlignment="1">
      <alignment horizontal="left" wrapText="1"/>
    </xf>
    <xf numFmtId="0" fontId="0" fillId="0" borderId="4" xfId="0" applyBorder="1"/>
    <xf numFmtId="43" fontId="0" fillId="0" borderId="4" xfId="0" applyNumberFormat="1" applyBorder="1"/>
    <xf numFmtId="43" fontId="0" fillId="2" borderId="4" xfId="0" applyNumberFormat="1" applyFill="1" applyBorder="1"/>
    <xf numFmtId="0" fontId="0" fillId="0" borderId="1" xfId="0" applyBorder="1"/>
    <xf numFmtId="43" fontId="0" fillId="0" borderId="1" xfId="0" applyNumberFormat="1" applyBorder="1"/>
    <xf numFmtId="43" fontId="0" fillId="2" borderId="1" xfId="0" applyNumberFormat="1" applyFill="1" applyBorder="1"/>
    <xf numFmtId="0" fontId="3" fillId="2" borderId="1" xfId="0" applyFont="1" applyFill="1" applyBorder="1"/>
    <xf numFmtId="44" fontId="3" fillId="2" borderId="1" xfId="2" applyFont="1" applyFill="1" applyBorder="1"/>
    <xf numFmtId="0" fontId="0" fillId="0" borderId="2" xfId="0" applyBorder="1"/>
    <xf numFmtId="43" fontId="0" fillId="0" borderId="2" xfId="0" applyNumberFormat="1" applyBorder="1"/>
    <xf numFmtId="44" fontId="0" fillId="2" borderId="1" xfId="0" applyNumberFormat="1" applyFill="1" applyBorder="1"/>
    <xf numFmtId="0" fontId="3" fillId="0" borderId="2" xfId="0" applyFont="1" applyBorder="1"/>
    <xf numFmtId="43" fontId="0" fillId="0" borderId="1" xfId="0" applyNumberFormat="1" applyBorder="1"/>
    <xf numFmtId="43" fontId="7" fillId="0" borderId="1" xfId="0" applyNumberFormat="1" applyFont="1" applyBorder="1"/>
    <xf numFmtId="43" fontId="7" fillId="0" borderId="1" xfId="0" applyNumberFormat="1" applyFont="1" applyFill="1" applyBorder="1"/>
    <xf numFmtId="43" fontId="0" fillId="0" borderId="1" xfId="0" applyNumberFormat="1" applyFill="1" applyBorder="1"/>
    <xf numFmtId="0" fontId="0" fillId="0" borderId="1" xfId="0" applyBorder="1" applyAlignment="1"/>
    <xf numFmtId="0" fontId="0" fillId="2" borderId="1" xfId="0" applyFill="1" applyBorder="1"/>
    <xf numFmtId="0" fontId="3" fillId="0" borderId="1" xfId="0" applyFont="1" applyBorder="1" applyAlignment="1"/>
    <xf numFmtId="0" fontId="3" fillId="3" borderId="1" xfId="0" applyFont="1" applyFill="1" applyBorder="1" applyAlignment="1">
      <alignment horizontal="center"/>
    </xf>
    <xf numFmtId="0" fontId="0" fillId="2" borderId="1" xfId="0" applyFill="1" applyBorder="1" applyAlignment="1">
      <alignment horizontal="center"/>
    </xf>
    <xf numFmtId="0" fontId="0" fillId="2" borderId="3" xfId="0" applyFont="1" applyFill="1" applyBorder="1" applyAlignment="1">
      <alignment horizontal="left" wrapText="1"/>
    </xf>
    <xf numFmtId="0" fontId="6" fillId="2" borderId="3" xfId="0" applyFont="1" applyFill="1" applyBorder="1" applyAlignment="1">
      <alignment horizontal="left" wrapText="1"/>
    </xf>
    <xf numFmtId="0" fontId="0" fillId="0" borderId="4" xfId="0" applyBorder="1"/>
    <xf numFmtId="43" fontId="0" fillId="0" borderId="4" xfId="0" applyNumberFormat="1" applyBorder="1"/>
    <xf numFmtId="43" fontId="0" fillId="2" borderId="4" xfId="0" applyNumberFormat="1" applyFill="1" applyBorder="1"/>
    <xf numFmtId="0" fontId="0" fillId="0" borderId="1" xfId="0" applyBorder="1"/>
    <xf numFmtId="43" fontId="0" fillId="0" borderId="1" xfId="0" applyNumberFormat="1" applyBorder="1"/>
    <xf numFmtId="43" fontId="7" fillId="0" borderId="1" xfId="0" applyNumberFormat="1" applyFont="1" applyBorder="1"/>
    <xf numFmtId="43" fontId="0" fillId="2" borderId="1" xfId="0" applyNumberFormat="1" applyFill="1" applyBorder="1"/>
    <xf numFmtId="43" fontId="7" fillId="0" borderId="1" xfId="0" applyNumberFormat="1" applyFont="1" applyFill="1" applyBorder="1"/>
    <xf numFmtId="0" fontId="3" fillId="2" borderId="1" xfId="0" applyFont="1" applyFill="1" applyBorder="1"/>
    <xf numFmtId="44" fontId="3" fillId="2" borderId="1" xfId="2" applyFont="1" applyFill="1" applyBorder="1"/>
    <xf numFmtId="0" fontId="0" fillId="0" borderId="2" xfId="0" applyBorder="1"/>
    <xf numFmtId="43" fontId="0" fillId="0" borderId="2" xfId="0" applyNumberFormat="1" applyBorder="1"/>
    <xf numFmtId="44" fontId="0" fillId="2" borderId="1" xfId="0" applyNumberFormat="1" applyFill="1" applyBorder="1"/>
    <xf numFmtId="0" fontId="3" fillId="0" borderId="2" xfId="0" applyFont="1" applyBorder="1"/>
    <xf numFmtId="43" fontId="0" fillId="0" borderId="1" xfId="0" applyNumberFormat="1" applyBorder="1"/>
    <xf numFmtId="43" fontId="7" fillId="0" borderId="1" xfId="0" applyNumberFormat="1" applyFont="1" applyBorder="1"/>
    <xf numFmtId="43" fontId="7" fillId="0" borderId="1" xfId="0" applyNumberFormat="1" applyFont="1" applyFill="1" applyBorder="1"/>
    <xf numFmtId="43" fontId="0" fillId="0" borderId="1" xfId="0" applyNumberFormat="1" applyFill="1" applyBorder="1"/>
    <xf numFmtId="0" fontId="0" fillId="0" borderId="1" xfId="0" applyBorder="1" applyAlignment="1"/>
    <xf numFmtId="0" fontId="0" fillId="2" borderId="1" xfId="0" applyFill="1" applyBorder="1"/>
    <xf numFmtId="0" fontId="3" fillId="0" borderId="1" xfId="0" applyFont="1" applyBorder="1" applyAlignment="1"/>
    <xf numFmtId="0" fontId="3" fillId="3" borderId="1" xfId="0" applyFont="1" applyFill="1" applyBorder="1" applyAlignment="1">
      <alignment horizontal="center"/>
    </xf>
    <xf numFmtId="0" fontId="0" fillId="2" borderId="1" xfId="0" applyFill="1" applyBorder="1" applyAlignment="1">
      <alignment horizontal="center"/>
    </xf>
    <xf numFmtId="0" fontId="0" fillId="2" borderId="3" xfId="0" applyFont="1" applyFill="1" applyBorder="1" applyAlignment="1">
      <alignment horizontal="left" wrapText="1"/>
    </xf>
    <xf numFmtId="0" fontId="6" fillId="2" borderId="3" xfId="0" applyFont="1" applyFill="1" applyBorder="1" applyAlignment="1">
      <alignment horizontal="left" wrapText="1"/>
    </xf>
    <xf numFmtId="0" fontId="0" fillId="0" borderId="4" xfId="0" applyBorder="1"/>
    <xf numFmtId="43" fontId="0" fillId="0" borderId="4" xfId="0" applyNumberFormat="1" applyBorder="1"/>
    <xf numFmtId="43" fontId="0" fillId="2" borderId="4" xfId="0" applyNumberFormat="1" applyFill="1" applyBorder="1"/>
    <xf numFmtId="0" fontId="0" fillId="0" borderId="1" xfId="0" applyBorder="1"/>
    <xf numFmtId="43" fontId="0" fillId="0" borderId="1" xfId="0" applyNumberFormat="1" applyBorder="1"/>
    <xf numFmtId="43" fontId="0" fillId="2" borderId="1" xfId="0" applyNumberFormat="1" applyFill="1" applyBorder="1"/>
    <xf numFmtId="43" fontId="7" fillId="0" borderId="1" xfId="0" applyNumberFormat="1" applyFont="1" applyFill="1" applyBorder="1"/>
    <xf numFmtId="0" fontId="3" fillId="2" borderId="1" xfId="0" applyFont="1" applyFill="1" applyBorder="1"/>
    <xf numFmtId="44" fontId="3" fillId="2" borderId="1" xfId="2" applyFont="1" applyFill="1" applyBorder="1"/>
    <xf numFmtId="0" fontId="0" fillId="0" borderId="2" xfId="0" applyBorder="1"/>
    <xf numFmtId="43" fontId="0" fillId="0" borderId="2" xfId="0" applyNumberFormat="1" applyBorder="1"/>
    <xf numFmtId="44" fontId="0" fillId="2" borderId="1" xfId="0" applyNumberFormat="1" applyFill="1" applyBorder="1"/>
    <xf numFmtId="0" fontId="3" fillId="0" borderId="2" xfId="0" applyFont="1" applyBorder="1"/>
    <xf numFmtId="43" fontId="0" fillId="0" borderId="1" xfId="0" applyNumberFormat="1" applyBorder="1"/>
    <xf numFmtId="43" fontId="7" fillId="0" borderId="1" xfId="0" applyNumberFormat="1" applyFont="1" applyBorder="1"/>
    <xf numFmtId="43" fontId="7" fillId="0" borderId="1" xfId="0" applyNumberFormat="1" applyFont="1" applyFill="1" applyBorder="1"/>
    <xf numFmtId="43" fontId="0" fillId="0" borderId="1" xfId="0" applyNumberFormat="1" applyFill="1" applyBorder="1"/>
    <xf numFmtId="0" fontId="0" fillId="0" borderId="1" xfId="0" applyBorder="1" applyAlignment="1"/>
    <xf numFmtId="0" fontId="0" fillId="2" borderId="1" xfId="0" applyFill="1" applyBorder="1"/>
    <xf numFmtId="0" fontId="3" fillId="0" borderId="1" xfId="0" applyFont="1" applyBorder="1" applyAlignment="1"/>
    <xf numFmtId="0" fontId="3" fillId="3" borderId="1" xfId="0" applyFont="1" applyFill="1" applyBorder="1" applyAlignment="1">
      <alignment horizontal="center"/>
    </xf>
    <xf numFmtId="0" fontId="0" fillId="2" borderId="1" xfId="0" applyFill="1" applyBorder="1" applyAlignment="1">
      <alignment horizontal="center"/>
    </xf>
    <xf numFmtId="0" fontId="0" fillId="2" borderId="3" xfId="0" applyFont="1" applyFill="1" applyBorder="1" applyAlignment="1">
      <alignment horizontal="left" wrapText="1"/>
    </xf>
    <xf numFmtId="0" fontId="6" fillId="2" borderId="3" xfId="0" applyFont="1" applyFill="1" applyBorder="1" applyAlignment="1">
      <alignment horizontal="left" wrapText="1"/>
    </xf>
    <xf numFmtId="0" fontId="0" fillId="0" borderId="4" xfId="0" applyBorder="1"/>
    <xf numFmtId="43" fontId="0" fillId="0" borderId="4" xfId="0" applyNumberFormat="1" applyBorder="1"/>
    <xf numFmtId="43" fontId="0" fillId="2" borderId="4" xfId="0" applyNumberFormat="1" applyFill="1" applyBorder="1"/>
    <xf numFmtId="0" fontId="0" fillId="0" borderId="1" xfId="0" applyBorder="1"/>
    <xf numFmtId="43" fontId="0" fillId="0" borderId="1" xfId="0" applyNumberFormat="1" applyBorder="1"/>
    <xf numFmtId="43" fontId="7" fillId="0" borderId="1" xfId="0" applyNumberFormat="1" applyFont="1" applyBorder="1"/>
    <xf numFmtId="43" fontId="0" fillId="2" borderId="1" xfId="0" applyNumberFormat="1" applyFill="1" applyBorder="1"/>
    <xf numFmtId="43" fontId="7" fillId="0" borderId="1" xfId="0" applyNumberFormat="1" applyFont="1" applyFill="1" applyBorder="1"/>
    <xf numFmtId="0" fontId="3" fillId="2" borderId="1" xfId="0" applyFont="1" applyFill="1" applyBorder="1"/>
    <xf numFmtId="44" fontId="3" fillId="2" borderId="1" xfId="2" applyFont="1" applyFill="1" applyBorder="1"/>
    <xf numFmtId="0" fontId="0" fillId="0" borderId="2" xfId="0" applyBorder="1"/>
    <xf numFmtId="43" fontId="0" fillId="0" borderId="2" xfId="0" applyNumberFormat="1" applyBorder="1"/>
    <xf numFmtId="44" fontId="0" fillId="2" borderId="1" xfId="0" applyNumberFormat="1" applyFill="1" applyBorder="1"/>
    <xf numFmtId="0" fontId="3" fillId="0" borderId="2" xfId="0" applyFont="1" applyBorder="1"/>
    <xf numFmtId="0" fontId="0" fillId="2" borderId="1" xfId="0" applyFill="1" applyBorder="1" applyAlignment="1">
      <alignment horizontal="center"/>
    </xf>
    <xf numFmtId="0" fontId="12" fillId="0" borderId="2" xfId="0" applyFont="1" applyFill="1" applyBorder="1"/>
    <xf numFmtId="43" fontId="12" fillId="0" borderId="2" xfId="0" applyNumberFormat="1" applyFont="1" applyFill="1" applyBorder="1"/>
    <xf numFmtId="43" fontId="0" fillId="0" borderId="1" xfId="0" applyNumberFormat="1" applyFont="1" applyBorder="1"/>
    <xf numFmtId="44" fontId="13" fillId="0" borderId="2" xfId="2" applyFont="1" applyFill="1" applyBorder="1"/>
    <xf numFmtId="0" fontId="13" fillId="0" borderId="2" xfId="0" applyFont="1" applyFill="1" applyBorder="1"/>
    <xf numFmtId="43" fontId="12" fillId="0" borderId="2" xfId="1" applyFont="1" applyFill="1" applyBorder="1"/>
    <xf numFmtId="43" fontId="13" fillId="0" borderId="2" xfId="1" applyFont="1" applyFill="1" applyBorder="1"/>
    <xf numFmtId="0" fontId="0" fillId="2" borderId="1" xfId="0" applyFill="1" applyBorder="1" applyAlignment="1">
      <alignment horizontal="center"/>
    </xf>
    <xf numFmtId="43" fontId="3" fillId="3" borderId="1" xfId="1" applyFont="1" applyFill="1" applyBorder="1" applyAlignment="1">
      <alignment horizontal="center"/>
    </xf>
    <xf numFmtId="43" fontId="0" fillId="2" borderId="3" xfId="1" applyFont="1" applyFill="1" applyBorder="1" applyAlignment="1">
      <alignment horizontal="left" wrapText="1"/>
    </xf>
    <xf numFmtId="43" fontId="0" fillId="0" borderId="4" xfId="1" applyFont="1" applyBorder="1"/>
    <xf numFmtId="43" fontId="0" fillId="0" borderId="1" xfId="1" applyFont="1" applyBorder="1"/>
    <xf numFmtId="43" fontId="0" fillId="0" borderId="2" xfId="1" applyFont="1" applyBorder="1"/>
    <xf numFmtId="43" fontId="3" fillId="0" borderId="2" xfId="1" applyFont="1" applyBorder="1"/>
    <xf numFmtId="9" fontId="0" fillId="0" borderId="2" xfId="4" applyFont="1" applyBorder="1"/>
    <xf numFmtId="10" fontId="0" fillId="0" borderId="2" xfId="4" applyNumberFormat="1" applyFont="1" applyBorder="1"/>
    <xf numFmtId="0" fontId="15" fillId="0" borderId="0" xfId="0" applyFont="1" applyAlignment="1">
      <alignment wrapText="1"/>
    </xf>
    <xf numFmtId="0" fontId="3" fillId="0" borderId="1" xfId="0" applyFont="1" applyBorder="1" applyAlignment="1">
      <alignment wrapText="1"/>
    </xf>
    <xf numFmtId="0" fontId="3" fillId="6" borderId="1" xfId="0" applyFont="1" applyFill="1" applyBorder="1" applyAlignment="1">
      <alignment horizontal="center" wrapText="1"/>
    </xf>
    <xf numFmtId="0" fontId="3" fillId="0" borderId="1" xfId="0" quotePrefix="1" applyFont="1" applyBorder="1"/>
    <xf numFmtId="0" fontId="0" fillId="6" borderId="1" xfId="0" applyFill="1" applyBorder="1" applyAlignment="1">
      <alignment horizontal="center"/>
    </xf>
    <xf numFmtId="164" fontId="0" fillId="0" borderId="1" xfId="1" applyNumberFormat="1" applyFont="1" applyBorder="1"/>
    <xf numFmtId="0" fontId="14" fillId="0" borderId="0" xfId="0" applyFont="1"/>
    <xf numFmtId="0" fontId="15" fillId="8" borderId="1" xfId="0" applyFont="1" applyFill="1" applyBorder="1"/>
    <xf numFmtId="0" fontId="15" fillId="8" borderId="1" xfId="0" applyFont="1" applyFill="1" applyBorder="1" applyAlignment="1">
      <alignment horizontal="center"/>
    </xf>
    <xf numFmtId="0" fontId="15" fillId="6" borderId="1" xfId="0" applyFont="1" applyFill="1" applyBorder="1" applyAlignment="1">
      <alignment horizontal="center"/>
    </xf>
    <xf numFmtId="2" fontId="15" fillId="8" borderId="1" xfId="0" applyNumberFormat="1" applyFont="1" applyFill="1" applyBorder="1"/>
    <xf numFmtId="164" fontId="15" fillId="8" borderId="1" xfId="1" applyNumberFormat="1" applyFont="1" applyFill="1" applyBorder="1"/>
    <xf numFmtId="43" fontId="15" fillId="8" borderId="1" xfId="1" applyFont="1" applyFill="1" applyBorder="1"/>
    <xf numFmtId="0" fontId="15" fillId="0" borderId="1" xfId="0" applyFont="1" applyFill="1" applyBorder="1"/>
    <xf numFmtId="0" fontId="15" fillId="0" borderId="1" xfId="0" applyFont="1" applyFill="1" applyBorder="1" applyAlignment="1">
      <alignment horizontal="center"/>
    </xf>
    <xf numFmtId="2" fontId="15" fillId="0" borderId="1" xfId="0" applyNumberFormat="1" applyFont="1" applyFill="1" applyBorder="1"/>
    <xf numFmtId="164" fontId="15" fillId="0" borderId="1" xfId="1" applyNumberFormat="1" applyFont="1" applyFill="1" applyBorder="1"/>
    <xf numFmtId="43" fontId="15" fillId="0" borderId="1" xfId="1" applyFont="1" applyFill="1" applyBorder="1"/>
    <xf numFmtId="0" fontId="0" fillId="0" borderId="0" xfId="0" applyAlignment="1">
      <alignment wrapText="1"/>
    </xf>
    <xf numFmtId="17" fontId="3" fillId="0" borderId="1" xfId="0" quotePrefix="1" applyNumberFormat="1" applyFont="1" applyBorder="1"/>
    <xf numFmtId="4" fontId="0" fillId="0" borderId="0" xfId="0" applyNumberFormat="1"/>
    <xf numFmtId="44" fontId="0" fillId="0" borderId="0" xfId="2" applyFont="1"/>
    <xf numFmtId="4" fontId="3" fillId="0" borderId="1" xfId="0" applyNumberFormat="1" applyFont="1" applyBorder="1" applyAlignment="1">
      <alignment wrapText="1"/>
    </xf>
    <xf numFmtId="44" fontId="3" fillId="2" borderId="1" xfId="2" applyFont="1" applyFill="1" applyBorder="1" applyAlignment="1">
      <alignment wrapText="1"/>
    </xf>
    <xf numFmtId="4" fontId="0" fillId="0" borderId="1" xfId="0" applyNumberFormat="1" applyBorder="1"/>
    <xf numFmtId="44" fontId="0" fillId="2" borderId="1" xfId="2" applyFont="1" applyFill="1" applyBorder="1"/>
    <xf numFmtId="4" fontId="15" fillId="8" borderId="1" xfId="0" applyNumberFormat="1" applyFont="1" applyFill="1" applyBorder="1"/>
    <xf numFmtId="44" fontId="15" fillId="8" borderId="1" xfId="2" applyFont="1" applyFill="1" applyBorder="1"/>
    <xf numFmtId="4" fontId="15" fillId="0" borderId="1" xfId="0" applyNumberFormat="1" applyFont="1" applyFill="1" applyBorder="1"/>
    <xf numFmtId="44" fontId="15" fillId="0" borderId="1" xfId="2" applyFont="1" applyFill="1" applyBorder="1"/>
    <xf numFmtId="4" fontId="0" fillId="0" borderId="0" xfId="0" applyNumberFormat="1" applyAlignment="1">
      <alignment wrapText="1"/>
    </xf>
    <xf numFmtId="44" fontId="0" fillId="0" borderId="0" xfId="2" applyFont="1" applyAlignment="1">
      <alignment wrapText="1"/>
    </xf>
    <xf numFmtId="0" fontId="0" fillId="0" borderId="1" xfId="0" applyFont="1" applyBorder="1"/>
    <xf numFmtId="0" fontId="16" fillId="0" borderId="1" xfId="0" applyFont="1" applyBorder="1"/>
    <xf numFmtId="0" fontId="3" fillId="0" borderId="5" xfId="0" applyFont="1" applyBorder="1" applyAlignment="1">
      <alignment wrapText="1"/>
    </xf>
    <xf numFmtId="0" fontId="0" fillId="0" borderId="5" xfId="0" applyBorder="1"/>
    <xf numFmtId="0" fontId="16" fillId="0" borderId="5" xfId="0" applyFont="1" applyBorder="1"/>
    <xf numFmtId="0" fontId="15" fillId="0" borderId="5" xfId="0" applyFont="1" applyFill="1" applyBorder="1"/>
    <xf numFmtId="0" fontId="3" fillId="0" borderId="1" xfId="0" applyFont="1" applyBorder="1"/>
    <xf numFmtId="43" fontId="0" fillId="10" borderId="1" xfId="0" applyNumberFormat="1" applyFill="1" applyBorder="1"/>
    <xf numFmtId="44" fontId="0" fillId="0" borderId="1" xfId="2" applyFont="1" applyBorder="1"/>
    <xf numFmtId="44" fontId="0" fillId="10" borderId="1" xfId="2" applyFont="1" applyFill="1" applyBorder="1"/>
    <xf numFmtId="0" fontId="0" fillId="3" borderId="1" xfId="0" applyFill="1" applyBorder="1"/>
    <xf numFmtId="44" fontId="0" fillId="3" borderId="1" xfId="2" applyFont="1" applyFill="1" applyBorder="1"/>
    <xf numFmtId="0" fontId="14" fillId="10" borderId="1" xfId="0" applyFont="1" applyFill="1" applyBorder="1"/>
    <xf numFmtId="44" fontId="14" fillId="10" borderId="1" xfId="2" applyFont="1" applyFill="1" applyBorder="1"/>
    <xf numFmtId="0" fontId="14" fillId="3" borderId="1" xfId="0" applyFont="1" applyFill="1" applyBorder="1"/>
    <xf numFmtId="44" fontId="14" fillId="3" borderId="1" xfId="2" applyFont="1" applyFill="1" applyBorder="1"/>
    <xf numFmtId="0" fontId="14" fillId="0" borderId="1" xfId="0" applyFont="1" applyFill="1" applyBorder="1"/>
    <xf numFmtId="44" fontId="14" fillId="0" borderId="1" xfId="2" applyFont="1" applyFill="1" applyBorder="1"/>
    <xf numFmtId="0" fontId="0" fillId="0" borderId="1" xfId="0" applyFill="1" applyBorder="1"/>
    <xf numFmtId="44" fontId="0" fillId="0" borderId="1" xfId="2" applyFont="1" applyFill="1" applyBorder="1"/>
    <xf numFmtId="0" fontId="14" fillId="0" borderId="5" xfId="0" applyFont="1" applyFill="1" applyBorder="1"/>
    <xf numFmtId="0" fontId="14" fillId="0" borderId="0" xfId="0" applyFont="1" applyFill="1" applyBorder="1"/>
    <xf numFmtId="44" fontId="14" fillId="0" borderId="0" xfId="2" applyFont="1" applyFill="1" applyBorder="1"/>
    <xf numFmtId="0" fontId="17" fillId="0" borderId="0" xfId="0" applyFont="1"/>
    <xf numFmtId="0" fontId="17" fillId="0" borderId="0" xfId="0" applyFont="1" applyAlignment="1">
      <alignment horizontal="right"/>
    </xf>
    <xf numFmtId="10" fontId="17" fillId="0" borderId="0" xfId="4" applyNumberFormat="1" applyFont="1"/>
    <xf numFmtId="44" fontId="17" fillId="0" borderId="0" xfId="0" applyNumberFormat="1" applyFont="1"/>
    <xf numFmtId="0" fontId="14" fillId="0" borderId="1" xfId="0" applyFont="1" applyBorder="1"/>
    <xf numFmtId="44" fontId="14" fillId="0" borderId="1" xfId="2" applyFont="1" applyBorder="1"/>
    <xf numFmtId="0" fontId="18" fillId="0" borderId="1" xfId="0" applyFont="1" applyFill="1" applyBorder="1" applyAlignment="1">
      <alignment wrapText="1"/>
    </xf>
    <xf numFmtId="0" fontId="18" fillId="0" borderId="1" xfId="0" applyFont="1" applyBorder="1"/>
    <xf numFmtId="0" fontId="9" fillId="0" borderId="0" xfId="0" applyFont="1"/>
    <xf numFmtId="10" fontId="17" fillId="3" borderId="0" xfId="4" applyNumberFormat="1" applyFont="1" applyFill="1"/>
    <xf numFmtId="44" fontId="17" fillId="3" borderId="0" xfId="0" applyNumberFormat="1" applyFont="1" applyFill="1"/>
    <xf numFmtId="0" fontId="18" fillId="0" borderId="0" xfId="0" applyFont="1" applyFill="1" applyBorder="1" applyAlignment="1">
      <alignment wrapText="1"/>
    </xf>
    <xf numFmtId="0" fontId="18" fillId="0" borderId="0" xfId="0" applyFont="1" applyBorder="1"/>
    <xf numFmtId="10" fontId="15" fillId="0" borderId="0" xfId="4" applyNumberFormat="1" applyFont="1" applyBorder="1"/>
    <xf numFmtId="0" fontId="15" fillId="0" borderId="0" xfId="0" applyFont="1" applyBorder="1"/>
    <xf numFmtId="44" fontId="15" fillId="0" borderId="0" xfId="2" applyFont="1" applyBorder="1"/>
    <xf numFmtId="0" fontId="19" fillId="0" borderId="1" xfId="0" applyFont="1" applyBorder="1"/>
    <xf numFmtId="10" fontId="14" fillId="0" borderId="1" xfId="4" applyNumberFormat="1" applyFont="1" applyBorder="1"/>
    <xf numFmtId="0" fontId="3" fillId="0" borderId="1" xfId="0" applyFont="1" applyBorder="1" applyAlignment="1">
      <alignment horizontal="center"/>
    </xf>
    <xf numFmtId="10" fontId="0" fillId="0" borderId="0" xfId="4" applyNumberFormat="1" applyFont="1"/>
    <xf numFmtId="4" fontId="21" fillId="0" borderId="1" xfId="0" applyNumberFormat="1" applyFont="1" applyBorder="1"/>
    <xf numFmtId="165" fontId="3" fillId="0" borderId="1" xfId="1" applyNumberFormat="1" applyFont="1" applyBorder="1"/>
    <xf numFmtId="165" fontId="0" fillId="0" borderId="1" xfId="1" applyNumberFormat="1" applyFont="1" applyBorder="1"/>
    <xf numFmtId="165" fontId="14" fillId="0" borderId="1" xfId="1" applyNumberFormat="1" applyFont="1" applyFill="1" applyBorder="1"/>
    <xf numFmtId="165" fontId="3" fillId="0" borderId="1" xfId="1" applyNumberFormat="1" applyFont="1" applyBorder="1" applyAlignment="1">
      <alignment horizontal="center" wrapText="1"/>
    </xf>
    <xf numFmtId="165" fontId="16" fillId="0" borderId="5" xfId="1" applyNumberFormat="1" applyFont="1" applyBorder="1"/>
    <xf numFmtId="165" fontId="0" fillId="0" borderId="5" xfId="1" applyNumberFormat="1" applyFont="1" applyBorder="1"/>
    <xf numFmtId="165" fontId="14" fillId="0" borderId="5" xfId="1" applyNumberFormat="1" applyFont="1" applyFill="1" applyBorder="1"/>
    <xf numFmtId="43" fontId="16" fillId="0" borderId="2" xfId="1" applyFont="1" applyBorder="1"/>
    <xf numFmtId="0" fontId="22" fillId="0" borderId="2" xfId="0" applyFont="1" applyBorder="1"/>
    <xf numFmtId="43" fontId="22" fillId="0" borderId="2" xfId="1" applyFont="1" applyBorder="1"/>
    <xf numFmtId="43" fontId="14" fillId="10" borderId="1" xfId="1" applyFont="1" applyFill="1" applyBorder="1"/>
    <xf numFmtId="0" fontId="3" fillId="0" borderId="1" xfId="0" applyFont="1" applyBorder="1" applyAlignment="1">
      <alignment horizontal="center"/>
    </xf>
    <xf numFmtId="0" fontId="0" fillId="0" borderId="0" xfId="0"/>
    <xf numFmtId="43" fontId="0" fillId="0" borderId="4" xfId="0" applyNumberFormat="1" applyBorder="1"/>
    <xf numFmtId="43" fontId="0" fillId="2" borderId="1" xfId="0" applyNumberFormat="1" applyFill="1" applyBorder="1"/>
    <xf numFmtId="0" fontId="0" fillId="0" borderId="0" xfId="0" applyFill="1"/>
    <xf numFmtId="44" fontId="3" fillId="0" borderId="2" xfId="2" applyFont="1" applyFill="1" applyBorder="1"/>
    <xf numFmtId="0" fontId="21" fillId="0" borderId="2" xfId="0" applyFont="1" applyFill="1" applyBorder="1"/>
    <xf numFmtId="44" fontId="21" fillId="0" borderId="2" xfId="2" applyFont="1" applyFill="1" applyBorder="1"/>
    <xf numFmtId="43" fontId="0" fillId="0" borderId="4" xfId="1" applyFont="1" applyBorder="1"/>
    <xf numFmtId="43" fontId="0" fillId="0" borderId="4" xfId="1" applyFont="1" applyBorder="1"/>
    <xf numFmtId="0" fontId="7" fillId="0" borderId="0" xfId="0" applyFont="1" applyBorder="1"/>
    <xf numFmtId="44" fontId="14" fillId="0" borderId="1" xfId="0" applyNumberFormat="1" applyFont="1" applyBorder="1"/>
    <xf numFmtId="43" fontId="14" fillId="0" borderId="1" xfId="1" applyFont="1" applyBorder="1"/>
    <xf numFmtId="0" fontId="14" fillId="0" borderId="0" xfId="0" applyFont="1" applyFill="1"/>
    <xf numFmtId="10" fontId="14" fillId="0" borderId="0" xfId="4" applyNumberFormat="1" applyFont="1" applyFill="1"/>
    <xf numFmtId="10" fontId="16" fillId="0" borderId="2" xfId="4" applyNumberFormat="1" applyFont="1" applyBorder="1"/>
    <xf numFmtId="0" fontId="21" fillId="0" borderId="1" xfId="0" applyFont="1" applyBorder="1"/>
    <xf numFmtId="43" fontId="3" fillId="0" borderId="0" xfId="0" applyNumberFormat="1" applyFont="1"/>
    <xf numFmtId="9" fontId="0" fillId="0" borderId="0" xfId="4" applyFont="1"/>
    <xf numFmtId="44" fontId="15" fillId="0" borderId="0" xfId="2" applyFont="1" applyFill="1" applyBorder="1"/>
    <xf numFmtId="44" fontId="0" fillId="0" borderId="0" xfId="2" applyFont="1" applyFill="1"/>
    <xf numFmtId="44" fontId="3" fillId="0" borderId="0" xfId="2" applyFont="1" applyFill="1" applyBorder="1" applyAlignment="1">
      <alignment wrapText="1"/>
    </xf>
    <xf numFmtId="44" fontId="0" fillId="0" borderId="0" xfId="2" applyFont="1" applyFill="1" applyBorder="1"/>
    <xf numFmtId="10" fontId="0" fillId="0" borderId="0" xfId="4" applyNumberFormat="1" applyFont="1" applyFill="1"/>
    <xf numFmtId="44" fontId="3" fillId="10" borderId="0" xfId="2" applyFont="1" applyFill="1" applyBorder="1" applyAlignment="1">
      <alignment wrapText="1"/>
    </xf>
    <xf numFmtId="10" fontId="0" fillId="10" borderId="0" xfId="4" applyNumberFormat="1" applyFont="1" applyFill="1" applyBorder="1"/>
    <xf numFmtId="44" fontId="15" fillId="10" borderId="0" xfId="2" applyFont="1" applyFill="1" applyBorder="1"/>
    <xf numFmtId="44" fontId="14" fillId="10" borderId="0" xfId="2" applyFont="1" applyFill="1" applyBorder="1"/>
    <xf numFmtId="43" fontId="0" fillId="0" borderId="0" xfId="0" applyNumberFormat="1"/>
    <xf numFmtId="43" fontId="0" fillId="0" borderId="0" xfId="0" applyNumberFormat="1" applyFill="1"/>
    <xf numFmtId="0" fontId="0" fillId="0" borderId="0" xfId="0" applyAlignment="1">
      <alignment horizontal="right"/>
    </xf>
    <xf numFmtId="4" fontId="7" fillId="0" borderId="1" xfId="0" applyNumberFormat="1" applyFont="1" applyBorder="1"/>
    <xf numFmtId="0" fontId="5" fillId="0" borderId="2" xfId="0" applyFont="1" applyBorder="1" applyAlignment="1">
      <alignment horizontal="right" wrapText="1"/>
    </xf>
    <xf numFmtId="0" fontId="0" fillId="0" borderId="2" xfId="0" applyFont="1" applyBorder="1" applyAlignment="1">
      <alignment horizontal="right" wrapText="1"/>
    </xf>
    <xf numFmtId="0" fontId="6" fillId="0" borderId="3" xfId="0" applyFont="1" applyBorder="1" applyAlignment="1">
      <alignment horizontal="right" wrapText="1"/>
    </xf>
    <xf numFmtId="43" fontId="0" fillId="0" borderId="1" xfId="0" applyNumberFormat="1" applyBorder="1" applyAlignment="1">
      <alignment horizontal="right"/>
    </xf>
    <xf numFmtId="44" fontId="3" fillId="2" borderId="1" xfId="2" applyFont="1" applyFill="1" applyBorder="1" applyAlignment="1">
      <alignment horizontal="right"/>
    </xf>
    <xf numFmtId="44" fontId="13" fillId="0" borderId="2" xfId="2" applyFont="1" applyFill="1" applyBorder="1" applyAlignment="1">
      <alignment horizontal="right"/>
    </xf>
    <xf numFmtId="43" fontId="12" fillId="0" borderId="2" xfId="1" applyFont="1" applyFill="1" applyBorder="1" applyAlignment="1">
      <alignment horizontal="right"/>
    </xf>
    <xf numFmtId="43" fontId="13" fillId="0" borderId="2" xfId="1" applyFont="1" applyFill="1" applyBorder="1" applyAlignment="1">
      <alignment horizontal="right"/>
    </xf>
    <xf numFmtId="43" fontId="12" fillId="0" borderId="2" xfId="0" applyNumberFormat="1" applyFont="1" applyFill="1" applyBorder="1" applyAlignment="1">
      <alignment horizontal="right"/>
    </xf>
    <xf numFmtId="43" fontId="0" fillId="0" borderId="2" xfId="0" applyNumberFormat="1" applyBorder="1" applyAlignment="1">
      <alignment horizontal="right"/>
    </xf>
    <xf numFmtId="0" fontId="0" fillId="0" borderId="1" xfId="0" applyBorder="1" applyAlignment="1">
      <alignment horizontal="right"/>
    </xf>
    <xf numFmtId="0" fontId="12" fillId="0" borderId="2" xfId="0" applyFont="1" applyFill="1" applyBorder="1" applyAlignment="1">
      <alignment horizontal="right"/>
    </xf>
    <xf numFmtId="0" fontId="0" fillId="0" borderId="2" xfId="0" applyBorder="1" applyAlignment="1">
      <alignment horizontal="right"/>
    </xf>
    <xf numFmtId="10" fontId="3" fillId="10" borderId="0" xfId="4" applyNumberFormat="1" applyFont="1" applyFill="1" applyBorder="1"/>
    <xf numFmtId="0" fontId="0" fillId="2" borderId="1" xfId="0" applyFill="1" applyBorder="1" applyAlignment="1">
      <alignment horizontal="center"/>
    </xf>
    <xf numFmtId="0" fontId="6" fillId="0" borderId="1" xfId="0" applyFont="1" applyBorder="1" applyAlignment="1">
      <alignment horizontal="left" vertical="top" wrapText="1"/>
    </xf>
    <xf numFmtId="0" fontId="6" fillId="0" borderId="1" xfId="0" applyFont="1" applyBorder="1" applyAlignment="1">
      <alignment vertical="top" wrapText="1"/>
    </xf>
    <xf numFmtId="0" fontId="3" fillId="0" borderId="1" xfId="0" applyFont="1" applyBorder="1" applyAlignment="1">
      <alignment horizontal="center"/>
    </xf>
    <xf numFmtId="0" fontId="5" fillId="0" borderId="1" xfId="0" applyFont="1" applyBorder="1" applyAlignment="1">
      <alignment horizontal="left" wrapText="1"/>
    </xf>
    <xf numFmtId="0" fontId="25" fillId="0" borderId="1" xfId="0" applyFont="1" applyBorder="1" applyAlignment="1">
      <alignment horizontal="right"/>
    </xf>
    <xf numFmtId="44" fontId="25" fillId="0" borderId="1" xfId="2" applyFont="1" applyBorder="1"/>
    <xf numFmtId="10" fontId="14" fillId="0" borderId="0" xfId="4" applyNumberFormat="1" applyFont="1" applyBorder="1"/>
    <xf numFmtId="0" fontId="14" fillId="0" borderId="0" xfId="0" applyFont="1" applyBorder="1"/>
    <xf numFmtId="44" fontId="14" fillId="0" borderId="0" xfId="2" applyFont="1" applyBorder="1"/>
    <xf numFmtId="0" fontId="25" fillId="0" borderId="0" xfId="0" applyFont="1" applyBorder="1" applyAlignment="1">
      <alignment horizontal="right"/>
    </xf>
    <xf numFmtId="44" fontId="25" fillId="0" borderId="0" xfId="2" applyFont="1" applyBorder="1"/>
    <xf numFmtId="0" fontId="0" fillId="11" borderId="1" xfId="0" applyFill="1" applyBorder="1"/>
    <xf numFmtId="44" fontId="0" fillId="11" borderId="1" xfId="2" applyFont="1" applyFill="1" applyBorder="1"/>
    <xf numFmtId="0" fontId="7" fillId="0" borderId="1" xfId="0" applyFont="1" applyBorder="1"/>
    <xf numFmtId="43" fontId="7" fillId="2" borderId="4" xfId="0" applyNumberFormat="1" applyFont="1" applyFill="1" applyBorder="1"/>
    <xf numFmtId="0" fontId="7" fillId="0" borderId="0" xfId="0" applyFont="1"/>
    <xf numFmtId="0" fontId="7" fillId="2" borderId="1" xfId="0" applyFont="1" applyFill="1" applyBorder="1" applyAlignment="1">
      <alignment horizontal="center"/>
    </xf>
    <xf numFmtId="0" fontId="0" fillId="12" borderId="0" xfId="0" applyFill="1"/>
    <xf numFmtId="0" fontId="2" fillId="5" borderId="0" xfId="0" applyFont="1" applyFill="1"/>
    <xf numFmtId="0" fontId="3" fillId="9" borderId="1" xfId="0" applyFont="1" applyFill="1" applyBorder="1" applyAlignment="1">
      <alignment horizontal="center"/>
    </xf>
    <xf numFmtId="43" fontId="3" fillId="9" borderId="1" xfId="1" applyFont="1" applyFill="1" applyBorder="1" applyAlignment="1">
      <alignment horizontal="center"/>
    </xf>
    <xf numFmtId="43" fontId="3" fillId="9" borderId="1" xfId="1" applyFont="1" applyFill="1" applyBorder="1" applyAlignment="1">
      <alignment horizontal="center" wrapText="1"/>
    </xf>
    <xf numFmtId="0" fontId="3" fillId="13" borderId="1" xfId="0" applyFont="1" applyFill="1" applyBorder="1" applyAlignment="1">
      <alignment horizontal="left"/>
    </xf>
    <xf numFmtId="44" fontId="0" fillId="13" borderId="1" xfId="2" applyFont="1" applyFill="1" applyBorder="1"/>
    <xf numFmtId="0" fontId="0" fillId="0" borderId="1" xfId="0" applyBorder="1" applyAlignment="1">
      <alignment horizontal="left" indent="2"/>
    </xf>
    <xf numFmtId="0" fontId="3" fillId="13" borderId="1" xfId="0" applyFont="1" applyFill="1" applyBorder="1"/>
    <xf numFmtId="0" fontId="21" fillId="0" borderId="0" xfId="0" applyFont="1"/>
    <xf numFmtId="0" fontId="3" fillId="0" borderId="1" xfId="0" applyFont="1" applyFill="1" applyBorder="1"/>
    <xf numFmtId="165" fontId="0" fillId="13" borderId="1" xfId="2" applyNumberFormat="1" applyFont="1" applyFill="1" applyBorder="1"/>
    <xf numFmtId="44" fontId="3" fillId="0" borderId="0" xfId="0" applyNumberFormat="1" applyFont="1"/>
    <xf numFmtId="44" fontId="3" fillId="2" borderId="1" xfId="2" applyFont="1" applyFill="1" applyBorder="1"/>
    <xf numFmtId="0" fontId="0" fillId="0" borderId="0" xfId="0"/>
    <xf numFmtId="0" fontId="3" fillId="0" borderId="1" xfId="0" applyFont="1" applyBorder="1" applyAlignment="1">
      <alignment horizontal="center"/>
    </xf>
    <xf numFmtId="43" fontId="0" fillId="0" borderId="4" xfId="0" applyNumberFormat="1" applyBorder="1"/>
    <xf numFmtId="0" fontId="0" fillId="0" borderId="1" xfId="0" applyBorder="1"/>
    <xf numFmtId="44" fontId="3" fillId="2" borderId="1" xfId="2" applyFont="1" applyFill="1" applyBorder="1"/>
    <xf numFmtId="0" fontId="3" fillId="0" borderId="1" xfId="0" applyFont="1" applyBorder="1" applyAlignment="1">
      <alignment horizontal="center" wrapText="1"/>
    </xf>
    <xf numFmtId="0" fontId="0" fillId="0" borderId="1" xfId="0" applyBorder="1" applyAlignment="1">
      <alignment horizontal="center"/>
    </xf>
    <xf numFmtId="43" fontId="0" fillId="0" borderId="1" xfId="1" applyFont="1" applyBorder="1"/>
    <xf numFmtId="10" fontId="0" fillId="0" borderId="2" xfId="4" applyNumberFormat="1" applyFont="1" applyBorder="1"/>
    <xf numFmtId="0" fontId="15" fillId="0" borderId="0" xfId="0" applyFont="1" applyAlignment="1">
      <alignment wrapText="1"/>
    </xf>
    <xf numFmtId="0" fontId="3" fillId="0" borderId="1" xfId="0" applyFont="1" applyBorder="1" applyAlignment="1">
      <alignment wrapText="1"/>
    </xf>
    <xf numFmtId="0" fontId="3" fillId="6" borderId="1" xfId="0" applyFont="1" applyFill="1" applyBorder="1" applyAlignment="1">
      <alignment horizontal="center" wrapText="1"/>
    </xf>
    <xf numFmtId="0" fontId="3" fillId="0" borderId="1" xfId="0" quotePrefix="1" applyFont="1" applyBorder="1"/>
    <xf numFmtId="0" fontId="0" fillId="6" borderId="1" xfId="0" applyFill="1" applyBorder="1" applyAlignment="1">
      <alignment horizontal="center"/>
    </xf>
    <xf numFmtId="164" fontId="0" fillId="0" borderId="1" xfId="1" applyNumberFormat="1" applyFont="1" applyBorder="1"/>
    <xf numFmtId="0" fontId="15" fillId="8" borderId="1" xfId="0" applyFont="1" applyFill="1" applyBorder="1"/>
    <xf numFmtId="0" fontId="15" fillId="8" borderId="1" xfId="0" applyFont="1" applyFill="1" applyBorder="1" applyAlignment="1">
      <alignment horizontal="center"/>
    </xf>
    <xf numFmtId="0" fontId="15" fillId="6" borderId="1" xfId="0" applyFont="1" applyFill="1" applyBorder="1" applyAlignment="1">
      <alignment horizontal="center"/>
    </xf>
    <xf numFmtId="2" fontId="15" fillId="8" borderId="1" xfId="0" applyNumberFormat="1" applyFont="1" applyFill="1" applyBorder="1"/>
    <xf numFmtId="164" fontId="15" fillId="8" borderId="1" xfId="1" applyNumberFormat="1" applyFont="1" applyFill="1" applyBorder="1"/>
    <xf numFmtId="43" fontId="15" fillId="8" borderId="1" xfId="1" applyFont="1" applyFill="1" applyBorder="1"/>
    <xf numFmtId="0" fontId="15" fillId="0" borderId="1" xfId="0" applyFont="1" applyFill="1" applyBorder="1"/>
    <xf numFmtId="0" fontId="15" fillId="0" borderId="1" xfId="0" applyFont="1" applyFill="1" applyBorder="1" applyAlignment="1">
      <alignment horizontal="center"/>
    </xf>
    <xf numFmtId="2" fontId="15" fillId="0" borderId="1" xfId="0" applyNumberFormat="1" applyFont="1" applyFill="1" applyBorder="1"/>
    <xf numFmtId="164" fontId="15" fillId="0" borderId="1" xfId="1" applyNumberFormat="1" applyFont="1" applyFill="1" applyBorder="1"/>
    <xf numFmtId="43" fontId="15" fillId="0" borderId="1" xfId="1" applyFont="1" applyFill="1" applyBorder="1"/>
    <xf numFmtId="4" fontId="0" fillId="0" borderId="0" xfId="0" applyNumberFormat="1"/>
    <xf numFmtId="44" fontId="0" fillId="0" borderId="0" xfId="2" applyFont="1"/>
    <xf numFmtId="4" fontId="3" fillId="0" borderId="1" xfId="0" applyNumberFormat="1" applyFont="1" applyBorder="1" applyAlignment="1">
      <alignment wrapText="1"/>
    </xf>
    <xf numFmtId="44" fontId="3" fillId="2" borderId="1" xfId="2" applyFont="1" applyFill="1" applyBorder="1" applyAlignment="1">
      <alignment wrapText="1"/>
    </xf>
    <xf numFmtId="4" fontId="0" fillId="0" borderId="1" xfId="0" applyNumberFormat="1" applyBorder="1"/>
    <xf numFmtId="44" fontId="0" fillId="2" borderId="1" xfId="2" applyFont="1" applyFill="1" applyBorder="1"/>
    <xf numFmtId="4" fontId="15" fillId="8" borderId="1" xfId="0" applyNumberFormat="1" applyFont="1" applyFill="1" applyBorder="1"/>
    <xf numFmtId="44" fontId="15" fillId="8" borderId="1" xfId="2" applyFont="1" applyFill="1" applyBorder="1"/>
    <xf numFmtId="4" fontId="15" fillId="0" borderId="1" xfId="0" applyNumberFormat="1" applyFont="1" applyFill="1" applyBorder="1"/>
    <xf numFmtId="44" fontId="15" fillId="0" borderId="1" xfId="2" applyFont="1" applyFill="1" applyBorder="1"/>
    <xf numFmtId="0" fontId="3" fillId="0" borderId="5" xfId="0" applyFont="1" applyBorder="1" applyAlignment="1">
      <alignment wrapText="1"/>
    </xf>
    <xf numFmtId="0" fontId="0" fillId="0" borderId="5" xfId="0" applyBorder="1"/>
    <xf numFmtId="0" fontId="16" fillId="0" borderId="5" xfId="0" applyFont="1" applyBorder="1"/>
    <xf numFmtId="0" fontId="3" fillId="0" borderId="1" xfId="0" applyFont="1" applyBorder="1"/>
    <xf numFmtId="43" fontId="0" fillId="10" borderId="1" xfId="0" applyNumberFormat="1" applyFill="1" applyBorder="1"/>
    <xf numFmtId="44" fontId="0" fillId="0" borderId="1" xfId="2" applyFont="1" applyBorder="1"/>
    <xf numFmtId="44" fontId="0" fillId="10" borderId="1" xfId="2" applyFont="1" applyFill="1" applyBorder="1"/>
    <xf numFmtId="0" fontId="0" fillId="3" borderId="1" xfId="0" applyFill="1" applyBorder="1"/>
    <xf numFmtId="44" fontId="0" fillId="3" borderId="1" xfId="2" applyFont="1" applyFill="1" applyBorder="1"/>
    <xf numFmtId="44" fontId="14" fillId="10" borderId="1" xfId="2" applyFont="1" applyFill="1" applyBorder="1"/>
    <xf numFmtId="0" fontId="14" fillId="3" borderId="1" xfId="0" applyFont="1" applyFill="1" applyBorder="1"/>
    <xf numFmtId="44" fontId="14" fillId="3" borderId="1" xfId="2" applyFont="1" applyFill="1" applyBorder="1"/>
    <xf numFmtId="0" fontId="14" fillId="0" borderId="1" xfId="0" applyFont="1" applyFill="1" applyBorder="1"/>
    <xf numFmtId="44" fontId="14" fillId="0" borderId="1" xfId="2" applyFont="1" applyFill="1" applyBorder="1"/>
    <xf numFmtId="0" fontId="0" fillId="0" borderId="1" xfId="0" applyFill="1" applyBorder="1"/>
    <xf numFmtId="0" fontId="14" fillId="0" borderId="5" xfId="0" applyFont="1" applyFill="1" applyBorder="1"/>
    <xf numFmtId="0" fontId="14" fillId="0" borderId="0" xfId="0" applyFont="1" applyFill="1" applyBorder="1"/>
    <xf numFmtId="44" fontId="14" fillId="0" borderId="0" xfId="2" applyFont="1" applyFill="1" applyBorder="1"/>
    <xf numFmtId="0" fontId="17" fillId="0" borderId="0" xfId="0" applyFont="1"/>
    <xf numFmtId="0" fontId="17" fillId="0" borderId="0" xfId="0" applyFont="1" applyAlignment="1">
      <alignment horizontal="right"/>
    </xf>
    <xf numFmtId="10" fontId="17" fillId="0" borderId="0" xfId="4" applyNumberFormat="1" applyFont="1"/>
    <xf numFmtId="44" fontId="17" fillId="0" borderId="0" xfId="0" applyNumberFormat="1" applyFont="1"/>
    <xf numFmtId="0" fontId="14" fillId="0" borderId="1" xfId="0" applyFont="1" applyBorder="1"/>
    <xf numFmtId="44" fontId="14" fillId="0" borderId="1" xfId="2" applyFont="1" applyBorder="1"/>
    <xf numFmtId="0" fontId="18" fillId="0" borderId="1" xfId="0" applyFont="1" applyFill="1" applyBorder="1" applyAlignment="1">
      <alignment wrapText="1"/>
    </xf>
    <xf numFmtId="0" fontId="18" fillId="0" borderId="1" xfId="0" applyFont="1" applyBorder="1"/>
    <xf numFmtId="10" fontId="17" fillId="3" borderId="0" xfId="4" applyNumberFormat="1" applyFont="1" applyFill="1"/>
    <xf numFmtId="44" fontId="17" fillId="3" borderId="0" xfId="0" applyNumberFormat="1" applyFont="1" applyFill="1"/>
    <xf numFmtId="10" fontId="14" fillId="0" borderId="1" xfId="4" applyNumberFormat="1" applyFont="1" applyBorder="1"/>
    <xf numFmtId="165" fontId="3" fillId="0" borderId="1" xfId="1" applyNumberFormat="1" applyFont="1" applyBorder="1"/>
    <xf numFmtId="165" fontId="0" fillId="0" borderId="1" xfId="1" applyNumberFormat="1" applyFont="1" applyBorder="1"/>
    <xf numFmtId="165" fontId="14" fillId="0" borderId="1" xfId="1" applyNumberFormat="1" applyFont="1" applyFill="1" applyBorder="1"/>
    <xf numFmtId="165" fontId="3" fillId="0" borderId="1" xfId="1" applyNumberFormat="1" applyFont="1" applyBorder="1" applyAlignment="1">
      <alignment horizontal="center" wrapText="1"/>
    </xf>
    <xf numFmtId="43" fontId="22" fillId="0" borderId="2" xfId="1" applyFont="1" applyBorder="1"/>
    <xf numFmtId="43" fontId="14" fillId="10" borderId="1" xfId="1" applyFont="1" applyFill="1" applyBorder="1"/>
    <xf numFmtId="44" fontId="0" fillId="0" borderId="0" xfId="2" applyFont="1" applyFill="1"/>
    <xf numFmtId="44" fontId="3" fillId="10" borderId="0" xfId="2" applyFont="1" applyFill="1" applyBorder="1" applyAlignment="1">
      <alignment wrapText="1"/>
    </xf>
    <xf numFmtId="10" fontId="0" fillId="10" borderId="0" xfId="4" applyNumberFormat="1" applyFont="1" applyFill="1" applyBorder="1"/>
    <xf numFmtId="44" fontId="15" fillId="10" borderId="0" xfId="2" applyFont="1" applyFill="1" applyBorder="1"/>
    <xf numFmtId="44" fontId="14" fillId="10" borderId="0" xfId="2" applyFont="1" applyFill="1" applyBorder="1"/>
    <xf numFmtId="4" fontId="7" fillId="0" borderId="1" xfId="0" applyNumberFormat="1" applyFont="1" applyBorder="1"/>
    <xf numFmtId="10" fontId="3" fillId="10" borderId="0" xfId="4" applyNumberFormat="1" applyFont="1" applyFill="1" applyBorder="1"/>
    <xf numFmtId="0" fontId="25" fillId="0" borderId="1" xfId="0" applyFont="1" applyBorder="1" applyAlignment="1">
      <alignment horizontal="right"/>
    </xf>
    <xf numFmtId="44" fontId="25" fillId="0" borderId="1" xfId="2" applyFont="1" applyBorder="1"/>
    <xf numFmtId="0" fontId="3" fillId="3" borderId="1" xfId="0" applyFont="1" applyFill="1" applyBorder="1" applyAlignment="1">
      <alignment horizontal="center"/>
    </xf>
    <xf numFmtId="44" fontId="3" fillId="2" borderId="1" xfId="2" applyFont="1" applyFill="1" applyBorder="1"/>
    <xf numFmtId="43" fontId="0" fillId="0" borderId="4" xfId="1" applyFont="1" applyBorder="1"/>
    <xf numFmtId="10" fontId="0" fillId="0" borderId="2" xfId="4" applyNumberFormat="1" applyFont="1" applyBorder="1"/>
    <xf numFmtId="43" fontId="22" fillId="0" borderId="2" xfId="1" applyFont="1" applyBorder="1"/>
    <xf numFmtId="43" fontId="0" fillId="0" borderId="4" xfId="0" applyNumberFormat="1" applyBorder="1"/>
    <xf numFmtId="44" fontId="3" fillId="2" borderId="1" xfId="2" applyFont="1" applyFill="1" applyBorder="1"/>
    <xf numFmtId="10" fontId="0" fillId="0" borderId="2" xfId="4" applyNumberFormat="1" applyFont="1" applyBorder="1"/>
    <xf numFmtId="43" fontId="22" fillId="0" borderId="2" xfId="1" applyFont="1" applyBorder="1"/>
    <xf numFmtId="0" fontId="3" fillId="3" borderId="1" xfId="0" applyFont="1" applyFill="1" applyBorder="1" applyAlignment="1">
      <alignment horizontal="center"/>
    </xf>
    <xf numFmtId="43" fontId="0" fillId="0" borderId="4" xfId="0" applyNumberFormat="1" applyBorder="1"/>
    <xf numFmtId="10" fontId="0" fillId="0" borderId="2" xfId="4" applyNumberFormat="1" applyFont="1" applyBorder="1"/>
    <xf numFmtId="43" fontId="0" fillId="0" borderId="4" xfId="0" applyNumberFormat="1" applyBorder="1"/>
    <xf numFmtId="44" fontId="3" fillId="2" borderId="1" xfId="2" applyFont="1" applyFill="1" applyBorder="1"/>
    <xf numFmtId="44" fontId="0" fillId="0" borderId="0" xfId="0" applyNumberFormat="1"/>
    <xf numFmtId="10" fontId="0" fillId="0" borderId="2" xfId="4" applyNumberFormat="1" applyFont="1" applyBorder="1"/>
    <xf numFmtId="44" fontId="14" fillId="0" borderId="1" xfId="0" applyNumberFormat="1" applyFont="1" applyBorder="1"/>
    <xf numFmtId="10" fontId="14" fillId="0" borderId="0" xfId="4" applyNumberFormat="1" applyFont="1" applyFill="1"/>
    <xf numFmtId="0" fontId="15" fillId="0" borderId="0" xfId="0" applyFont="1" applyAlignment="1"/>
    <xf numFmtId="164" fontId="21" fillId="0" borderId="1" xfId="1" applyNumberFormat="1" applyFont="1" applyBorder="1"/>
    <xf numFmtId="44" fontId="7" fillId="0" borderId="1" xfId="2" applyFont="1" applyBorder="1"/>
    <xf numFmtId="44" fontId="7" fillId="13" borderId="1" xfId="2" applyFont="1" applyFill="1" applyBorder="1"/>
    <xf numFmtId="165" fontId="7" fillId="13" borderId="1" xfId="2" applyNumberFormat="1" applyFont="1" applyFill="1" applyBorder="1"/>
    <xf numFmtId="44" fontId="7" fillId="0" borderId="1" xfId="2" applyFont="1" applyFill="1" applyBorder="1"/>
    <xf numFmtId="0" fontId="7" fillId="0" borderId="1" xfId="0" applyFont="1" applyFill="1" applyBorder="1" applyAlignment="1">
      <alignment horizontal="right"/>
    </xf>
    <xf numFmtId="0" fontId="7" fillId="0" borderId="1" xfId="0" applyFont="1" applyFill="1" applyBorder="1" applyAlignment="1">
      <alignment horizontal="center"/>
    </xf>
    <xf numFmtId="10" fontId="14" fillId="0" borderId="0" xfId="4" applyNumberFormat="1" applyFont="1"/>
    <xf numFmtId="0" fontId="0" fillId="0" borderId="0" xfId="0"/>
    <xf numFmtId="43" fontId="0" fillId="0" borderId="4" xfId="0" applyNumberFormat="1" applyBorder="1"/>
    <xf numFmtId="0" fontId="0" fillId="0" borderId="1" xfId="0" applyBorder="1"/>
    <xf numFmtId="0" fontId="3" fillId="0" borderId="1" xfId="0" applyFont="1" applyBorder="1" applyAlignment="1">
      <alignment horizontal="center" wrapText="1"/>
    </xf>
    <xf numFmtId="0" fontId="0" fillId="0" borderId="1" xfId="0" applyBorder="1" applyAlignment="1">
      <alignment horizontal="center"/>
    </xf>
    <xf numFmtId="43" fontId="0" fillId="0" borderId="4" xfId="1" applyFont="1" applyBorder="1"/>
    <xf numFmtId="43" fontId="0" fillId="0" borderId="1" xfId="1" applyFont="1" applyBorder="1"/>
    <xf numFmtId="0" fontId="15" fillId="0" borderId="0" xfId="0" applyFont="1" applyAlignment="1">
      <alignment wrapText="1"/>
    </xf>
    <xf numFmtId="0" fontId="3" fillId="0" borderId="1" xfId="0" applyFont="1" applyBorder="1" applyAlignment="1">
      <alignment wrapText="1"/>
    </xf>
    <xf numFmtId="0" fontId="3" fillId="6" borderId="1" xfId="0" applyFont="1" applyFill="1" applyBorder="1" applyAlignment="1">
      <alignment horizontal="center" wrapText="1"/>
    </xf>
    <xf numFmtId="0" fontId="3" fillId="0" borderId="1" xfId="0" quotePrefix="1" applyFont="1" applyBorder="1"/>
    <xf numFmtId="0" fontId="0" fillId="6" borderId="1" xfId="0" applyFill="1" applyBorder="1" applyAlignment="1">
      <alignment horizontal="center"/>
    </xf>
    <xf numFmtId="164" fontId="0" fillId="0" borderId="1" xfId="1" applyNumberFormat="1" applyFont="1" applyBorder="1"/>
    <xf numFmtId="0" fontId="15" fillId="8" borderId="1" xfId="0" applyFont="1" applyFill="1" applyBorder="1"/>
    <xf numFmtId="0" fontId="15" fillId="8" borderId="1" xfId="0" applyFont="1" applyFill="1" applyBorder="1" applyAlignment="1">
      <alignment horizontal="center"/>
    </xf>
    <xf numFmtId="0" fontId="15" fillId="6" borderId="1" xfId="0" applyFont="1" applyFill="1" applyBorder="1" applyAlignment="1">
      <alignment horizontal="center"/>
    </xf>
    <xf numFmtId="2" fontId="15" fillId="8" borderId="1" xfId="0" applyNumberFormat="1" applyFont="1" applyFill="1" applyBorder="1"/>
    <xf numFmtId="164" fontId="15" fillId="8" borderId="1" xfId="1" applyNumberFormat="1" applyFont="1" applyFill="1" applyBorder="1"/>
    <xf numFmtId="43" fontId="15" fillId="8" borderId="1" xfId="1" applyFont="1" applyFill="1" applyBorder="1"/>
    <xf numFmtId="0" fontId="15" fillId="0" borderId="1" xfId="0" applyFont="1" applyFill="1" applyBorder="1"/>
    <xf numFmtId="0" fontId="15" fillId="0" borderId="1" xfId="0" applyFont="1" applyFill="1" applyBorder="1" applyAlignment="1">
      <alignment horizontal="center"/>
    </xf>
    <xf numFmtId="2" fontId="15" fillId="0" borderId="1" xfId="0" applyNumberFormat="1" applyFont="1" applyFill="1" applyBorder="1"/>
    <xf numFmtId="164" fontId="15" fillId="0" borderId="1" xfId="1" applyNumberFormat="1" applyFont="1" applyFill="1" applyBorder="1"/>
    <xf numFmtId="43" fontId="15" fillId="0" borderId="1" xfId="1" applyFont="1" applyFill="1" applyBorder="1"/>
    <xf numFmtId="4" fontId="0" fillId="0" borderId="0" xfId="0" applyNumberFormat="1"/>
    <xf numFmtId="44" fontId="0" fillId="0" borderId="0" xfId="2" applyFont="1"/>
    <xf numFmtId="4" fontId="3" fillId="0" borderId="1" xfId="0" applyNumberFormat="1" applyFont="1" applyBorder="1" applyAlignment="1">
      <alignment wrapText="1"/>
    </xf>
    <xf numFmtId="44" fontId="3" fillId="2" borderId="1" xfId="2" applyFont="1" applyFill="1" applyBorder="1" applyAlignment="1">
      <alignment wrapText="1"/>
    </xf>
    <xf numFmtId="44" fontId="3" fillId="7" borderId="1" xfId="2" applyFont="1" applyFill="1" applyBorder="1" applyAlignment="1">
      <alignment wrapText="1"/>
    </xf>
    <xf numFmtId="4" fontId="0" fillId="0" borderId="1" xfId="0" applyNumberFormat="1" applyBorder="1"/>
    <xf numFmtId="44" fontId="0" fillId="2" borderId="1" xfId="2" applyFont="1" applyFill="1" applyBorder="1"/>
    <xf numFmtId="44" fontId="0" fillId="7" borderId="1" xfId="2" applyFont="1" applyFill="1" applyBorder="1"/>
    <xf numFmtId="4" fontId="15" fillId="8" borderId="1" xfId="0" applyNumberFormat="1" applyFont="1" applyFill="1" applyBorder="1"/>
    <xf numFmtId="44" fontId="15" fillId="8" borderId="1" xfId="2" applyFont="1" applyFill="1" applyBorder="1"/>
    <xf numFmtId="4" fontId="15" fillId="0" borderId="1" xfId="0" applyNumberFormat="1" applyFont="1" applyFill="1" applyBorder="1"/>
    <xf numFmtId="44" fontId="15" fillId="0" borderId="1" xfId="2" applyFont="1" applyFill="1" applyBorder="1"/>
    <xf numFmtId="0" fontId="3" fillId="0" borderId="5" xfId="0" applyFont="1" applyBorder="1" applyAlignment="1">
      <alignment wrapText="1"/>
    </xf>
    <xf numFmtId="0" fontId="0" fillId="0" borderId="5" xfId="0" applyBorder="1"/>
    <xf numFmtId="0" fontId="16" fillId="0" borderId="5" xfId="0" applyFont="1" applyBorder="1"/>
    <xf numFmtId="0" fontId="3" fillId="0" borderId="1" xfId="0" applyFont="1" applyBorder="1"/>
    <xf numFmtId="43" fontId="0" fillId="10" borderId="1" xfId="0" applyNumberFormat="1" applyFill="1" applyBorder="1"/>
    <xf numFmtId="44" fontId="0" fillId="0" borderId="1" xfId="2" applyFont="1" applyBorder="1"/>
    <xf numFmtId="44" fontId="0" fillId="10" borderId="1" xfId="2" applyFont="1" applyFill="1" applyBorder="1"/>
    <xf numFmtId="0" fontId="0" fillId="3" borderId="1" xfId="0" applyFill="1" applyBorder="1"/>
    <xf numFmtId="44" fontId="0" fillId="3" borderId="1" xfId="2" applyFont="1" applyFill="1" applyBorder="1"/>
    <xf numFmtId="44" fontId="14" fillId="10" borderId="1" xfId="2" applyFont="1" applyFill="1" applyBorder="1"/>
    <xf numFmtId="0" fontId="14" fillId="3" borderId="1" xfId="0" applyFont="1" applyFill="1" applyBorder="1"/>
    <xf numFmtId="44" fontId="14" fillId="3" borderId="1" xfId="2" applyFont="1" applyFill="1" applyBorder="1"/>
    <xf numFmtId="0" fontId="14" fillId="0" borderId="1" xfId="0" applyFont="1" applyFill="1" applyBorder="1"/>
    <xf numFmtId="44" fontId="14" fillId="0" borderId="1" xfId="2" applyFont="1" applyFill="1" applyBorder="1"/>
    <xf numFmtId="0" fontId="0" fillId="0" borderId="1" xfId="0" applyFill="1" applyBorder="1"/>
    <xf numFmtId="44" fontId="0" fillId="0" borderId="1" xfId="2" applyFont="1" applyFill="1" applyBorder="1"/>
    <xf numFmtId="0" fontId="14" fillId="0" borderId="5" xfId="0" applyFont="1" applyFill="1" applyBorder="1"/>
    <xf numFmtId="0" fontId="14" fillId="0" borderId="0" xfId="0" applyFont="1" applyFill="1" applyBorder="1"/>
    <xf numFmtId="44" fontId="14" fillId="0" borderId="0" xfId="2" applyFont="1" applyFill="1" applyBorder="1"/>
    <xf numFmtId="0" fontId="17" fillId="0" borderId="0" xfId="0" applyFont="1"/>
    <xf numFmtId="0" fontId="17" fillId="0" borderId="0" xfId="0" applyFont="1" applyAlignment="1">
      <alignment horizontal="right"/>
    </xf>
    <xf numFmtId="10" fontId="17" fillId="0" borderId="0" xfId="4" applyNumberFormat="1" applyFont="1"/>
    <xf numFmtId="44" fontId="17" fillId="0" borderId="0" xfId="0" applyNumberFormat="1" applyFont="1"/>
    <xf numFmtId="0" fontId="14" fillId="0" borderId="1" xfId="0" applyFont="1" applyBorder="1"/>
    <xf numFmtId="44" fontId="14" fillId="0" borderId="1" xfId="2" applyFont="1" applyBorder="1"/>
    <xf numFmtId="0" fontId="18" fillId="0" borderId="1" xfId="0" applyFont="1" applyFill="1" applyBorder="1" applyAlignment="1">
      <alignment wrapText="1"/>
    </xf>
    <xf numFmtId="0" fontId="18" fillId="0" borderId="1" xfId="0" applyFont="1" applyBorder="1"/>
    <xf numFmtId="10" fontId="17" fillId="3" borderId="0" xfId="4" applyNumberFormat="1" applyFont="1" applyFill="1"/>
    <xf numFmtId="44" fontId="17" fillId="3" borderId="0" xfId="0" applyNumberFormat="1" applyFont="1" applyFill="1"/>
    <xf numFmtId="10" fontId="14" fillId="0" borderId="1" xfId="4" applyNumberFormat="1" applyFont="1" applyBorder="1"/>
    <xf numFmtId="0" fontId="3" fillId="0" borderId="1" xfId="0" applyFont="1" applyBorder="1" applyAlignment="1">
      <alignment horizontal="center"/>
    </xf>
    <xf numFmtId="165" fontId="3" fillId="0" borderId="1" xfId="1" applyNumberFormat="1" applyFont="1" applyBorder="1"/>
    <xf numFmtId="165" fontId="0" fillId="0" borderId="1" xfId="1" applyNumberFormat="1" applyFont="1" applyBorder="1"/>
    <xf numFmtId="165" fontId="14" fillId="0" borderId="1" xfId="1" applyNumberFormat="1" applyFont="1" applyFill="1" applyBorder="1"/>
    <xf numFmtId="165" fontId="3" fillId="0" borderId="1" xfId="1" applyNumberFormat="1" applyFont="1" applyBorder="1" applyAlignment="1">
      <alignment horizontal="center" wrapText="1"/>
    </xf>
    <xf numFmtId="43" fontId="14" fillId="10" borderId="1" xfId="1" applyFont="1" applyFill="1" applyBorder="1"/>
    <xf numFmtId="44" fontId="14" fillId="0" borderId="1" xfId="0" applyNumberFormat="1" applyFont="1" applyBorder="1"/>
    <xf numFmtId="10" fontId="14" fillId="0" borderId="0" xfId="4" applyNumberFormat="1" applyFont="1" applyFill="1"/>
    <xf numFmtId="9" fontId="0" fillId="0" borderId="0" xfId="4" applyFont="1"/>
    <xf numFmtId="44" fontId="0" fillId="0" borderId="0" xfId="2" applyFont="1" applyFill="1"/>
    <xf numFmtId="44" fontId="3" fillId="10" borderId="0" xfId="2" applyFont="1" applyFill="1" applyBorder="1" applyAlignment="1">
      <alignment wrapText="1"/>
    </xf>
    <xf numFmtId="10" fontId="0" fillId="10" borderId="0" xfId="4" applyNumberFormat="1" applyFont="1" applyFill="1" applyBorder="1"/>
    <xf numFmtId="44" fontId="15" fillId="10" borderId="0" xfId="2" applyFont="1" applyFill="1" applyBorder="1"/>
    <xf numFmtId="44" fontId="14" fillId="10" borderId="0" xfId="2" applyFont="1" applyFill="1" applyBorder="1"/>
    <xf numFmtId="4" fontId="7" fillId="0" borderId="1" xfId="0" applyNumberFormat="1" applyFont="1" applyBorder="1"/>
    <xf numFmtId="10" fontId="3" fillId="10" borderId="0" xfId="4" applyNumberFormat="1" applyFont="1" applyFill="1" applyBorder="1"/>
    <xf numFmtId="0" fontId="25" fillId="0" borderId="1" xfId="0" applyFont="1" applyBorder="1" applyAlignment="1">
      <alignment horizontal="right"/>
    </xf>
    <xf numFmtId="44" fontId="25" fillId="0" borderId="1" xfId="2" applyFont="1" applyBorder="1"/>
    <xf numFmtId="0" fontId="15" fillId="0" borderId="0" xfId="0" applyFont="1" applyAlignment="1"/>
    <xf numFmtId="164" fontId="21" fillId="0" borderId="1" xfId="1" applyNumberFormat="1" applyFont="1" applyBorder="1"/>
    <xf numFmtId="0" fontId="3" fillId="0" borderId="1" xfId="0" applyFont="1" applyBorder="1" applyAlignment="1">
      <alignment horizontal="center"/>
    </xf>
    <xf numFmtId="165" fontId="14" fillId="0" borderId="0" xfId="1" applyNumberFormat="1" applyFont="1"/>
    <xf numFmtId="165" fontId="0" fillId="0" borderId="0" xfId="1" applyNumberFormat="1" applyFont="1"/>
    <xf numFmtId="49" fontId="0" fillId="0" borderId="1" xfId="0" applyNumberFormat="1" applyBorder="1" applyAlignment="1">
      <alignment horizontal="left" indent="2"/>
    </xf>
    <xf numFmtId="43" fontId="26" fillId="9" borderId="8" xfId="1" applyFont="1" applyFill="1" applyBorder="1" applyAlignment="1">
      <alignment horizontal="center" wrapText="1"/>
    </xf>
    <xf numFmtId="49" fontId="0" fillId="8" borderId="1" xfId="1" applyNumberFormat="1" applyFont="1" applyFill="1" applyBorder="1" applyAlignment="1">
      <alignment horizontal="left" indent="2"/>
    </xf>
    <xf numFmtId="165" fontId="0" fillId="8" borderId="1" xfId="1" applyNumberFormat="1" applyFont="1" applyFill="1" applyBorder="1"/>
    <xf numFmtId="165" fontId="7" fillId="8" borderId="1" xfId="1" applyNumberFormat="1" applyFont="1" applyFill="1" applyBorder="1"/>
    <xf numFmtId="0" fontId="0" fillId="8" borderId="1" xfId="0" applyFill="1" applyBorder="1" applyAlignment="1">
      <alignment horizontal="left" indent="2"/>
    </xf>
    <xf numFmtId="10" fontId="0" fillId="0" borderId="1" xfId="4" applyNumberFormat="1" applyFont="1" applyBorder="1"/>
    <xf numFmtId="10" fontId="7" fillId="0" borderId="1" xfId="4" applyNumberFormat="1" applyFont="1" applyBorder="1"/>
    <xf numFmtId="0" fontId="3" fillId="8" borderId="1" xfId="0" applyFont="1" applyFill="1" applyBorder="1"/>
    <xf numFmtId="49" fontId="0" fillId="0" borderId="1" xfId="1" applyNumberFormat="1" applyFont="1" applyFill="1" applyBorder="1" applyAlignment="1">
      <alignment horizontal="left" indent="2"/>
    </xf>
    <xf numFmtId="165" fontId="0" fillId="0" borderId="1" xfId="1" applyNumberFormat="1" applyFont="1" applyFill="1" applyBorder="1"/>
    <xf numFmtId="10" fontId="7" fillId="0" borderId="1" xfId="4" applyNumberFormat="1" applyFont="1" applyFill="1" applyBorder="1"/>
    <xf numFmtId="44" fontId="21" fillId="0" borderId="1" xfId="2" applyFont="1" applyBorder="1"/>
    <xf numFmtId="10" fontId="21" fillId="0" borderId="1" xfId="4" applyNumberFormat="1" applyFont="1" applyBorder="1"/>
    <xf numFmtId="166" fontId="0" fillId="0" borderId="1" xfId="1" applyNumberFormat="1" applyFont="1" applyBorder="1"/>
    <xf numFmtId="0" fontId="3" fillId="0" borderId="1" xfId="0" applyFont="1" applyFill="1" applyBorder="1" applyAlignment="1">
      <alignment horizontal="center"/>
    </xf>
    <xf numFmtId="0" fontId="20" fillId="0" borderId="1" xfId="0" applyFont="1" applyFill="1" applyBorder="1" applyAlignment="1">
      <alignment horizontal="center"/>
    </xf>
    <xf numFmtId="0" fontId="20" fillId="0" borderId="1" xfId="0" applyFont="1" applyFill="1" applyBorder="1" applyAlignment="1">
      <alignment horizontal="right"/>
    </xf>
    <xf numFmtId="0" fontId="20" fillId="0" borderId="1" xfId="0" quotePrefix="1" applyFont="1" applyFill="1" applyBorder="1" applyAlignment="1">
      <alignment horizontal="center"/>
    </xf>
    <xf numFmtId="0" fontId="0" fillId="0" borderId="1" xfId="0" applyFont="1" applyFill="1" applyBorder="1" applyAlignment="1">
      <alignment horizontal="center" wrapText="1"/>
    </xf>
    <xf numFmtId="0" fontId="0" fillId="0" borderId="1" xfId="0" applyFill="1" applyBorder="1" applyAlignment="1">
      <alignment horizontal="center"/>
    </xf>
    <xf numFmtId="0" fontId="20" fillId="0" borderId="9" xfId="7" applyFont="1" applyFill="1" applyAlignment="1">
      <alignment horizontal="center"/>
    </xf>
    <xf numFmtId="0" fontId="20" fillId="0" borderId="9" xfId="7" quotePrefix="1" applyFont="1" applyFill="1" applyAlignment="1">
      <alignment horizontal="center"/>
    </xf>
    <xf numFmtId="0" fontId="7" fillId="0" borderId="1" xfId="6" applyFont="1" applyFill="1" applyBorder="1" applyAlignment="1">
      <alignment horizontal="center"/>
    </xf>
    <xf numFmtId="0" fontId="20" fillId="0" borderId="1" xfId="5" applyFont="1" applyFill="1" applyBorder="1" applyAlignment="1">
      <alignment horizontal="center"/>
    </xf>
    <xf numFmtId="0" fontId="20" fillId="0" borderId="1" xfId="5" quotePrefix="1" applyFont="1" applyFill="1" applyBorder="1" applyAlignment="1">
      <alignment horizontal="center"/>
    </xf>
    <xf numFmtId="43" fontId="0" fillId="11" borderId="1" xfId="1" applyFont="1" applyFill="1" applyBorder="1"/>
    <xf numFmtId="0" fontId="3" fillId="0" borderId="1" xfId="0" applyFont="1" applyBorder="1" applyAlignment="1">
      <alignment horizontal="center"/>
    </xf>
    <xf numFmtId="44" fontId="14" fillId="0" borderId="0" xfId="0" applyNumberFormat="1" applyFont="1" applyBorder="1"/>
    <xf numFmtId="43" fontId="0" fillId="0" borderId="1" xfId="1" applyFont="1" applyFill="1" applyBorder="1"/>
    <xf numFmtId="0" fontId="29" fillId="17" borderId="1" xfId="0" applyFont="1" applyFill="1" applyBorder="1" applyAlignment="1">
      <alignment horizontal="left"/>
    </xf>
    <xf numFmtId="165" fontId="29" fillId="17" borderId="1" xfId="2" applyNumberFormat="1" applyFont="1" applyFill="1" applyBorder="1"/>
    <xf numFmtId="44" fontId="29" fillId="17" borderId="1" xfId="2" applyFont="1" applyFill="1" applyBorder="1"/>
    <xf numFmtId="167" fontId="0" fillId="0" borderId="0" xfId="0" applyNumberFormat="1"/>
    <xf numFmtId="0" fontId="25" fillId="0" borderId="1" xfId="0" applyFont="1" applyBorder="1" applyAlignment="1">
      <alignment horizontal="left"/>
    </xf>
    <xf numFmtId="0" fontId="25" fillId="0" borderId="1" xfId="0" applyFont="1" applyBorder="1" applyAlignment="1">
      <alignment horizontal="center" wrapText="1"/>
    </xf>
    <xf numFmtId="0" fontId="25" fillId="0" borderId="5" xfId="0" applyFont="1" applyBorder="1" applyAlignment="1">
      <alignment horizontal="center" wrapText="1"/>
    </xf>
    <xf numFmtId="43" fontId="2" fillId="4" borderId="1" xfId="0" applyNumberFormat="1" applyFont="1" applyFill="1" applyBorder="1"/>
    <xf numFmtId="43" fontId="7" fillId="11" borderId="1" xfId="0" applyNumberFormat="1" applyFont="1" applyFill="1" applyBorder="1"/>
    <xf numFmtId="43" fontId="20" fillId="12" borderId="1" xfId="0" applyNumberFormat="1" applyFont="1" applyFill="1" applyBorder="1"/>
    <xf numFmtId="43" fontId="7" fillId="12" borderId="1" xfId="0" applyNumberFormat="1" applyFont="1" applyFill="1" applyBorder="1"/>
    <xf numFmtId="43" fontId="14" fillId="0" borderId="1" xfId="0" applyNumberFormat="1" applyFont="1" applyFill="1" applyBorder="1"/>
    <xf numFmtId="0" fontId="0" fillId="2" borderId="1" xfId="0" applyFill="1" applyBorder="1" applyAlignment="1">
      <alignment horizontal="center"/>
    </xf>
    <xf numFmtId="0" fontId="25" fillId="0" borderId="5" xfId="0" applyFont="1" applyBorder="1" applyAlignment="1">
      <alignment horizontal="center" wrapText="1"/>
    </xf>
    <xf numFmtId="43" fontId="20" fillId="4" borderId="1" xfId="0" applyNumberFormat="1" applyFont="1" applyFill="1" applyBorder="1"/>
    <xf numFmtId="0" fontId="3" fillId="3" borderId="2" xfId="0" applyFont="1" applyFill="1" applyBorder="1" applyAlignment="1">
      <alignment horizontal="center"/>
    </xf>
    <xf numFmtId="0" fontId="3" fillId="3" borderId="4" xfId="0" applyFont="1" applyFill="1" applyBorder="1" applyAlignment="1">
      <alignment horizontal="center"/>
    </xf>
    <xf numFmtId="0" fontId="3" fillId="9" borderId="1" xfId="0" applyFont="1" applyFill="1" applyBorder="1" applyAlignment="1">
      <alignment horizontal="center"/>
    </xf>
    <xf numFmtId="0" fontId="3" fillId="6" borderId="1" xfId="0" applyFont="1" applyFill="1" applyBorder="1" applyAlignment="1">
      <alignment horizontal="center"/>
    </xf>
    <xf numFmtId="0" fontId="3" fillId="0" borderId="1" xfId="0" applyFont="1" applyBorder="1" applyAlignment="1">
      <alignment horizontal="center"/>
    </xf>
    <xf numFmtId="0" fontId="3" fillId="10" borderId="1" xfId="0" applyFont="1" applyFill="1" applyBorder="1" applyAlignment="1">
      <alignment horizontal="center" wrapText="1"/>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5" fillId="0" borderId="5" xfId="0" applyFont="1" applyBorder="1" applyAlignment="1">
      <alignment horizontal="center"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0" fillId="2" borderId="1" xfId="0" applyFill="1" applyBorder="1" applyAlignment="1">
      <alignment horizontal="center"/>
    </xf>
    <xf numFmtId="0" fontId="25" fillId="0" borderId="5" xfId="0" applyFont="1" applyBorder="1" applyAlignment="1">
      <alignment horizontal="center" wrapText="1"/>
    </xf>
    <xf numFmtId="0" fontId="25" fillId="0" borderId="6" xfId="0" applyFont="1" applyBorder="1" applyAlignment="1">
      <alignment horizontal="center" wrapText="1"/>
    </xf>
    <xf numFmtId="0" fontId="25" fillId="0" borderId="7" xfId="0" applyFont="1" applyBorder="1" applyAlignment="1">
      <alignment horizontal="center" wrapText="1"/>
    </xf>
  </cellXfs>
  <cellStyles count="8">
    <cellStyle name="Bad" xfId="6" builtinId="27"/>
    <cellStyle name="Check Cell" xfId="7" builtinId="23"/>
    <cellStyle name="Comma" xfId="1" builtinId="3"/>
    <cellStyle name="Comma 2" xfId="3"/>
    <cellStyle name="Currency" xfId="2" builtinId="4"/>
    <cellStyle name="Good" xfId="5" builtinId="26"/>
    <cellStyle name="Normal" xfId="0" builtinId="0"/>
    <cellStyle name="Percent" xfId="4" builtinId="5"/>
  </cellStyles>
  <dxfs count="10">
    <dxf>
      <font>
        <color auto="1"/>
      </font>
      <fill>
        <patternFill>
          <bgColor theme="6" tint="0.39994506668294322"/>
        </patternFill>
      </fill>
    </dxf>
    <dxf>
      <font>
        <color auto="1"/>
      </font>
      <fill>
        <patternFill>
          <bgColor theme="6" tint="0.39994506668294322"/>
        </patternFill>
      </fill>
    </dxf>
    <dxf>
      <font>
        <color auto="1"/>
      </font>
      <fill>
        <patternFill>
          <bgColor theme="6" tint="0.39994506668294322"/>
        </patternFill>
      </fill>
    </dxf>
    <dxf>
      <font>
        <color auto="1"/>
      </font>
      <fill>
        <patternFill>
          <bgColor theme="6" tint="0.39994506668294322"/>
        </patternFill>
      </fill>
    </dxf>
    <dxf>
      <font>
        <color auto="1"/>
      </font>
      <fill>
        <patternFill>
          <bgColor theme="6" tint="0.39994506668294322"/>
        </patternFill>
      </fill>
    </dxf>
    <dxf>
      <font>
        <color auto="1"/>
      </font>
      <fill>
        <patternFill>
          <bgColor theme="6" tint="0.39994506668294322"/>
        </patternFill>
      </fill>
    </dxf>
    <dxf>
      <font>
        <color auto="1"/>
      </font>
      <fill>
        <patternFill>
          <bgColor theme="6" tint="0.39994506668294322"/>
        </patternFill>
      </fill>
    </dxf>
    <dxf>
      <font>
        <color auto="1"/>
      </font>
      <fill>
        <patternFill>
          <bgColor theme="6" tint="0.39994506668294322"/>
        </patternFill>
      </fill>
    </dxf>
    <dxf>
      <font>
        <color auto="1"/>
      </font>
      <fill>
        <patternFill>
          <bgColor theme="6" tint="0.39994506668294322"/>
        </patternFill>
      </fill>
    </dxf>
    <dxf>
      <font>
        <color auto="1"/>
      </font>
      <fill>
        <patternFill>
          <bgColor theme="6" tint="0.39994506668294322"/>
        </patternFill>
      </fill>
    </dxf>
  </dxfs>
  <tableStyles count="0" defaultTableStyle="TableStyleMedium9" defaultPivotStyle="PivotStyleLight16"/>
  <colors>
    <mruColors>
      <color rgb="FF00FFFF"/>
      <color rgb="FFFFCC99"/>
      <color rgb="FFFFFFCC"/>
      <color rgb="FFFF9966"/>
      <color rgb="FFFF6600"/>
      <color rgb="FF00CC99"/>
      <color rgb="FFCC66FF"/>
      <color rgb="FFB50B95"/>
      <color rgb="FF9B0DB3"/>
      <color rgb="FFF7DE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Purchased Demand KW (column L)</a:t>
            </a:r>
          </a:p>
        </c:rich>
      </c:tx>
      <c:overlay val="0"/>
    </c:title>
    <c:autoTitleDeleted val="0"/>
    <c:plotArea>
      <c:layout/>
      <c:barChart>
        <c:barDir val="col"/>
        <c:grouping val="clustered"/>
        <c:varyColors val="0"/>
        <c:ser>
          <c:idx val="0"/>
          <c:order val="0"/>
          <c:tx>
            <c:v>FY12 Demand KW</c:v>
          </c:tx>
          <c:invertIfNegative val="0"/>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Comparison'!$L$160:$L$171</c:f>
              <c:numCache>
                <c:formatCode>#,##0.00</c:formatCode>
                <c:ptCount val="12"/>
                <c:pt idx="0">
                  <c:v>11563</c:v>
                </c:pt>
                <c:pt idx="1">
                  <c:v>13323</c:v>
                </c:pt>
                <c:pt idx="2">
                  <c:v>10916</c:v>
                </c:pt>
                <c:pt idx="3">
                  <c:v>9123</c:v>
                </c:pt>
                <c:pt idx="4">
                  <c:v>9000</c:v>
                </c:pt>
                <c:pt idx="5">
                  <c:v>9000</c:v>
                </c:pt>
                <c:pt idx="6">
                  <c:v>9316</c:v>
                </c:pt>
                <c:pt idx="7">
                  <c:v>9140</c:v>
                </c:pt>
                <c:pt idx="8">
                  <c:v>10584</c:v>
                </c:pt>
                <c:pt idx="9">
                  <c:v>11442</c:v>
                </c:pt>
                <c:pt idx="10">
                  <c:v>9372</c:v>
                </c:pt>
                <c:pt idx="11">
                  <c:v>9000</c:v>
                </c:pt>
              </c:numCache>
            </c:numRef>
          </c:val>
          <c:extLst>
            <c:ext xmlns:c16="http://schemas.microsoft.com/office/drawing/2014/chart" uri="{C3380CC4-5D6E-409C-BE32-E72D297353CC}">
              <c16:uniqueId val="{00000000-A75B-470E-9E08-EEDBC3844E62}"/>
            </c:ext>
          </c:extLst>
        </c:ser>
        <c:ser>
          <c:idx val="1"/>
          <c:order val="1"/>
          <c:tx>
            <c:v>FY13 Demand KW</c:v>
          </c:tx>
          <c:invertIfNegative val="0"/>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Comparison'!$L$140:$L$151</c:f>
              <c:numCache>
                <c:formatCode>#,##0.00</c:formatCode>
                <c:ptCount val="12"/>
                <c:pt idx="0">
                  <c:v>10710</c:v>
                </c:pt>
                <c:pt idx="1">
                  <c:v>10131</c:v>
                </c:pt>
                <c:pt idx="2">
                  <c:v>10094</c:v>
                </c:pt>
                <c:pt idx="3">
                  <c:v>9429</c:v>
                </c:pt>
                <c:pt idx="4">
                  <c:v>9281</c:v>
                </c:pt>
                <c:pt idx="5">
                  <c:v>11528</c:v>
                </c:pt>
                <c:pt idx="6">
                  <c:v>9000</c:v>
                </c:pt>
                <c:pt idx="7">
                  <c:v>9000</c:v>
                </c:pt>
                <c:pt idx="8">
                  <c:v>9000</c:v>
                </c:pt>
                <c:pt idx="9">
                  <c:v>10282</c:v>
                </c:pt>
                <c:pt idx="10">
                  <c:v>9119</c:v>
                </c:pt>
                <c:pt idx="11">
                  <c:v>9092</c:v>
                </c:pt>
              </c:numCache>
            </c:numRef>
          </c:val>
          <c:extLst>
            <c:ext xmlns:c16="http://schemas.microsoft.com/office/drawing/2014/chart" uri="{C3380CC4-5D6E-409C-BE32-E72D297353CC}">
              <c16:uniqueId val="{00000001-A75B-470E-9E08-EEDBC3844E62}"/>
            </c:ext>
          </c:extLst>
        </c:ser>
        <c:ser>
          <c:idx val="2"/>
          <c:order val="2"/>
          <c:tx>
            <c:v>FY14 Demand KW</c:v>
          </c:tx>
          <c:invertIfNegative val="0"/>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Comparison'!$L$120:$L$131</c:f>
              <c:numCache>
                <c:formatCode>#,##0.00</c:formatCode>
                <c:ptCount val="12"/>
                <c:pt idx="0">
                  <c:v>12928</c:v>
                </c:pt>
                <c:pt idx="1">
                  <c:v>9282</c:v>
                </c:pt>
                <c:pt idx="2">
                  <c:v>9420</c:v>
                </c:pt>
                <c:pt idx="3">
                  <c:v>9294</c:v>
                </c:pt>
                <c:pt idx="4">
                  <c:v>9000</c:v>
                </c:pt>
                <c:pt idx="5">
                  <c:v>9000</c:v>
                </c:pt>
                <c:pt idx="6">
                  <c:v>9000</c:v>
                </c:pt>
                <c:pt idx="7">
                  <c:v>9000</c:v>
                </c:pt>
                <c:pt idx="8">
                  <c:v>9647</c:v>
                </c:pt>
                <c:pt idx="9">
                  <c:v>10813</c:v>
                </c:pt>
                <c:pt idx="10">
                  <c:v>9088</c:v>
                </c:pt>
                <c:pt idx="11">
                  <c:v>9000</c:v>
                </c:pt>
              </c:numCache>
            </c:numRef>
          </c:val>
          <c:extLst>
            <c:ext xmlns:c16="http://schemas.microsoft.com/office/drawing/2014/chart" uri="{C3380CC4-5D6E-409C-BE32-E72D297353CC}">
              <c16:uniqueId val="{00000002-A75B-470E-9E08-EEDBC3844E62}"/>
            </c:ext>
          </c:extLst>
        </c:ser>
        <c:ser>
          <c:idx val="3"/>
          <c:order val="3"/>
          <c:tx>
            <c:v>FY15 Demand KW</c:v>
          </c:tx>
          <c:invertIfNegative val="0"/>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Comparison'!$L$99:$L$110</c:f>
              <c:numCache>
                <c:formatCode>#,##0.00</c:formatCode>
                <c:ptCount val="12"/>
                <c:pt idx="0">
                  <c:v>9059</c:v>
                </c:pt>
                <c:pt idx="1">
                  <c:v>9000</c:v>
                </c:pt>
                <c:pt idx="2">
                  <c:v>9043</c:v>
                </c:pt>
                <c:pt idx="3">
                  <c:v>9000</c:v>
                </c:pt>
                <c:pt idx="4">
                  <c:v>9414</c:v>
                </c:pt>
                <c:pt idx="5">
                  <c:v>9000</c:v>
                </c:pt>
                <c:pt idx="6">
                  <c:v>9000</c:v>
                </c:pt>
                <c:pt idx="7">
                  <c:v>9071</c:v>
                </c:pt>
                <c:pt idx="8">
                  <c:v>9000</c:v>
                </c:pt>
                <c:pt idx="9">
                  <c:v>9000</c:v>
                </c:pt>
                <c:pt idx="10">
                  <c:v>9000</c:v>
                </c:pt>
                <c:pt idx="11">
                  <c:v>11035</c:v>
                </c:pt>
              </c:numCache>
            </c:numRef>
          </c:val>
          <c:extLst>
            <c:ext xmlns:c16="http://schemas.microsoft.com/office/drawing/2014/chart" uri="{C3380CC4-5D6E-409C-BE32-E72D297353CC}">
              <c16:uniqueId val="{00000003-A75B-470E-9E08-EEDBC3844E62}"/>
            </c:ext>
          </c:extLst>
        </c:ser>
        <c:ser>
          <c:idx val="4"/>
          <c:order val="4"/>
          <c:tx>
            <c:v>FY16 Demand KW</c:v>
          </c:tx>
          <c:invertIfNegative val="0"/>
          <c:val>
            <c:numRef>
              <c:f>'EPEC KWH Comparison'!$L$77:$L$88</c:f>
              <c:numCache>
                <c:formatCode>#,##0.00</c:formatCode>
                <c:ptCount val="12"/>
                <c:pt idx="0">
                  <c:v>9000</c:v>
                </c:pt>
                <c:pt idx="1">
                  <c:v>9000</c:v>
                </c:pt>
                <c:pt idx="2">
                  <c:v>10755</c:v>
                </c:pt>
                <c:pt idx="3">
                  <c:v>9000</c:v>
                </c:pt>
                <c:pt idx="4">
                  <c:v>9000</c:v>
                </c:pt>
                <c:pt idx="5">
                  <c:v>9000</c:v>
                </c:pt>
                <c:pt idx="6">
                  <c:v>9000</c:v>
                </c:pt>
                <c:pt idx="7">
                  <c:v>9000</c:v>
                </c:pt>
                <c:pt idx="8">
                  <c:v>9000</c:v>
                </c:pt>
                <c:pt idx="9">
                  <c:v>9000</c:v>
                </c:pt>
                <c:pt idx="10">
                  <c:v>9000</c:v>
                </c:pt>
                <c:pt idx="11">
                  <c:v>9000</c:v>
                </c:pt>
              </c:numCache>
            </c:numRef>
          </c:val>
          <c:extLst>
            <c:ext xmlns:c16="http://schemas.microsoft.com/office/drawing/2014/chart" uri="{C3380CC4-5D6E-409C-BE32-E72D297353CC}">
              <c16:uniqueId val="{00000004-A75B-470E-9E08-EEDBC3844E62}"/>
            </c:ext>
          </c:extLst>
        </c:ser>
        <c:ser>
          <c:idx val="5"/>
          <c:order val="5"/>
          <c:tx>
            <c:v>FY17 Demand KW</c:v>
          </c:tx>
          <c:invertIfNegative val="0"/>
          <c:val>
            <c:numRef>
              <c:f>'EPEC KWH Comparison'!$L$55:$L$66</c:f>
              <c:numCache>
                <c:formatCode>#,##0.00</c:formatCode>
                <c:ptCount val="12"/>
                <c:pt idx="0">
                  <c:v>6991</c:v>
                </c:pt>
                <c:pt idx="1">
                  <c:v>8242</c:v>
                </c:pt>
                <c:pt idx="2">
                  <c:v>6926</c:v>
                </c:pt>
                <c:pt idx="3">
                  <c:v>7789</c:v>
                </c:pt>
                <c:pt idx="4">
                  <c:v>6000</c:v>
                </c:pt>
                <c:pt idx="5">
                  <c:v>6000</c:v>
                </c:pt>
                <c:pt idx="6">
                  <c:v>7907</c:v>
                </c:pt>
                <c:pt idx="7">
                  <c:v>6483</c:v>
                </c:pt>
                <c:pt idx="8">
                  <c:v>6476</c:v>
                </c:pt>
                <c:pt idx="9">
                  <c:v>6339</c:v>
                </c:pt>
                <c:pt idx="10">
                  <c:v>6880</c:v>
                </c:pt>
                <c:pt idx="11">
                  <c:v>6587</c:v>
                </c:pt>
              </c:numCache>
            </c:numRef>
          </c:val>
          <c:extLst>
            <c:ext xmlns:c16="http://schemas.microsoft.com/office/drawing/2014/chart" uri="{C3380CC4-5D6E-409C-BE32-E72D297353CC}">
              <c16:uniqueId val="{00000005-A75B-470E-9E08-EEDBC3844E62}"/>
            </c:ext>
          </c:extLst>
        </c:ser>
        <c:ser>
          <c:idx val="6"/>
          <c:order val="6"/>
          <c:tx>
            <c:v>FY18 Demand KW</c:v>
          </c:tx>
          <c:invertIfNegative val="0"/>
          <c:val>
            <c:numRef>
              <c:f>'EPEC KWH Comparison'!$L$32:$L$43</c:f>
              <c:numCache>
                <c:formatCode>#,##0.00</c:formatCode>
                <c:ptCount val="12"/>
                <c:pt idx="0">
                  <c:v>6495</c:v>
                </c:pt>
                <c:pt idx="1">
                  <c:v>6897</c:v>
                </c:pt>
                <c:pt idx="2">
                  <c:v>6741</c:v>
                </c:pt>
                <c:pt idx="3">
                  <c:v>7549</c:v>
                </c:pt>
                <c:pt idx="4">
                  <c:v>6275</c:v>
                </c:pt>
                <c:pt idx="5">
                  <c:v>6000</c:v>
                </c:pt>
                <c:pt idx="6">
                  <c:v>6251</c:v>
                </c:pt>
                <c:pt idx="7">
                  <c:v>6000</c:v>
                </c:pt>
                <c:pt idx="8">
                  <c:v>6585</c:v>
                </c:pt>
                <c:pt idx="9">
                  <c:v>6300</c:v>
                </c:pt>
                <c:pt idx="10">
                  <c:v>10721</c:v>
                </c:pt>
                <c:pt idx="11">
                  <c:v>10860</c:v>
                </c:pt>
              </c:numCache>
            </c:numRef>
          </c:val>
          <c:extLst>
            <c:ext xmlns:c16="http://schemas.microsoft.com/office/drawing/2014/chart" uri="{C3380CC4-5D6E-409C-BE32-E72D297353CC}">
              <c16:uniqueId val="{00000006-A75B-470E-9E08-EEDBC3844E62}"/>
            </c:ext>
          </c:extLst>
        </c:ser>
        <c:ser>
          <c:idx val="7"/>
          <c:order val="7"/>
          <c:tx>
            <c:v>FY19 Demand KW</c:v>
          </c:tx>
          <c:invertIfNegative val="0"/>
          <c:val>
            <c:numRef>
              <c:f>'EPEC KWH Comparison'!$L$7:$L$18</c:f>
              <c:numCache>
                <c:formatCode>#,##0.00</c:formatCode>
                <c:ptCount val="12"/>
                <c:pt idx="0">
                  <c:v>10067</c:v>
                </c:pt>
                <c:pt idx="1">
                  <c:v>8807</c:v>
                </c:pt>
                <c:pt idx="2">
                  <c:v>8404</c:v>
                </c:pt>
                <c:pt idx="3">
                  <c:v>10461</c:v>
                </c:pt>
                <c:pt idx="4">
                  <c:v>7059</c:v>
                </c:pt>
                <c:pt idx="5">
                  <c:v>8598</c:v>
                </c:pt>
                <c:pt idx="6">
                  <c:v>7059</c:v>
                </c:pt>
                <c:pt idx="7">
                  <c:v>7059</c:v>
                </c:pt>
                <c:pt idx="8">
                  <c:v>8342</c:v>
                </c:pt>
                <c:pt idx="9">
                  <c:v>8495</c:v>
                </c:pt>
                <c:pt idx="10">
                  <c:v>7059</c:v>
                </c:pt>
                <c:pt idx="11">
                  <c:v>6800</c:v>
                </c:pt>
              </c:numCache>
            </c:numRef>
          </c:val>
          <c:extLst>
            <c:ext xmlns:c16="http://schemas.microsoft.com/office/drawing/2014/chart" uri="{C3380CC4-5D6E-409C-BE32-E72D297353CC}">
              <c16:uniqueId val="{00000000-CA2B-4863-BF45-5FBE7CD6C765}"/>
            </c:ext>
          </c:extLst>
        </c:ser>
        <c:dLbls>
          <c:showLegendKey val="0"/>
          <c:showVal val="0"/>
          <c:showCatName val="0"/>
          <c:showSerName val="0"/>
          <c:showPercent val="0"/>
          <c:showBubbleSize val="0"/>
        </c:dLbls>
        <c:gapWidth val="150"/>
        <c:axId val="164870400"/>
        <c:axId val="164872192"/>
      </c:barChart>
      <c:catAx>
        <c:axId val="164870400"/>
        <c:scaling>
          <c:orientation val="minMax"/>
        </c:scaling>
        <c:delete val="0"/>
        <c:axPos val="b"/>
        <c:numFmt formatCode="General" sourceLinked="1"/>
        <c:majorTickMark val="none"/>
        <c:minorTickMark val="none"/>
        <c:tickLblPos val="nextTo"/>
        <c:crossAx val="164872192"/>
        <c:crosses val="autoZero"/>
        <c:auto val="1"/>
        <c:lblAlgn val="ctr"/>
        <c:lblOffset val="100"/>
        <c:noMultiLvlLbl val="0"/>
      </c:catAx>
      <c:valAx>
        <c:axId val="164872192"/>
        <c:scaling>
          <c:orientation val="minMax"/>
        </c:scaling>
        <c:delete val="0"/>
        <c:axPos val="l"/>
        <c:majorGridlines/>
        <c:title>
          <c:tx>
            <c:rich>
              <a:bodyPr/>
              <a:lstStyle/>
              <a:p>
                <a:pPr>
                  <a:defRPr/>
                </a:pPr>
                <a:r>
                  <a:rPr lang="en-US"/>
                  <a:t>KW</a:t>
                </a:r>
              </a:p>
            </c:rich>
          </c:tx>
          <c:overlay val="0"/>
        </c:title>
        <c:numFmt formatCode="#,##0.00" sourceLinked="1"/>
        <c:majorTickMark val="none"/>
        <c:minorTickMark val="none"/>
        <c:tickLblPos val="nextTo"/>
        <c:crossAx val="164870400"/>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Purchased Total KWH - On &amp; Off Peak (column O)</a:t>
            </a:r>
          </a:p>
        </c:rich>
      </c:tx>
      <c:overlay val="0"/>
    </c:title>
    <c:autoTitleDeleted val="0"/>
    <c:plotArea>
      <c:layout/>
      <c:lineChart>
        <c:grouping val="standard"/>
        <c:varyColors val="0"/>
        <c:ser>
          <c:idx val="0"/>
          <c:order val="0"/>
          <c:tx>
            <c:v>FY12 KWH</c:v>
          </c:tx>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Comparison'!$O$160:$O$171</c:f>
              <c:numCache>
                <c:formatCode>#,##0.00</c:formatCode>
                <c:ptCount val="12"/>
                <c:pt idx="0">
                  <c:v>4955466</c:v>
                </c:pt>
                <c:pt idx="1">
                  <c:v>4701120</c:v>
                </c:pt>
                <c:pt idx="2">
                  <c:v>5434197</c:v>
                </c:pt>
                <c:pt idx="3">
                  <c:v>3961264</c:v>
                </c:pt>
                <c:pt idx="4">
                  <c:v>3107539</c:v>
                </c:pt>
                <c:pt idx="5">
                  <c:v>2965682</c:v>
                </c:pt>
                <c:pt idx="6">
                  <c:v>2696385</c:v>
                </c:pt>
                <c:pt idx="7">
                  <c:v>3315028</c:v>
                </c:pt>
                <c:pt idx="8">
                  <c:v>4028474</c:v>
                </c:pt>
                <c:pt idx="9">
                  <c:v>4206595</c:v>
                </c:pt>
                <c:pt idx="10">
                  <c:v>3846677</c:v>
                </c:pt>
                <c:pt idx="11">
                  <c:v>4005665</c:v>
                </c:pt>
              </c:numCache>
            </c:numRef>
          </c:val>
          <c:smooth val="0"/>
          <c:extLst>
            <c:ext xmlns:c16="http://schemas.microsoft.com/office/drawing/2014/chart" uri="{C3380CC4-5D6E-409C-BE32-E72D297353CC}">
              <c16:uniqueId val="{00000000-D9A7-44E6-9729-616AFB3DFA2E}"/>
            </c:ext>
          </c:extLst>
        </c:ser>
        <c:ser>
          <c:idx val="1"/>
          <c:order val="1"/>
          <c:tx>
            <c:v>FY13 KWH</c:v>
          </c:tx>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Comparison'!$O$140:$O$151</c:f>
              <c:numCache>
                <c:formatCode>#,##0.00</c:formatCode>
                <c:ptCount val="12"/>
                <c:pt idx="0">
                  <c:v>4716787</c:v>
                </c:pt>
                <c:pt idx="1">
                  <c:v>4570131</c:v>
                </c:pt>
                <c:pt idx="2">
                  <c:v>4843539</c:v>
                </c:pt>
                <c:pt idx="3">
                  <c:v>4680081</c:v>
                </c:pt>
                <c:pt idx="4">
                  <c:v>3660453</c:v>
                </c:pt>
                <c:pt idx="5">
                  <c:v>3789364</c:v>
                </c:pt>
                <c:pt idx="6">
                  <c:v>2579575</c:v>
                </c:pt>
                <c:pt idx="7">
                  <c:v>3178669</c:v>
                </c:pt>
                <c:pt idx="8">
                  <c:v>3294129</c:v>
                </c:pt>
                <c:pt idx="9">
                  <c:v>4352645</c:v>
                </c:pt>
                <c:pt idx="10">
                  <c:v>3557325</c:v>
                </c:pt>
                <c:pt idx="11">
                  <c:v>4524867</c:v>
                </c:pt>
              </c:numCache>
            </c:numRef>
          </c:val>
          <c:smooth val="0"/>
          <c:extLst>
            <c:ext xmlns:c16="http://schemas.microsoft.com/office/drawing/2014/chart" uri="{C3380CC4-5D6E-409C-BE32-E72D297353CC}">
              <c16:uniqueId val="{00000001-D9A7-44E6-9729-616AFB3DFA2E}"/>
            </c:ext>
          </c:extLst>
        </c:ser>
        <c:ser>
          <c:idx val="2"/>
          <c:order val="2"/>
          <c:tx>
            <c:v>FY14 KWH</c:v>
          </c:tx>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Comparison'!$O$120:$O$131</c:f>
              <c:numCache>
                <c:formatCode>#,##0.00</c:formatCode>
                <c:ptCount val="12"/>
                <c:pt idx="0">
                  <c:v>5362522</c:v>
                </c:pt>
                <c:pt idx="1">
                  <c:v>5128464</c:v>
                </c:pt>
                <c:pt idx="2">
                  <c:v>4762429</c:v>
                </c:pt>
                <c:pt idx="3">
                  <c:v>3939925</c:v>
                </c:pt>
                <c:pt idx="4">
                  <c:v>3310702</c:v>
                </c:pt>
                <c:pt idx="5">
                  <c:v>2900695</c:v>
                </c:pt>
                <c:pt idx="6">
                  <c:v>2221331</c:v>
                </c:pt>
                <c:pt idx="7">
                  <c:v>2843068</c:v>
                </c:pt>
                <c:pt idx="8">
                  <c:v>3105115</c:v>
                </c:pt>
                <c:pt idx="9">
                  <c:v>5458274</c:v>
                </c:pt>
                <c:pt idx="10">
                  <c:v>3219387</c:v>
                </c:pt>
                <c:pt idx="11">
                  <c:v>3969745</c:v>
                </c:pt>
              </c:numCache>
            </c:numRef>
          </c:val>
          <c:smooth val="0"/>
          <c:extLst>
            <c:ext xmlns:c16="http://schemas.microsoft.com/office/drawing/2014/chart" uri="{C3380CC4-5D6E-409C-BE32-E72D297353CC}">
              <c16:uniqueId val="{00000002-D9A7-44E6-9729-616AFB3DFA2E}"/>
            </c:ext>
          </c:extLst>
        </c:ser>
        <c:ser>
          <c:idx val="3"/>
          <c:order val="3"/>
          <c:tx>
            <c:v>FY15 KWH</c:v>
          </c:tx>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Comparison'!$O$99:$O$110</c:f>
              <c:numCache>
                <c:formatCode>#,##0.00</c:formatCode>
                <c:ptCount val="12"/>
                <c:pt idx="0">
                  <c:v>4138865</c:v>
                </c:pt>
                <c:pt idx="1">
                  <c:v>4199804</c:v>
                </c:pt>
                <c:pt idx="2">
                  <c:v>4781534</c:v>
                </c:pt>
                <c:pt idx="3">
                  <c:v>3725561</c:v>
                </c:pt>
                <c:pt idx="4">
                  <c:v>3153893</c:v>
                </c:pt>
                <c:pt idx="5">
                  <c:v>2439500</c:v>
                </c:pt>
                <c:pt idx="6">
                  <c:v>2433860</c:v>
                </c:pt>
                <c:pt idx="7">
                  <c:v>2671292</c:v>
                </c:pt>
                <c:pt idx="8">
                  <c:v>2693684</c:v>
                </c:pt>
                <c:pt idx="9">
                  <c:v>3203749</c:v>
                </c:pt>
                <c:pt idx="10">
                  <c:v>3073155</c:v>
                </c:pt>
                <c:pt idx="11">
                  <c:v>3930148</c:v>
                </c:pt>
              </c:numCache>
            </c:numRef>
          </c:val>
          <c:smooth val="0"/>
          <c:extLst>
            <c:ext xmlns:c16="http://schemas.microsoft.com/office/drawing/2014/chart" uri="{C3380CC4-5D6E-409C-BE32-E72D297353CC}">
              <c16:uniqueId val="{00000003-D9A7-44E6-9729-616AFB3DFA2E}"/>
            </c:ext>
          </c:extLst>
        </c:ser>
        <c:ser>
          <c:idx val="4"/>
          <c:order val="4"/>
          <c:tx>
            <c:v>FY16 KWH</c:v>
          </c:tx>
          <c:val>
            <c:numRef>
              <c:f>'EPEC KWH Comparison'!$O$77:$O$88</c:f>
              <c:numCache>
                <c:formatCode>#,##0.00</c:formatCode>
                <c:ptCount val="12"/>
                <c:pt idx="0">
                  <c:v>4209169</c:v>
                </c:pt>
                <c:pt idx="1">
                  <c:v>4690772</c:v>
                </c:pt>
                <c:pt idx="2">
                  <c:v>4808147</c:v>
                </c:pt>
                <c:pt idx="3">
                  <c:v>3287538</c:v>
                </c:pt>
                <c:pt idx="4">
                  <c:v>2764959</c:v>
                </c:pt>
                <c:pt idx="5">
                  <c:v>2060240</c:v>
                </c:pt>
                <c:pt idx="6">
                  <c:v>1649302</c:v>
                </c:pt>
                <c:pt idx="7">
                  <c:v>2375140</c:v>
                </c:pt>
                <c:pt idx="8">
                  <c:v>2052879</c:v>
                </c:pt>
                <c:pt idx="9">
                  <c:v>2684667</c:v>
                </c:pt>
                <c:pt idx="10">
                  <c:v>2313159</c:v>
                </c:pt>
                <c:pt idx="11">
                  <c:v>2628500</c:v>
                </c:pt>
              </c:numCache>
            </c:numRef>
          </c:val>
          <c:smooth val="0"/>
          <c:extLst>
            <c:ext xmlns:c16="http://schemas.microsoft.com/office/drawing/2014/chart" uri="{C3380CC4-5D6E-409C-BE32-E72D297353CC}">
              <c16:uniqueId val="{00000004-D9A7-44E6-9729-616AFB3DFA2E}"/>
            </c:ext>
          </c:extLst>
        </c:ser>
        <c:ser>
          <c:idx val="5"/>
          <c:order val="5"/>
          <c:tx>
            <c:v>FY17 KWH</c:v>
          </c:tx>
          <c:val>
            <c:numRef>
              <c:f>'EPEC KWH Comparison'!$O$55:$O$66</c:f>
              <c:numCache>
                <c:formatCode>#,##0.00</c:formatCode>
                <c:ptCount val="12"/>
                <c:pt idx="0">
                  <c:v>3411956</c:v>
                </c:pt>
                <c:pt idx="1">
                  <c:v>4017272</c:v>
                </c:pt>
                <c:pt idx="2">
                  <c:v>3272822</c:v>
                </c:pt>
                <c:pt idx="3">
                  <c:v>2761898</c:v>
                </c:pt>
                <c:pt idx="4">
                  <c:v>2404781</c:v>
                </c:pt>
                <c:pt idx="5">
                  <c:v>1766228</c:v>
                </c:pt>
                <c:pt idx="6">
                  <c:v>1997094</c:v>
                </c:pt>
                <c:pt idx="7">
                  <c:v>1862994</c:v>
                </c:pt>
                <c:pt idx="8">
                  <c:v>1896632</c:v>
                </c:pt>
                <c:pt idx="9">
                  <c:v>2337942</c:v>
                </c:pt>
                <c:pt idx="10">
                  <c:v>2671749</c:v>
                </c:pt>
                <c:pt idx="11">
                  <c:v>3190214</c:v>
                </c:pt>
              </c:numCache>
            </c:numRef>
          </c:val>
          <c:smooth val="0"/>
          <c:extLst>
            <c:ext xmlns:c16="http://schemas.microsoft.com/office/drawing/2014/chart" uri="{C3380CC4-5D6E-409C-BE32-E72D297353CC}">
              <c16:uniqueId val="{00000005-D9A7-44E6-9729-616AFB3DFA2E}"/>
            </c:ext>
          </c:extLst>
        </c:ser>
        <c:ser>
          <c:idx val="6"/>
          <c:order val="6"/>
          <c:tx>
            <c:v>FY18 KWH</c:v>
          </c:tx>
          <c:val>
            <c:numRef>
              <c:f>'EPEC KWH Comparison'!$O$32:$O$43</c:f>
              <c:numCache>
                <c:formatCode>#,##0.00</c:formatCode>
                <c:ptCount val="12"/>
                <c:pt idx="0">
                  <c:v>3202224</c:v>
                </c:pt>
                <c:pt idx="1">
                  <c:v>3668255</c:v>
                </c:pt>
                <c:pt idx="2">
                  <c:v>3628549</c:v>
                </c:pt>
                <c:pt idx="3">
                  <c:v>2791409</c:v>
                </c:pt>
                <c:pt idx="4">
                  <c:v>2149452</c:v>
                </c:pt>
                <c:pt idx="5">
                  <c:v>1817462</c:v>
                </c:pt>
                <c:pt idx="6">
                  <c:v>1660548</c:v>
                </c:pt>
                <c:pt idx="7">
                  <c:v>2131896</c:v>
                </c:pt>
                <c:pt idx="8">
                  <c:v>1946066</c:v>
                </c:pt>
                <c:pt idx="9">
                  <c:v>2434880</c:v>
                </c:pt>
                <c:pt idx="10">
                  <c:v>5480315</c:v>
                </c:pt>
                <c:pt idx="11">
                  <c:v>4621621</c:v>
                </c:pt>
              </c:numCache>
            </c:numRef>
          </c:val>
          <c:smooth val="0"/>
          <c:extLst>
            <c:ext xmlns:c16="http://schemas.microsoft.com/office/drawing/2014/chart" uri="{C3380CC4-5D6E-409C-BE32-E72D297353CC}">
              <c16:uniqueId val="{00000006-D9A7-44E6-9729-616AFB3DFA2E}"/>
            </c:ext>
          </c:extLst>
        </c:ser>
        <c:dLbls>
          <c:showLegendKey val="0"/>
          <c:showVal val="0"/>
          <c:showCatName val="0"/>
          <c:showSerName val="0"/>
          <c:showPercent val="0"/>
          <c:showBubbleSize val="0"/>
        </c:dLbls>
        <c:marker val="1"/>
        <c:smooth val="0"/>
        <c:axId val="166013952"/>
        <c:axId val="166023936"/>
      </c:lineChart>
      <c:catAx>
        <c:axId val="166013952"/>
        <c:scaling>
          <c:orientation val="minMax"/>
        </c:scaling>
        <c:delete val="0"/>
        <c:axPos val="b"/>
        <c:numFmt formatCode="General" sourceLinked="1"/>
        <c:majorTickMark val="none"/>
        <c:minorTickMark val="none"/>
        <c:tickLblPos val="nextTo"/>
        <c:crossAx val="166023936"/>
        <c:crosses val="autoZero"/>
        <c:auto val="1"/>
        <c:lblAlgn val="ctr"/>
        <c:lblOffset val="100"/>
        <c:noMultiLvlLbl val="0"/>
      </c:catAx>
      <c:valAx>
        <c:axId val="166023936"/>
        <c:scaling>
          <c:orientation val="minMax"/>
        </c:scaling>
        <c:delete val="0"/>
        <c:axPos val="l"/>
        <c:majorGridlines/>
        <c:title>
          <c:tx>
            <c:rich>
              <a:bodyPr/>
              <a:lstStyle/>
              <a:p>
                <a:pPr>
                  <a:defRPr/>
                </a:pPr>
                <a:r>
                  <a:rPr lang="en-US"/>
                  <a:t>KWH</a:t>
                </a:r>
              </a:p>
            </c:rich>
          </c:tx>
          <c:overlay val="0"/>
        </c:title>
        <c:numFmt formatCode="#,##0.00" sourceLinked="1"/>
        <c:majorTickMark val="none"/>
        <c:minorTickMark val="none"/>
        <c:tickLblPos val="nextTo"/>
        <c:crossAx val="166013952"/>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FY Comparison of Total HP Natural Gas Dekatherms Purchased - Column O</a:t>
            </a:r>
          </a:p>
        </c:rich>
      </c:tx>
      <c:layout/>
      <c:overlay val="0"/>
    </c:title>
    <c:autoTitleDeleted val="0"/>
    <c:plotArea>
      <c:layout>
        <c:manualLayout>
          <c:layoutTarget val="inner"/>
          <c:xMode val="edge"/>
          <c:yMode val="edge"/>
          <c:x val="0.17299728112251173"/>
          <c:y val="0.1901738845144357"/>
          <c:w val="0.80872422103767438"/>
          <c:h val="0.49446449402158066"/>
        </c:manualLayout>
      </c:layout>
      <c:barChart>
        <c:barDir val="col"/>
        <c:grouping val="clustered"/>
        <c:varyColors val="0"/>
        <c:ser>
          <c:idx val="0"/>
          <c:order val="0"/>
          <c:tx>
            <c:v>FY12 Total HP Dth</c:v>
          </c:tx>
          <c:invertIfNegative val="0"/>
          <c:cat>
            <c:strRef>
              <c:f>'CLC DTH Comparison'!$A$96:$A$107</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'CLC DTH Comparison'!$K$158:$K$169</c:f>
              <c:numCache>
                <c:formatCode>_(* #,##0.00_);_(* \(#,##0.00\);_(* "-"??_);_(@_)</c:formatCode>
                <c:ptCount val="12"/>
                <c:pt idx="0">
                  <c:v>41321</c:v>
                </c:pt>
                <c:pt idx="1">
                  <c:v>46188</c:v>
                </c:pt>
                <c:pt idx="2">
                  <c:v>46422</c:v>
                </c:pt>
                <c:pt idx="3">
                  <c:v>50717</c:v>
                </c:pt>
                <c:pt idx="4">
                  <c:v>54874</c:v>
                </c:pt>
                <c:pt idx="5">
                  <c:v>64401</c:v>
                </c:pt>
                <c:pt idx="6">
                  <c:v>58812</c:v>
                </c:pt>
                <c:pt idx="7">
                  <c:v>57328</c:v>
                </c:pt>
                <c:pt idx="8">
                  <c:v>48288</c:v>
                </c:pt>
                <c:pt idx="9">
                  <c:v>41112</c:v>
                </c:pt>
                <c:pt idx="10">
                  <c:v>42340</c:v>
                </c:pt>
                <c:pt idx="11">
                  <c:v>38957</c:v>
                </c:pt>
              </c:numCache>
            </c:numRef>
          </c:val>
          <c:extLst>
            <c:ext xmlns:c16="http://schemas.microsoft.com/office/drawing/2014/chart" uri="{C3380CC4-5D6E-409C-BE32-E72D297353CC}">
              <c16:uniqueId val="{00000000-3995-4152-B6F7-2DE78F2A8045}"/>
            </c:ext>
          </c:extLst>
        </c:ser>
        <c:ser>
          <c:idx val="1"/>
          <c:order val="1"/>
          <c:tx>
            <c:v>FY13 Total HP Dth</c:v>
          </c:tx>
          <c:invertIfNegative val="0"/>
          <c:cat>
            <c:strRef>
              <c:f>'CLC DTH Comparison'!$A$96:$A$107</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'CLC DTH Comparison'!$K$138:$K$149</c:f>
              <c:numCache>
                <c:formatCode>_(* #,##0.00_);_(* \(#,##0.00\);_(* "-"??_);_(@_)</c:formatCode>
                <c:ptCount val="12"/>
                <c:pt idx="0">
                  <c:v>39548</c:v>
                </c:pt>
                <c:pt idx="1">
                  <c:v>44140</c:v>
                </c:pt>
                <c:pt idx="2">
                  <c:v>41505</c:v>
                </c:pt>
                <c:pt idx="3">
                  <c:v>49179</c:v>
                </c:pt>
                <c:pt idx="4">
                  <c:v>51090</c:v>
                </c:pt>
                <c:pt idx="5">
                  <c:v>46426</c:v>
                </c:pt>
                <c:pt idx="6">
                  <c:v>54677</c:v>
                </c:pt>
                <c:pt idx="7">
                  <c:v>52880</c:v>
                </c:pt>
                <c:pt idx="8">
                  <c:v>44755</c:v>
                </c:pt>
                <c:pt idx="9">
                  <c:v>41715</c:v>
                </c:pt>
                <c:pt idx="10">
                  <c:v>40523</c:v>
                </c:pt>
                <c:pt idx="11">
                  <c:v>42354</c:v>
                </c:pt>
              </c:numCache>
            </c:numRef>
          </c:val>
          <c:extLst>
            <c:ext xmlns:c16="http://schemas.microsoft.com/office/drawing/2014/chart" uri="{C3380CC4-5D6E-409C-BE32-E72D297353CC}">
              <c16:uniqueId val="{00000001-3995-4152-B6F7-2DE78F2A8045}"/>
            </c:ext>
          </c:extLst>
        </c:ser>
        <c:ser>
          <c:idx val="2"/>
          <c:order val="2"/>
          <c:tx>
            <c:v>FY14 Total HP Dth</c:v>
          </c:tx>
          <c:invertIfNegative val="0"/>
          <c:cat>
            <c:strRef>
              <c:f>'CLC DTH Comparison'!$A$96:$A$107</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'CLC DTH Comparison'!$K$118:$K$129</c:f>
              <c:numCache>
                <c:formatCode>_(* #,##0.00_);_(* \(#,##0.00\);_(* "-"??_);_(@_)</c:formatCode>
                <c:ptCount val="12"/>
                <c:pt idx="0">
                  <c:v>33997</c:v>
                </c:pt>
                <c:pt idx="1">
                  <c:v>40879</c:v>
                </c:pt>
                <c:pt idx="2">
                  <c:v>40671</c:v>
                </c:pt>
                <c:pt idx="3">
                  <c:v>41350</c:v>
                </c:pt>
                <c:pt idx="4">
                  <c:v>43258</c:v>
                </c:pt>
                <c:pt idx="5">
                  <c:v>50637</c:v>
                </c:pt>
                <c:pt idx="6">
                  <c:v>61541</c:v>
                </c:pt>
                <c:pt idx="7">
                  <c:v>48796</c:v>
                </c:pt>
                <c:pt idx="8">
                  <c:v>46901</c:v>
                </c:pt>
                <c:pt idx="9">
                  <c:v>33410</c:v>
                </c:pt>
                <c:pt idx="10">
                  <c:v>44739</c:v>
                </c:pt>
                <c:pt idx="11">
                  <c:v>43908</c:v>
                </c:pt>
              </c:numCache>
            </c:numRef>
          </c:val>
          <c:extLst>
            <c:ext xmlns:c16="http://schemas.microsoft.com/office/drawing/2014/chart" uri="{C3380CC4-5D6E-409C-BE32-E72D297353CC}">
              <c16:uniqueId val="{00000002-3995-4152-B6F7-2DE78F2A8045}"/>
            </c:ext>
          </c:extLst>
        </c:ser>
        <c:ser>
          <c:idx val="3"/>
          <c:order val="3"/>
          <c:tx>
            <c:v>FY15 Total HP Dth</c:v>
          </c:tx>
          <c:spPr>
            <a:solidFill>
              <a:srgbClr val="FF9966"/>
            </a:solidFill>
          </c:spPr>
          <c:invertIfNegative val="0"/>
          <c:cat>
            <c:strRef>
              <c:f>'CLC DTH Comparison'!$A$96:$A$107</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'CLC DTH Comparison'!$K$96:$K$107</c:f>
              <c:numCache>
                <c:formatCode>_(* #,##0.00_);_(* \(#,##0.00\);_(* "-"??_);_(@_)</c:formatCode>
                <c:ptCount val="12"/>
                <c:pt idx="0">
                  <c:v>40969</c:v>
                </c:pt>
                <c:pt idx="1">
                  <c:v>45854</c:v>
                </c:pt>
                <c:pt idx="2">
                  <c:v>40604</c:v>
                </c:pt>
                <c:pt idx="3">
                  <c:v>45050</c:v>
                </c:pt>
                <c:pt idx="4">
                  <c:v>45991</c:v>
                </c:pt>
                <c:pt idx="5">
                  <c:v>49890</c:v>
                </c:pt>
                <c:pt idx="6">
                  <c:v>58106</c:v>
                </c:pt>
                <c:pt idx="7">
                  <c:v>49581</c:v>
                </c:pt>
                <c:pt idx="8">
                  <c:v>43195</c:v>
                </c:pt>
                <c:pt idx="9">
                  <c:v>46645</c:v>
                </c:pt>
                <c:pt idx="10">
                  <c:v>44626</c:v>
                </c:pt>
                <c:pt idx="11">
                  <c:v>42633</c:v>
                </c:pt>
              </c:numCache>
            </c:numRef>
          </c:val>
          <c:extLst>
            <c:ext xmlns:c16="http://schemas.microsoft.com/office/drawing/2014/chart" uri="{C3380CC4-5D6E-409C-BE32-E72D297353CC}">
              <c16:uniqueId val="{00000003-3995-4152-B6F7-2DE78F2A8045}"/>
            </c:ext>
          </c:extLst>
        </c:ser>
        <c:ser>
          <c:idx val="4"/>
          <c:order val="4"/>
          <c:tx>
            <c:v>FY16 Total HP Dth</c:v>
          </c:tx>
          <c:invertIfNegative val="0"/>
          <c:val>
            <c:numRef>
              <c:f>'CLC DTH Comparison'!$K$75:$K$86</c:f>
              <c:numCache>
                <c:formatCode>_(* #,##0.00_);_(* \(#,##0.00\);_(* "-"??_);_(@_)</c:formatCode>
                <c:ptCount val="12"/>
                <c:pt idx="0">
                  <c:v>40461</c:v>
                </c:pt>
                <c:pt idx="1">
                  <c:v>43241</c:v>
                </c:pt>
                <c:pt idx="2">
                  <c:v>38847</c:v>
                </c:pt>
                <c:pt idx="3">
                  <c:v>44122</c:v>
                </c:pt>
                <c:pt idx="4">
                  <c:v>45704</c:v>
                </c:pt>
                <c:pt idx="5">
                  <c:v>59666</c:v>
                </c:pt>
                <c:pt idx="6">
                  <c:v>64404</c:v>
                </c:pt>
                <c:pt idx="7">
                  <c:v>52923</c:v>
                </c:pt>
                <c:pt idx="8">
                  <c:v>45819</c:v>
                </c:pt>
                <c:pt idx="9">
                  <c:v>45739</c:v>
                </c:pt>
                <c:pt idx="10">
                  <c:v>49732</c:v>
                </c:pt>
                <c:pt idx="11">
                  <c:v>51870</c:v>
                </c:pt>
              </c:numCache>
            </c:numRef>
          </c:val>
          <c:extLst>
            <c:ext xmlns:c16="http://schemas.microsoft.com/office/drawing/2014/chart" uri="{C3380CC4-5D6E-409C-BE32-E72D297353CC}">
              <c16:uniqueId val="{00000004-3995-4152-B6F7-2DE78F2A8045}"/>
            </c:ext>
          </c:extLst>
        </c:ser>
        <c:ser>
          <c:idx val="6"/>
          <c:order val="5"/>
          <c:tx>
            <c:v>FY17 Total HP Dth</c:v>
          </c:tx>
          <c:invertIfNegative val="0"/>
          <c:val>
            <c:numRef>
              <c:f>'CLC DTH Comparison'!$K$54:$K$65</c:f>
              <c:numCache>
                <c:formatCode>_(* #,##0.00_);_(* \(#,##0.00\);_(* "-"??_);_(@_)</c:formatCode>
                <c:ptCount val="12"/>
                <c:pt idx="0">
                  <c:v>45774</c:v>
                </c:pt>
                <c:pt idx="1">
                  <c:v>49873</c:v>
                </c:pt>
                <c:pt idx="2">
                  <c:v>52837</c:v>
                </c:pt>
                <c:pt idx="3">
                  <c:v>53102</c:v>
                </c:pt>
                <c:pt idx="4">
                  <c:v>45640</c:v>
                </c:pt>
                <c:pt idx="5">
                  <c:v>59147</c:v>
                </c:pt>
                <c:pt idx="6">
                  <c:v>40150</c:v>
                </c:pt>
                <c:pt idx="7">
                  <c:v>56471</c:v>
                </c:pt>
                <c:pt idx="8">
                  <c:v>54094</c:v>
                </c:pt>
                <c:pt idx="9">
                  <c:v>41326</c:v>
                </c:pt>
                <c:pt idx="10">
                  <c:v>40173</c:v>
                </c:pt>
                <c:pt idx="11">
                  <c:v>45470</c:v>
                </c:pt>
              </c:numCache>
            </c:numRef>
          </c:val>
          <c:extLst>
            <c:ext xmlns:c16="http://schemas.microsoft.com/office/drawing/2014/chart" uri="{C3380CC4-5D6E-409C-BE32-E72D297353CC}">
              <c16:uniqueId val="{00000005-3995-4152-B6F7-2DE78F2A8045}"/>
            </c:ext>
          </c:extLst>
        </c:ser>
        <c:ser>
          <c:idx val="5"/>
          <c:order val="6"/>
          <c:tx>
            <c:v>FY18 Total HP Dth</c:v>
          </c:tx>
          <c:invertIfNegative val="0"/>
          <c:val>
            <c:numRef>
              <c:f>'CLC DTH Comparison'!$O$32:$O$43</c:f>
              <c:numCache>
                <c:formatCode>_(* #,##0.00_);_(* \(#,##0.00\);_(* "-"??_);_(@_)</c:formatCode>
                <c:ptCount val="12"/>
                <c:pt idx="0">
                  <c:v>44474</c:v>
                </c:pt>
                <c:pt idx="1">
                  <c:v>43422</c:v>
                </c:pt>
                <c:pt idx="2">
                  <c:v>44455</c:v>
                </c:pt>
                <c:pt idx="3">
                  <c:v>45890</c:v>
                </c:pt>
                <c:pt idx="4">
                  <c:v>43488</c:v>
                </c:pt>
                <c:pt idx="5">
                  <c:v>48487</c:v>
                </c:pt>
                <c:pt idx="6">
                  <c:v>62867</c:v>
                </c:pt>
                <c:pt idx="7">
                  <c:v>52843</c:v>
                </c:pt>
                <c:pt idx="8">
                  <c:v>40969</c:v>
                </c:pt>
                <c:pt idx="9">
                  <c:v>42436</c:v>
                </c:pt>
                <c:pt idx="10">
                  <c:v>21167</c:v>
                </c:pt>
                <c:pt idx="11">
                  <c:v>33071</c:v>
                </c:pt>
              </c:numCache>
            </c:numRef>
          </c:val>
          <c:extLst>
            <c:ext xmlns:c16="http://schemas.microsoft.com/office/drawing/2014/chart" uri="{C3380CC4-5D6E-409C-BE32-E72D297353CC}">
              <c16:uniqueId val="{00000006-3995-4152-B6F7-2DE78F2A8045}"/>
            </c:ext>
          </c:extLst>
        </c:ser>
        <c:ser>
          <c:idx val="7"/>
          <c:order val="7"/>
          <c:tx>
            <c:v>FY19 Total HP Dth</c:v>
          </c:tx>
          <c:invertIfNegative val="0"/>
          <c:val>
            <c:numRef>
              <c:f>'CLC DTH Comparison'!$O$9:$O$20</c:f>
              <c:numCache>
                <c:formatCode>_(* #,##0.00_);_(* \(#,##0.00\);_(* "-"??_);_(@_)</c:formatCode>
                <c:ptCount val="12"/>
                <c:pt idx="0">
                  <c:v>40596</c:v>
                </c:pt>
                <c:pt idx="1">
                  <c:v>49090</c:v>
                </c:pt>
                <c:pt idx="2">
                  <c:v>49154</c:v>
                </c:pt>
                <c:pt idx="3">
                  <c:v>41092</c:v>
                </c:pt>
                <c:pt idx="4">
                  <c:v>55863</c:v>
                </c:pt>
                <c:pt idx="5">
                  <c:v>41978</c:v>
                </c:pt>
                <c:pt idx="6">
                  <c:v>57219</c:v>
                </c:pt>
                <c:pt idx="7">
                  <c:v>53949</c:v>
                </c:pt>
                <c:pt idx="8">
                  <c:v>45080</c:v>
                </c:pt>
                <c:pt idx="9">
                  <c:v>53024</c:v>
                </c:pt>
                <c:pt idx="10">
                  <c:v>43945</c:v>
                </c:pt>
                <c:pt idx="11">
                  <c:v>46121</c:v>
                </c:pt>
              </c:numCache>
            </c:numRef>
          </c:val>
          <c:extLst>
            <c:ext xmlns:c16="http://schemas.microsoft.com/office/drawing/2014/chart" uri="{C3380CC4-5D6E-409C-BE32-E72D297353CC}">
              <c16:uniqueId val="{00000000-D262-4529-AF0E-CF0C8EFE2871}"/>
            </c:ext>
          </c:extLst>
        </c:ser>
        <c:dLbls>
          <c:showLegendKey val="0"/>
          <c:showVal val="0"/>
          <c:showCatName val="0"/>
          <c:showSerName val="0"/>
          <c:showPercent val="0"/>
          <c:showBubbleSize val="0"/>
        </c:dLbls>
        <c:gapWidth val="150"/>
        <c:axId val="165006720"/>
        <c:axId val="166270080"/>
      </c:barChart>
      <c:catAx>
        <c:axId val="165006720"/>
        <c:scaling>
          <c:orientation val="minMax"/>
        </c:scaling>
        <c:delete val="0"/>
        <c:axPos val="b"/>
        <c:numFmt formatCode="General" sourceLinked="0"/>
        <c:majorTickMark val="none"/>
        <c:minorTickMark val="none"/>
        <c:tickLblPos val="nextTo"/>
        <c:crossAx val="166270080"/>
        <c:crosses val="autoZero"/>
        <c:auto val="1"/>
        <c:lblAlgn val="ctr"/>
        <c:lblOffset val="100"/>
        <c:noMultiLvlLbl val="0"/>
      </c:catAx>
      <c:valAx>
        <c:axId val="166270080"/>
        <c:scaling>
          <c:orientation val="minMax"/>
        </c:scaling>
        <c:delete val="0"/>
        <c:axPos val="l"/>
        <c:majorGridlines/>
        <c:title>
          <c:tx>
            <c:rich>
              <a:bodyPr/>
              <a:lstStyle/>
              <a:p>
                <a:pPr>
                  <a:defRPr/>
                </a:pPr>
                <a:r>
                  <a:rPr lang="en-US"/>
                  <a:t>Total Dekatherms Purchased</a:t>
                </a:r>
              </a:p>
            </c:rich>
          </c:tx>
          <c:layout>
            <c:manualLayout>
              <c:xMode val="edge"/>
              <c:yMode val="edge"/>
              <c:x val="1.3293452974410104E-2"/>
              <c:y val="0.12535906969962088"/>
            </c:manualLayout>
          </c:layout>
          <c:overlay val="0"/>
        </c:title>
        <c:numFmt formatCode="_(* #,##0.00_);_(* \(#,##0.00\);_(* &quot;-&quot;??_);_(@_)" sourceLinked="1"/>
        <c:majorTickMark val="none"/>
        <c:minorTickMark val="none"/>
        <c:tickLblPos val="nextTo"/>
        <c:crossAx val="165006720"/>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FY Comparison of Total HP Natural Gas Dekatherms Purchased</a:t>
            </a:r>
          </a:p>
        </c:rich>
      </c:tx>
      <c:layout>
        <c:manualLayout>
          <c:xMode val="edge"/>
          <c:yMode val="edge"/>
          <c:x val="0.10949644504805793"/>
          <c:y val="1.5735644476861065E-2"/>
        </c:manualLayout>
      </c:layout>
      <c:overlay val="0"/>
    </c:title>
    <c:autoTitleDeleted val="0"/>
    <c:plotArea>
      <c:layout>
        <c:manualLayout>
          <c:layoutTarget val="inner"/>
          <c:xMode val="edge"/>
          <c:yMode val="edge"/>
          <c:x val="0.17299728112251173"/>
          <c:y val="0.1901738845144357"/>
          <c:w val="0.80872422103767438"/>
          <c:h val="0.49446449402158066"/>
        </c:manualLayout>
      </c:layout>
      <c:lineChart>
        <c:grouping val="standard"/>
        <c:varyColors val="0"/>
        <c:ser>
          <c:idx val="0"/>
          <c:order val="0"/>
          <c:tx>
            <c:v>FY12 Total HP Dth</c:v>
          </c:tx>
          <c:cat>
            <c:strRef>
              <c:f>'CLC DTH Comparison'!$A$96:$A$107</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'CLC DTH Comparison'!$K$158:$K$169</c:f>
              <c:numCache>
                <c:formatCode>_(* #,##0.00_);_(* \(#,##0.00\);_(* "-"??_);_(@_)</c:formatCode>
                <c:ptCount val="12"/>
                <c:pt idx="0">
                  <c:v>41321</c:v>
                </c:pt>
                <c:pt idx="1">
                  <c:v>46188</c:v>
                </c:pt>
                <c:pt idx="2">
                  <c:v>46422</c:v>
                </c:pt>
                <c:pt idx="3">
                  <c:v>50717</c:v>
                </c:pt>
                <c:pt idx="4">
                  <c:v>54874</c:v>
                </c:pt>
                <c:pt idx="5">
                  <c:v>64401</c:v>
                </c:pt>
                <c:pt idx="6">
                  <c:v>58812</c:v>
                </c:pt>
                <c:pt idx="7">
                  <c:v>57328</c:v>
                </c:pt>
                <c:pt idx="8">
                  <c:v>48288</c:v>
                </c:pt>
                <c:pt idx="9">
                  <c:v>41112</c:v>
                </c:pt>
                <c:pt idx="10">
                  <c:v>42340</c:v>
                </c:pt>
                <c:pt idx="11">
                  <c:v>38957</c:v>
                </c:pt>
              </c:numCache>
            </c:numRef>
          </c:val>
          <c:smooth val="0"/>
          <c:extLst>
            <c:ext xmlns:c16="http://schemas.microsoft.com/office/drawing/2014/chart" uri="{C3380CC4-5D6E-409C-BE32-E72D297353CC}">
              <c16:uniqueId val="{00000000-936E-4B5F-9B79-5D8F29319E54}"/>
            </c:ext>
          </c:extLst>
        </c:ser>
        <c:ser>
          <c:idx val="1"/>
          <c:order val="1"/>
          <c:tx>
            <c:v>FY13 Total HP Dth</c:v>
          </c:tx>
          <c:cat>
            <c:strRef>
              <c:f>'CLC DTH Comparison'!$A$96:$A$107</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'CLC DTH Comparison'!$K$138:$K$149</c:f>
              <c:numCache>
                <c:formatCode>_(* #,##0.00_);_(* \(#,##0.00\);_(* "-"??_);_(@_)</c:formatCode>
                <c:ptCount val="12"/>
                <c:pt idx="0">
                  <c:v>39548</c:v>
                </c:pt>
                <c:pt idx="1">
                  <c:v>44140</c:v>
                </c:pt>
                <c:pt idx="2">
                  <c:v>41505</c:v>
                </c:pt>
                <c:pt idx="3">
                  <c:v>49179</c:v>
                </c:pt>
                <c:pt idx="4">
                  <c:v>51090</c:v>
                </c:pt>
                <c:pt idx="5">
                  <c:v>46426</c:v>
                </c:pt>
                <c:pt idx="6">
                  <c:v>54677</c:v>
                </c:pt>
                <c:pt idx="7">
                  <c:v>52880</c:v>
                </c:pt>
                <c:pt idx="8">
                  <c:v>44755</c:v>
                </c:pt>
                <c:pt idx="9">
                  <c:v>41715</c:v>
                </c:pt>
                <c:pt idx="10">
                  <c:v>40523</c:v>
                </c:pt>
                <c:pt idx="11">
                  <c:v>42354</c:v>
                </c:pt>
              </c:numCache>
            </c:numRef>
          </c:val>
          <c:smooth val="0"/>
          <c:extLst>
            <c:ext xmlns:c16="http://schemas.microsoft.com/office/drawing/2014/chart" uri="{C3380CC4-5D6E-409C-BE32-E72D297353CC}">
              <c16:uniqueId val="{00000001-936E-4B5F-9B79-5D8F29319E54}"/>
            </c:ext>
          </c:extLst>
        </c:ser>
        <c:ser>
          <c:idx val="2"/>
          <c:order val="2"/>
          <c:tx>
            <c:v>FY14 Total HP Dth</c:v>
          </c:tx>
          <c:cat>
            <c:strRef>
              <c:f>'CLC DTH Comparison'!$A$96:$A$107</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'CLC DTH Comparison'!$K$118:$K$129</c:f>
              <c:numCache>
                <c:formatCode>_(* #,##0.00_);_(* \(#,##0.00\);_(* "-"??_);_(@_)</c:formatCode>
                <c:ptCount val="12"/>
                <c:pt idx="0">
                  <c:v>33997</c:v>
                </c:pt>
                <c:pt idx="1">
                  <c:v>40879</c:v>
                </c:pt>
                <c:pt idx="2">
                  <c:v>40671</c:v>
                </c:pt>
                <c:pt idx="3">
                  <c:v>41350</c:v>
                </c:pt>
                <c:pt idx="4">
                  <c:v>43258</c:v>
                </c:pt>
                <c:pt idx="5">
                  <c:v>50637</c:v>
                </c:pt>
                <c:pt idx="6">
                  <c:v>61541</c:v>
                </c:pt>
                <c:pt idx="7">
                  <c:v>48796</c:v>
                </c:pt>
                <c:pt idx="8">
                  <c:v>46901</c:v>
                </c:pt>
                <c:pt idx="9">
                  <c:v>33410</c:v>
                </c:pt>
                <c:pt idx="10">
                  <c:v>44739</c:v>
                </c:pt>
                <c:pt idx="11">
                  <c:v>43908</c:v>
                </c:pt>
              </c:numCache>
            </c:numRef>
          </c:val>
          <c:smooth val="0"/>
          <c:extLst>
            <c:ext xmlns:c16="http://schemas.microsoft.com/office/drawing/2014/chart" uri="{C3380CC4-5D6E-409C-BE32-E72D297353CC}">
              <c16:uniqueId val="{00000002-936E-4B5F-9B79-5D8F29319E54}"/>
            </c:ext>
          </c:extLst>
        </c:ser>
        <c:ser>
          <c:idx val="3"/>
          <c:order val="3"/>
          <c:tx>
            <c:v>FY15 Total HP Dth</c:v>
          </c:tx>
          <c:cat>
            <c:strRef>
              <c:f>'CLC DTH Comparison'!$A$96:$A$107</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'CLC DTH Comparison'!$K$96:$K$107</c:f>
              <c:numCache>
                <c:formatCode>_(* #,##0.00_);_(* \(#,##0.00\);_(* "-"??_);_(@_)</c:formatCode>
                <c:ptCount val="12"/>
                <c:pt idx="0">
                  <c:v>40969</c:v>
                </c:pt>
                <c:pt idx="1">
                  <c:v>45854</c:v>
                </c:pt>
                <c:pt idx="2">
                  <c:v>40604</c:v>
                </c:pt>
                <c:pt idx="3">
                  <c:v>45050</c:v>
                </c:pt>
                <c:pt idx="4">
                  <c:v>45991</c:v>
                </c:pt>
                <c:pt idx="5">
                  <c:v>49890</c:v>
                </c:pt>
                <c:pt idx="6">
                  <c:v>58106</c:v>
                </c:pt>
                <c:pt idx="7">
                  <c:v>49581</c:v>
                </c:pt>
                <c:pt idx="8">
                  <c:v>43195</c:v>
                </c:pt>
                <c:pt idx="9">
                  <c:v>46645</c:v>
                </c:pt>
                <c:pt idx="10">
                  <c:v>44626</c:v>
                </c:pt>
                <c:pt idx="11">
                  <c:v>42633</c:v>
                </c:pt>
              </c:numCache>
            </c:numRef>
          </c:val>
          <c:smooth val="0"/>
          <c:extLst>
            <c:ext xmlns:c16="http://schemas.microsoft.com/office/drawing/2014/chart" uri="{C3380CC4-5D6E-409C-BE32-E72D297353CC}">
              <c16:uniqueId val="{00000003-936E-4B5F-9B79-5D8F29319E54}"/>
            </c:ext>
          </c:extLst>
        </c:ser>
        <c:ser>
          <c:idx val="4"/>
          <c:order val="4"/>
          <c:tx>
            <c:v>FY16 Total HP Dth</c:v>
          </c:tx>
          <c:val>
            <c:numRef>
              <c:f>'CLC DTH Comparison'!$K$75:$K$86</c:f>
              <c:numCache>
                <c:formatCode>_(* #,##0.00_);_(* \(#,##0.00\);_(* "-"??_);_(@_)</c:formatCode>
                <c:ptCount val="12"/>
                <c:pt idx="0">
                  <c:v>40461</c:v>
                </c:pt>
                <c:pt idx="1">
                  <c:v>43241</c:v>
                </c:pt>
                <c:pt idx="2">
                  <c:v>38847</c:v>
                </c:pt>
                <c:pt idx="3">
                  <c:v>44122</c:v>
                </c:pt>
                <c:pt idx="4">
                  <c:v>45704</c:v>
                </c:pt>
                <c:pt idx="5">
                  <c:v>59666</c:v>
                </c:pt>
                <c:pt idx="6">
                  <c:v>64404</c:v>
                </c:pt>
                <c:pt idx="7">
                  <c:v>52923</c:v>
                </c:pt>
                <c:pt idx="8">
                  <c:v>45819</c:v>
                </c:pt>
                <c:pt idx="9">
                  <c:v>45739</c:v>
                </c:pt>
                <c:pt idx="10">
                  <c:v>49732</c:v>
                </c:pt>
                <c:pt idx="11">
                  <c:v>51870</c:v>
                </c:pt>
              </c:numCache>
            </c:numRef>
          </c:val>
          <c:smooth val="0"/>
          <c:extLst>
            <c:ext xmlns:c16="http://schemas.microsoft.com/office/drawing/2014/chart" uri="{C3380CC4-5D6E-409C-BE32-E72D297353CC}">
              <c16:uniqueId val="{00000004-936E-4B5F-9B79-5D8F29319E54}"/>
            </c:ext>
          </c:extLst>
        </c:ser>
        <c:ser>
          <c:idx val="6"/>
          <c:order val="5"/>
          <c:tx>
            <c:v>FY17 Total HP Dth</c:v>
          </c:tx>
          <c:val>
            <c:numRef>
              <c:f>'CLC DTH Comparison'!$K$54:$K$65</c:f>
              <c:numCache>
                <c:formatCode>_(* #,##0.00_);_(* \(#,##0.00\);_(* "-"??_);_(@_)</c:formatCode>
                <c:ptCount val="12"/>
                <c:pt idx="0">
                  <c:v>45774</c:v>
                </c:pt>
                <c:pt idx="1">
                  <c:v>49873</c:v>
                </c:pt>
                <c:pt idx="2">
                  <c:v>52837</c:v>
                </c:pt>
                <c:pt idx="3">
                  <c:v>53102</c:v>
                </c:pt>
                <c:pt idx="4">
                  <c:v>45640</c:v>
                </c:pt>
                <c:pt idx="5">
                  <c:v>59147</c:v>
                </c:pt>
                <c:pt idx="6">
                  <c:v>40150</c:v>
                </c:pt>
                <c:pt idx="7">
                  <c:v>56471</c:v>
                </c:pt>
                <c:pt idx="8">
                  <c:v>54094</c:v>
                </c:pt>
                <c:pt idx="9">
                  <c:v>41326</c:v>
                </c:pt>
                <c:pt idx="10">
                  <c:v>40173</c:v>
                </c:pt>
                <c:pt idx="11">
                  <c:v>45470</c:v>
                </c:pt>
              </c:numCache>
            </c:numRef>
          </c:val>
          <c:smooth val="0"/>
          <c:extLst>
            <c:ext xmlns:c16="http://schemas.microsoft.com/office/drawing/2014/chart" uri="{C3380CC4-5D6E-409C-BE32-E72D297353CC}">
              <c16:uniqueId val="{00000005-936E-4B5F-9B79-5D8F29319E54}"/>
            </c:ext>
          </c:extLst>
        </c:ser>
        <c:ser>
          <c:idx val="5"/>
          <c:order val="6"/>
          <c:tx>
            <c:v>FY18 Total HP Dth</c:v>
          </c:tx>
          <c:val>
            <c:numRef>
              <c:f>'CLC DTH Comparison'!$O$32:$O$43</c:f>
              <c:numCache>
                <c:formatCode>_(* #,##0.00_);_(* \(#,##0.00\);_(* "-"??_);_(@_)</c:formatCode>
                <c:ptCount val="12"/>
                <c:pt idx="0">
                  <c:v>44474</c:v>
                </c:pt>
                <c:pt idx="1">
                  <c:v>43422</c:v>
                </c:pt>
                <c:pt idx="2">
                  <c:v>44455</c:v>
                </c:pt>
                <c:pt idx="3">
                  <c:v>45890</c:v>
                </c:pt>
                <c:pt idx="4">
                  <c:v>43488</c:v>
                </c:pt>
                <c:pt idx="5">
                  <c:v>48487</c:v>
                </c:pt>
                <c:pt idx="6">
                  <c:v>62867</c:v>
                </c:pt>
                <c:pt idx="7">
                  <c:v>52843</c:v>
                </c:pt>
                <c:pt idx="8">
                  <c:v>40969</c:v>
                </c:pt>
                <c:pt idx="9">
                  <c:v>42436</c:v>
                </c:pt>
                <c:pt idx="10">
                  <c:v>21167</c:v>
                </c:pt>
                <c:pt idx="11">
                  <c:v>33071</c:v>
                </c:pt>
              </c:numCache>
            </c:numRef>
          </c:val>
          <c:smooth val="0"/>
          <c:extLst>
            <c:ext xmlns:c16="http://schemas.microsoft.com/office/drawing/2014/chart" uri="{C3380CC4-5D6E-409C-BE32-E72D297353CC}">
              <c16:uniqueId val="{00000006-936E-4B5F-9B79-5D8F29319E54}"/>
            </c:ext>
          </c:extLst>
        </c:ser>
        <c:dLbls>
          <c:showLegendKey val="0"/>
          <c:showVal val="0"/>
          <c:showCatName val="0"/>
          <c:showSerName val="0"/>
          <c:showPercent val="0"/>
          <c:showBubbleSize val="0"/>
        </c:dLbls>
        <c:marker val="1"/>
        <c:smooth val="0"/>
        <c:axId val="169766912"/>
        <c:axId val="169768832"/>
      </c:lineChart>
      <c:catAx>
        <c:axId val="169766912"/>
        <c:scaling>
          <c:orientation val="minMax"/>
        </c:scaling>
        <c:delete val="0"/>
        <c:axPos val="b"/>
        <c:numFmt formatCode="General" sourceLinked="0"/>
        <c:majorTickMark val="none"/>
        <c:minorTickMark val="none"/>
        <c:tickLblPos val="nextTo"/>
        <c:crossAx val="169768832"/>
        <c:crosses val="autoZero"/>
        <c:auto val="1"/>
        <c:lblAlgn val="ctr"/>
        <c:lblOffset val="100"/>
        <c:noMultiLvlLbl val="0"/>
      </c:catAx>
      <c:valAx>
        <c:axId val="169768832"/>
        <c:scaling>
          <c:orientation val="minMax"/>
        </c:scaling>
        <c:delete val="0"/>
        <c:axPos val="l"/>
        <c:majorGridlines/>
        <c:title>
          <c:tx>
            <c:rich>
              <a:bodyPr/>
              <a:lstStyle/>
              <a:p>
                <a:pPr>
                  <a:defRPr/>
                </a:pPr>
                <a:r>
                  <a:rPr lang="en-US"/>
                  <a:t>Total Dekatherms Purchased</a:t>
                </a:r>
              </a:p>
            </c:rich>
          </c:tx>
          <c:layout>
            <c:manualLayout>
              <c:xMode val="edge"/>
              <c:yMode val="edge"/>
              <c:x val="1.3293452974410104E-2"/>
              <c:y val="0.12535906969962088"/>
            </c:manualLayout>
          </c:layout>
          <c:overlay val="0"/>
        </c:title>
        <c:numFmt formatCode="_(* #,##0.00_);_(* \(#,##0.00\);_(* &quot;-&quot;??_);_(@_)" sourceLinked="1"/>
        <c:majorTickMark val="none"/>
        <c:minorTickMark val="none"/>
        <c:tickLblPos val="nextTo"/>
        <c:crossAx val="169766912"/>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FY Comparison of Total LP Natural Gas Dekatherms Purchased - Column C</a:t>
            </a:r>
          </a:p>
        </c:rich>
      </c:tx>
      <c:layout/>
      <c:overlay val="0"/>
    </c:title>
    <c:autoTitleDeleted val="0"/>
    <c:plotArea>
      <c:layout>
        <c:manualLayout>
          <c:layoutTarget val="inner"/>
          <c:xMode val="edge"/>
          <c:yMode val="edge"/>
          <c:x val="0.17299728112251173"/>
          <c:y val="0.1901738845144357"/>
          <c:w val="0.80872422103767438"/>
          <c:h val="0.49446449402158066"/>
        </c:manualLayout>
      </c:layout>
      <c:barChart>
        <c:barDir val="col"/>
        <c:grouping val="clustered"/>
        <c:varyColors val="0"/>
        <c:ser>
          <c:idx val="0"/>
          <c:order val="0"/>
          <c:tx>
            <c:v>FY12 Total LP Dth</c:v>
          </c:tx>
          <c:invertIfNegative val="0"/>
          <c:cat>
            <c:strRef>
              <c:f>'CLC DTH Comparison'!$A$96:$A$107</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'CLC DTH Comparison'!$C$158:$C$169</c:f>
              <c:numCache>
                <c:formatCode>General</c:formatCode>
                <c:ptCount val="12"/>
                <c:pt idx="0">
                  <c:v>741</c:v>
                </c:pt>
                <c:pt idx="1">
                  <c:v>863</c:v>
                </c:pt>
                <c:pt idx="2">
                  <c:v>1161</c:v>
                </c:pt>
                <c:pt idx="3">
                  <c:v>1644</c:v>
                </c:pt>
                <c:pt idx="4">
                  <c:v>4573</c:v>
                </c:pt>
                <c:pt idx="5">
                  <c:v>11029</c:v>
                </c:pt>
                <c:pt idx="6">
                  <c:v>10756</c:v>
                </c:pt>
                <c:pt idx="7">
                  <c:v>8942</c:v>
                </c:pt>
                <c:pt idx="8">
                  <c:v>6048</c:v>
                </c:pt>
                <c:pt idx="9">
                  <c:v>2488</c:v>
                </c:pt>
                <c:pt idx="10">
                  <c:v>1438</c:v>
                </c:pt>
                <c:pt idx="11">
                  <c:v>792</c:v>
                </c:pt>
              </c:numCache>
            </c:numRef>
          </c:val>
          <c:extLst>
            <c:ext xmlns:c16="http://schemas.microsoft.com/office/drawing/2014/chart" uri="{C3380CC4-5D6E-409C-BE32-E72D297353CC}">
              <c16:uniqueId val="{00000000-40E7-4C6D-8C64-D2978C8121F9}"/>
            </c:ext>
          </c:extLst>
        </c:ser>
        <c:ser>
          <c:idx val="1"/>
          <c:order val="1"/>
          <c:tx>
            <c:v>FY13 Total LP Dth</c:v>
          </c:tx>
          <c:invertIfNegative val="0"/>
          <c:cat>
            <c:strRef>
              <c:f>'CLC DTH Comparison'!$A$96:$A$107</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'CLC DTH Comparison'!$C$138:$C$149</c:f>
              <c:numCache>
                <c:formatCode>General</c:formatCode>
                <c:ptCount val="12"/>
                <c:pt idx="0">
                  <c:v>796</c:v>
                </c:pt>
                <c:pt idx="1">
                  <c:v>840</c:v>
                </c:pt>
                <c:pt idx="2">
                  <c:v>1104</c:v>
                </c:pt>
                <c:pt idx="3">
                  <c:v>1592</c:v>
                </c:pt>
                <c:pt idx="4">
                  <c:v>5671</c:v>
                </c:pt>
                <c:pt idx="5">
                  <c:v>8600</c:v>
                </c:pt>
                <c:pt idx="6">
                  <c:v>12362</c:v>
                </c:pt>
                <c:pt idx="7">
                  <c:v>9370</c:v>
                </c:pt>
                <c:pt idx="8">
                  <c:v>5834</c:v>
                </c:pt>
                <c:pt idx="9">
                  <c:v>2988</c:v>
                </c:pt>
                <c:pt idx="10">
                  <c:v>1738</c:v>
                </c:pt>
                <c:pt idx="11">
                  <c:v>895</c:v>
                </c:pt>
              </c:numCache>
            </c:numRef>
          </c:val>
          <c:extLst>
            <c:ext xmlns:c16="http://schemas.microsoft.com/office/drawing/2014/chart" uri="{C3380CC4-5D6E-409C-BE32-E72D297353CC}">
              <c16:uniqueId val="{00000001-40E7-4C6D-8C64-D2978C8121F9}"/>
            </c:ext>
          </c:extLst>
        </c:ser>
        <c:ser>
          <c:idx val="2"/>
          <c:order val="2"/>
          <c:tx>
            <c:v>FY14 Total LP Dth</c:v>
          </c:tx>
          <c:invertIfNegative val="0"/>
          <c:cat>
            <c:strRef>
              <c:f>'CLC DTH Comparison'!$A$96:$A$107</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'CLC DTH Comparison'!$C$118:$C$129</c:f>
              <c:numCache>
                <c:formatCode>General</c:formatCode>
                <c:ptCount val="12"/>
                <c:pt idx="0">
                  <c:v>754</c:v>
                </c:pt>
                <c:pt idx="1">
                  <c:v>840</c:v>
                </c:pt>
                <c:pt idx="2">
                  <c:v>1119</c:v>
                </c:pt>
                <c:pt idx="3">
                  <c:v>1926</c:v>
                </c:pt>
                <c:pt idx="4">
                  <c:v>3858</c:v>
                </c:pt>
                <c:pt idx="5">
                  <c:v>9303</c:v>
                </c:pt>
                <c:pt idx="6">
                  <c:v>11561</c:v>
                </c:pt>
                <c:pt idx="7">
                  <c:v>7733</c:v>
                </c:pt>
                <c:pt idx="8">
                  <c:v>4594</c:v>
                </c:pt>
                <c:pt idx="9">
                  <c:v>2777</c:v>
                </c:pt>
                <c:pt idx="10">
                  <c:v>1604</c:v>
                </c:pt>
                <c:pt idx="11">
                  <c:v>923</c:v>
                </c:pt>
              </c:numCache>
            </c:numRef>
          </c:val>
          <c:extLst>
            <c:ext xmlns:c16="http://schemas.microsoft.com/office/drawing/2014/chart" uri="{C3380CC4-5D6E-409C-BE32-E72D297353CC}">
              <c16:uniqueId val="{00000002-40E7-4C6D-8C64-D2978C8121F9}"/>
            </c:ext>
          </c:extLst>
        </c:ser>
        <c:ser>
          <c:idx val="3"/>
          <c:order val="3"/>
          <c:tx>
            <c:v>FY15 Total LP Dth</c:v>
          </c:tx>
          <c:spPr>
            <a:solidFill>
              <a:srgbClr val="FF9966"/>
            </a:solidFill>
          </c:spPr>
          <c:invertIfNegative val="0"/>
          <c:cat>
            <c:strRef>
              <c:f>'CLC DTH Comparison'!$A$96:$A$107</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'CLC DTH Comparison'!$C$96:$C$107</c:f>
              <c:numCache>
                <c:formatCode>General</c:formatCode>
                <c:ptCount val="12"/>
                <c:pt idx="0">
                  <c:v>712</c:v>
                </c:pt>
                <c:pt idx="1">
                  <c:v>963</c:v>
                </c:pt>
                <c:pt idx="2">
                  <c:v>1060</c:v>
                </c:pt>
                <c:pt idx="3">
                  <c:v>1588</c:v>
                </c:pt>
                <c:pt idx="4">
                  <c:v>4226</c:v>
                </c:pt>
                <c:pt idx="5">
                  <c:v>7378</c:v>
                </c:pt>
                <c:pt idx="6">
                  <c:v>11816</c:v>
                </c:pt>
                <c:pt idx="7">
                  <c:v>7561</c:v>
                </c:pt>
                <c:pt idx="8">
                  <c:v>5680</c:v>
                </c:pt>
                <c:pt idx="9">
                  <c:v>2879</c:v>
                </c:pt>
                <c:pt idx="10">
                  <c:v>1695</c:v>
                </c:pt>
              </c:numCache>
            </c:numRef>
          </c:val>
          <c:extLst>
            <c:ext xmlns:c16="http://schemas.microsoft.com/office/drawing/2014/chart" uri="{C3380CC4-5D6E-409C-BE32-E72D297353CC}">
              <c16:uniqueId val="{00000003-40E7-4C6D-8C64-D2978C8121F9}"/>
            </c:ext>
          </c:extLst>
        </c:ser>
        <c:ser>
          <c:idx val="4"/>
          <c:order val="4"/>
          <c:tx>
            <c:v>FY16 Total LP Dth</c:v>
          </c:tx>
          <c:invertIfNegative val="0"/>
          <c:val>
            <c:numRef>
              <c:f>'CLC DTH Comparison'!$C$75:$C$86</c:f>
              <c:numCache>
                <c:formatCode>General</c:formatCode>
                <c:ptCount val="12"/>
                <c:pt idx="0">
                  <c:v>696</c:v>
                </c:pt>
                <c:pt idx="1">
                  <c:v>799</c:v>
                </c:pt>
                <c:pt idx="2">
                  <c:v>1078</c:v>
                </c:pt>
                <c:pt idx="3">
                  <c:v>1453</c:v>
                </c:pt>
                <c:pt idx="4">
                  <c:v>4030</c:v>
                </c:pt>
                <c:pt idx="5">
                  <c:v>8911</c:v>
                </c:pt>
                <c:pt idx="6">
                  <c:v>10451</c:v>
                </c:pt>
                <c:pt idx="7">
                  <c:v>7743</c:v>
                </c:pt>
                <c:pt idx="8">
                  <c:v>3889</c:v>
                </c:pt>
                <c:pt idx="9">
                  <c:v>2405</c:v>
                </c:pt>
                <c:pt idx="10">
                  <c:v>1568</c:v>
                </c:pt>
                <c:pt idx="11">
                  <c:v>850</c:v>
                </c:pt>
              </c:numCache>
            </c:numRef>
          </c:val>
          <c:extLst>
            <c:ext xmlns:c16="http://schemas.microsoft.com/office/drawing/2014/chart" uri="{C3380CC4-5D6E-409C-BE32-E72D297353CC}">
              <c16:uniqueId val="{00000004-40E7-4C6D-8C64-D2978C8121F9}"/>
            </c:ext>
          </c:extLst>
        </c:ser>
        <c:ser>
          <c:idx val="6"/>
          <c:order val="5"/>
          <c:tx>
            <c:v>FY17 Total LP Dth</c:v>
          </c:tx>
          <c:invertIfNegative val="0"/>
          <c:val>
            <c:numRef>
              <c:f>'CLC DTH Comparison'!$C$54:$C$65</c:f>
              <c:numCache>
                <c:formatCode>General</c:formatCode>
                <c:ptCount val="12"/>
                <c:pt idx="0">
                  <c:v>679</c:v>
                </c:pt>
                <c:pt idx="1">
                  <c:v>835</c:v>
                </c:pt>
                <c:pt idx="2">
                  <c:v>1117</c:v>
                </c:pt>
                <c:pt idx="3">
                  <c:v>1591</c:v>
                </c:pt>
                <c:pt idx="4">
                  <c:v>2775</c:v>
                </c:pt>
                <c:pt idx="5">
                  <c:v>8455</c:v>
                </c:pt>
                <c:pt idx="6">
                  <c:v>8631</c:v>
                </c:pt>
                <c:pt idx="7">
                  <c:v>7079</c:v>
                </c:pt>
                <c:pt idx="8">
                  <c:v>3555</c:v>
                </c:pt>
                <c:pt idx="9">
                  <c:v>2705</c:v>
                </c:pt>
                <c:pt idx="10">
                  <c:v>1694</c:v>
                </c:pt>
                <c:pt idx="11">
                  <c:v>908</c:v>
                </c:pt>
              </c:numCache>
            </c:numRef>
          </c:val>
          <c:extLst>
            <c:ext xmlns:c16="http://schemas.microsoft.com/office/drawing/2014/chart" uri="{C3380CC4-5D6E-409C-BE32-E72D297353CC}">
              <c16:uniqueId val="{00000005-40E7-4C6D-8C64-D2978C8121F9}"/>
            </c:ext>
          </c:extLst>
        </c:ser>
        <c:ser>
          <c:idx val="5"/>
          <c:order val="6"/>
          <c:tx>
            <c:v>FY18 Total LP Dth</c:v>
          </c:tx>
          <c:invertIfNegative val="0"/>
          <c:val>
            <c:numRef>
              <c:f>'CLC DTH Comparison'!$C$32:$C$43</c:f>
              <c:numCache>
                <c:formatCode>General</c:formatCode>
                <c:ptCount val="12"/>
                <c:pt idx="0">
                  <c:v>866</c:v>
                </c:pt>
                <c:pt idx="1">
                  <c:v>995</c:v>
                </c:pt>
                <c:pt idx="2">
                  <c:v>1098</c:v>
                </c:pt>
                <c:pt idx="3">
                  <c:v>1592</c:v>
                </c:pt>
                <c:pt idx="4">
                  <c:v>2824</c:v>
                </c:pt>
                <c:pt idx="5">
                  <c:v>6989</c:v>
                </c:pt>
                <c:pt idx="6">
                  <c:v>8761</c:v>
                </c:pt>
                <c:pt idx="7">
                  <c:v>5170</c:v>
                </c:pt>
                <c:pt idx="8">
                  <c:v>4858</c:v>
                </c:pt>
                <c:pt idx="9">
                  <c:v>2095</c:v>
                </c:pt>
                <c:pt idx="10">
                  <c:v>1444</c:v>
                </c:pt>
                <c:pt idx="11">
                  <c:v>875</c:v>
                </c:pt>
              </c:numCache>
            </c:numRef>
          </c:val>
          <c:extLst>
            <c:ext xmlns:c16="http://schemas.microsoft.com/office/drawing/2014/chart" uri="{C3380CC4-5D6E-409C-BE32-E72D297353CC}">
              <c16:uniqueId val="{00000006-40E7-4C6D-8C64-D2978C8121F9}"/>
            </c:ext>
          </c:extLst>
        </c:ser>
        <c:ser>
          <c:idx val="7"/>
          <c:order val="7"/>
          <c:tx>
            <c:v>FY19 Total LP Dth</c:v>
          </c:tx>
          <c:invertIfNegative val="0"/>
          <c:val>
            <c:numRef>
              <c:f>'CLC DTH Comparison'!$C$9:$C$20</c:f>
              <c:numCache>
                <c:formatCode>General</c:formatCode>
                <c:ptCount val="12"/>
                <c:pt idx="0">
                  <c:v>847</c:v>
                </c:pt>
                <c:pt idx="1">
                  <c:v>922</c:v>
                </c:pt>
                <c:pt idx="2">
                  <c:v>1143</c:v>
                </c:pt>
                <c:pt idx="3">
                  <c:v>2164</c:v>
                </c:pt>
                <c:pt idx="4">
                  <c:v>5052</c:v>
                </c:pt>
                <c:pt idx="5">
                  <c:v>4603</c:v>
                </c:pt>
                <c:pt idx="6">
                  <c:v>8938</c:v>
                </c:pt>
                <c:pt idx="7">
                  <c:v>7524</c:v>
                </c:pt>
                <c:pt idx="8">
                  <c:v>5193</c:v>
                </c:pt>
                <c:pt idx="9">
                  <c:v>1979</c:v>
                </c:pt>
                <c:pt idx="10">
                  <c:v>1355</c:v>
                </c:pt>
                <c:pt idx="11">
                  <c:v>874</c:v>
                </c:pt>
              </c:numCache>
            </c:numRef>
          </c:val>
          <c:extLst>
            <c:ext xmlns:c16="http://schemas.microsoft.com/office/drawing/2014/chart" uri="{C3380CC4-5D6E-409C-BE32-E72D297353CC}">
              <c16:uniqueId val="{00000001-78E4-42A1-926C-1D61D9F54317}"/>
            </c:ext>
          </c:extLst>
        </c:ser>
        <c:dLbls>
          <c:showLegendKey val="0"/>
          <c:showVal val="0"/>
          <c:showCatName val="0"/>
          <c:showSerName val="0"/>
          <c:showPercent val="0"/>
          <c:showBubbleSize val="0"/>
        </c:dLbls>
        <c:gapWidth val="150"/>
        <c:axId val="163244288"/>
        <c:axId val="163246080"/>
      </c:barChart>
      <c:catAx>
        <c:axId val="163244288"/>
        <c:scaling>
          <c:orientation val="minMax"/>
        </c:scaling>
        <c:delete val="0"/>
        <c:axPos val="b"/>
        <c:numFmt formatCode="General" sourceLinked="0"/>
        <c:majorTickMark val="none"/>
        <c:minorTickMark val="none"/>
        <c:tickLblPos val="nextTo"/>
        <c:crossAx val="163246080"/>
        <c:crosses val="autoZero"/>
        <c:auto val="1"/>
        <c:lblAlgn val="ctr"/>
        <c:lblOffset val="100"/>
        <c:noMultiLvlLbl val="0"/>
      </c:catAx>
      <c:valAx>
        <c:axId val="163246080"/>
        <c:scaling>
          <c:orientation val="minMax"/>
        </c:scaling>
        <c:delete val="0"/>
        <c:axPos val="l"/>
        <c:majorGridlines/>
        <c:title>
          <c:tx>
            <c:rich>
              <a:bodyPr/>
              <a:lstStyle/>
              <a:p>
                <a:pPr>
                  <a:defRPr/>
                </a:pPr>
                <a:r>
                  <a:rPr lang="en-US"/>
                  <a:t>Total Dekatherms Purchased</a:t>
                </a:r>
              </a:p>
            </c:rich>
          </c:tx>
          <c:layout>
            <c:manualLayout>
              <c:xMode val="edge"/>
              <c:yMode val="edge"/>
              <c:x val="1.3293452974410104E-2"/>
              <c:y val="0.12535906969962088"/>
            </c:manualLayout>
          </c:layout>
          <c:overlay val="0"/>
        </c:title>
        <c:numFmt formatCode="General" sourceLinked="1"/>
        <c:majorTickMark val="none"/>
        <c:minorTickMark val="none"/>
        <c:tickLblPos val="nextTo"/>
        <c:crossAx val="163244288"/>
        <c:crosses val="autoZero"/>
        <c:crossBetween val="between"/>
        <c:majorUnit val="1000"/>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City of Las Cruces Combined High Pressure Gas Bills Compared by Fiscal Year</a:t>
            </a:r>
          </a:p>
        </c:rich>
      </c:tx>
      <c:layout>
        <c:manualLayout>
          <c:xMode val="edge"/>
          <c:yMode val="edge"/>
          <c:x val="0.18155316892033177"/>
          <c:y val="5.0880794790755888E-3"/>
        </c:manualLayout>
      </c:layout>
      <c:overlay val="0"/>
    </c:title>
    <c:autoTitleDeleted val="0"/>
    <c:plotArea>
      <c:layout>
        <c:manualLayout>
          <c:layoutTarget val="inner"/>
          <c:xMode val="edge"/>
          <c:yMode val="edge"/>
          <c:x val="0.12779396675753896"/>
          <c:y val="0.13776884363807682"/>
          <c:w val="0.86010776595083605"/>
          <c:h val="0.52901230655698561"/>
        </c:manualLayout>
      </c:layout>
      <c:barChart>
        <c:barDir val="col"/>
        <c:grouping val="clustered"/>
        <c:varyColors val="0"/>
        <c:ser>
          <c:idx val="2"/>
          <c:order val="0"/>
          <c:tx>
            <c:strRef>
              <c:f>'FY Comparison'!$K$34:$K$35</c:f>
              <c:strCache>
                <c:ptCount val="2"/>
                <c:pt idx="0">
                  <c:v>FY10</c:v>
                </c:pt>
              </c:strCache>
            </c:strRef>
          </c:tx>
          <c:invertIfNegative val="0"/>
          <c:cat>
            <c:strRef>
              <c:f>'FY Comparison'!$A$36:$A$47</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Comparison'!$K$36:$K$47</c:f>
              <c:numCache>
                <c:formatCode>_(* #,##0.00_);_(* \(#,##0.00\);_(* "-"??_);_(@_)</c:formatCode>
                <c:ptCount val="12"/>
                <c:pt idx="0">
                  <c:v>213422.85</c:v>
                </c:pt>
                <c:pt idx="1">
                  <c:v>199628.36</c:v>
                </c:pt>
                <c:pt idx="2">
                  <c:v>168008.35</c:v>
                </c:pt>
                <c:pt idx="3">
                  <c:v>194736.78</c:v>
                </c:pt>
                <c:pt idx="4">
                  <c:v>273653.59999999998</c:v>
                </c:pt>
                <c:pt idx="5">
                  <c:v>294012.03999999998</c:v>
                </c:pt>
                <c:pt idx="6">
                  <c:v>393311.49</c:v>
                </c:pt>
                <c:pt idx="7">
                  <c:v>365339.49</c:v>
                </c:pt>
                <c:pt idx="8">
                  <c:v>283602.15000000002</c:v>
                </c:pt>
                <c:pt idx="9">
                  <c:v>262159.21999999997</c:v>
                </c:pt>
                <c:pt idx="10">
                  <c:v>254720.34</c:v>
                </c:pt>
                <c:pt idx="11">
                  <c:v>224177.43</c:v>
                </c:pt>
              </c:numCache>
            </c:numRef>
          </c:val>
          <c:extLst>
            <c:ext xmlns:c16="http://schemas.microsoft.com/office/drawing/2014/chart" uri="{C3380CC4-5D6E-409C-BE32-E72D297353CC}">
              <c16:uniqueId val="{00000000-8B12-4A3E-92FB-E648B5ED714E}"/>
            </c:ext>
          </c:extLst>
        </c:ser>
        <c:ser>
          <c:idx val="1"/>
          <c:order val="1"/>
          <c:tx>
            <c:strRef>
              <c:f>'FY Comparison'!$J$34:$J$35</c:f>
              <c:strCache>
                <c:ptCount val="2"/>
                <c:pt idx="0">
                  <c:v>FY11</c:v>
                </c:pt>
              </c:strCache>
            </c:strRef>
          </c:tx>
          <c:invertIfNegative val="0"/>
          <c:cat>
            <c:strRef>
              <c:f>'FY Comparison'!$A$36:$A$47</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Comparison'!$J$36:$J$47</c:f>
              <c:numCache>
                <c:formatCode>_(* #,##0.00_);_(* \(#,##0.00\);_(* "-"??_);_(@_)</c:formatCode>
                <c:ptCount val="12"/>
                <c:pt idx="0">
                  <c:v>226441.05000000002</c:v>
                </c:pt>
                <c:pt idx="1">
                  <c:v>298530.90999999997</c:v>
                </c:pt>
                <c:pt idx="2">
                  <c:v>245590.49</c:v>
                </c:pt>
                <c:pt idx="3">
                  <c:v>230809.88</c:v>
                </c:pt>
                <c:pt idx="4">
                  <c:v>270953.63</c:v>
                </c:pt>
                <c:pt idx="5">
                  <c:v>351610.4</c:v>
                </c:pt>
                <c:pt idx="6">
                  <c:v>358038.21</c:v>
                </c:pt>
                <c:pt idx="7">
                  <c:v>323862.58999999997</c:v>
                </c:pt>
                <c:pt idx="8">
                  <c:v>267378.84000000003</c:v>
                </c:pt>
                <c:pt idx="9">
                  <c:v>182396</c:v>
                </c:pt>
                <c:pt idx="10">
                  <c:v>225594.55000000002</c:v>
                </c:pt>
                <c:pt idx="11">
                  <c:v>249666.15000000002</c:v>
                </c:pt>
              </c:numCache>
            </c:numRef>
          </c:val>
          <c:extLst>
            <c:ext xmlns:c16="http://schemas.microsoft.com/office/drawing/2014/chart" uri="{C3380CC4-5D6E-409C-BE32-E72D297353CC}">
              <c16:uniqueId val="{00000001-8B12-4A3E-92FB-E648B5ED714E}"/>
            </c:ext>
          </c:extLst>
        </c:ser>
        <c:ser>
          <c:idx val="0"/>
          <c:order val="2"/>
          <c:tx>
            <c:strRef>
              <c:f>'FY Comparison'!$I$34:$I$35</c:f>
              <c:strCache>
                <c:ptCount val="2"/>
                <c:pt idx="0">
                  <c:v>FY12</c:v>
                </c:pt>
              </c:strCache>
            </c:strRef>
          </c:tx>
          <c:invertIfNegative val="0"/>
          <c:cat>
            <c:strRef>
              <c:f>'FY Comparison'!$A$36:$A$47</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Comparison'!$I$36:$I$47</c:f>
              <c:numCache>
                <c:formatCode>_(* #,##0.00_);_(* \(#,##0.00\);_(* "-"??_);_(@_)</c:formatCode>
                <c:ptCount val="12"/>
                <c:pt idx="0">
                  <c:v>249878.08</c:v>
                </c:pt>
                <c:pt idx="1">
                  <c:v>226341.05</c:v>
                </c:pt>
                <c:pt idx="2">
                  <c:v>226311.79</c:v>
                </c:pt>
                <c:pt idx="3">
                  <c:v>264171.75</c:v>
                </c:pt>
                <c:pt idx="4">
                  <c:v>283155.53999999998</c:v>
                </c:pt>
                <c:pt idx="5">
                  <c:v>324001.39</c:v>
                </c:pt>
                <c:pt idx="6">
                  <c:v>302231.59000000003</c:v>
                </c:pt>
                <c:pt idx="7">
                  <c:v>290673.02</c:v>
                </c:pt>
                <c:pt idx="8">
                  <c:v>244050.07</c:v>
                </c:pt>
                <c:pt idx="9">
                  <c:v>206238.71</c:v>
                </c:pt>
                <c:pt idx="10">
                  <c:v>211476.3</c:v>
                </c:pt>
                <c:pt idx="11">
                  <c:v>204985.85</c:v>
                </c:pt>
              </c:numCache>
            </c:numRef>
          </c:val>
          <c:extLst>
            <c:ext xmlns:c16="http://schemas.microsoft.com/office/drawing/2014/chart" uri="{C3380CC4-5D6E-409C-BE32-E72D297353CC}">
              <c16:uniqueId val="{00000002-8B12-4A3E-92FB-E648B5ED714E}"/>
            </c:ext>
          </c:extLst>
        </c:ser>
        <c:ser>
          <c:idx val="3"/>
          <c:order val="3"/>
          <c:tx>
            <c:strRef>
              <c:f>'FY Comparison'!$H$34</c:f>
              <c:strCache>
                <c:ptCount val="1"/>
                <c:pt idx="0">
                  <c:v>FY13</c:v>
                </c:pt>
              </c:strCache>
            </c:strRef>
          </c:tx>
          <c:invertIfNegative val="0"/>
          <c:cat>
            <c:strRef>
              <c:f>'FY Comparison'!$A$36:$A$47</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Comparison'!$H$36:$H$47</c:f>
              <c:numCache>
                <c:formatCode>_(* #,##0.00_);_(* \(#,##0.00\);_(* "-"??_);_(@_)</c:formatCode>
                <c:ptCount val="12"/>
                <c:pt idx="0">
                  <c:v>207616.47</c:v>
                </c:pt>
                <c:pt idx="1">
                  <c:v>226875.55000000002</c:v>
                </c:pt>
                <c:pt idx="2">
                  <c:v>148877.27000000002</c:v>
                </c:pt>
                <c:pt idx="3">
                  <c:v>190550.08000000002</c:v>
                </c:pt>
                <c:pt idx="4">
                  <c:v>227169.35</c:v>
                </c:pt>
                <c:pt idx="5">
                  <c:v>218840.59</c:v>
                </c:pt>
                <c:pt idx="6">
                  <c:v>236085.03</c:v>
                </c:pt>
                <c:pt idx="7">
                  <c:v>228430.85</c:v>
                </c:pt>
                <c:pt idx="8">
                  <c:v>193823.1</c:v>
                </c:pt>
                <c:pt idx="9">
                  <c:v>203931.91</c:v>
                </c:pt>
                <c:pt idx="10">
                  <c:v>204957.99</c:v>
                </c:pt>
                <c:pt idx="11">
                  <c:v>214960.21</c:v>
                </c:pt>
              </c:numCache>
            </c:numRef>
          </c:val>
          <c:extLst>
            <c:ext xmlns:c16="http://schemas.microsoft.com/office/drawing/2014/chart" uri="{C3380CC4-5D6E-409C-BE32-E72D297353CC}">
              <c16:uniqueId val="{00000003-8B12-4A3E-92FB-E648B5ED714E}"/>
            </c:ext>
          </c:extLst>
        </c:ser>
        <c:ser>
          <c:idx val="4"/>
          <c:order val="4"/>
          <c:tx>
            <c:v>FY14</c:v>
          </c:tx>
          <c:invertIfNegative val="0"/>
          <c:cat>
            <c:strRef>
              <c:f>'FY Comparison'!$A$36:$A$47</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Comparison'!$G$36:$G$47</c:f>
              <c:numCache>
                <c:formatCode>_(* #,##0.00_);_(* \(#,##0.00\);_(* "-"??_);_(@_)</c:formatCode>
                <c:ptCount val="12"/>
                <c:pt idx="0">
                  <c:v>157865.85999999999</c:v>
                </c:pt>
                <c:pt idx="1">
                  <c:v>184914.88</c:v>
                </c:pt>
                <c:pt idx="2">
                  <c:v>181517.77</c:v>
                </c:pt>
                <c:pt idx="3">
                  <c:v>183200.05</c:v>
                </c:pt>
                <c:pt idx="4">
                  <c:v>198274.57</c:v>
                </c:pt>
                <c:pt idx="5">
                  <c:v>237321.11</c:v>
                </c:pt>
                <c:pt idx="6">
                  <c:v>337364.89</c:v>
                </c:pt>
                <c:pt idx="7">
                  <c:v>295816.88</c:v>
                </c:pt>
                <c:pt idx="8">
                  <c:v>298235.21000000002</c:v>
                </c:pt>
                <c:pt idx="9">
                  <c:v>183210.93</c:v>
                </c:pt>
                <c:pt idx="10">
                  <c:v>255296.65</c:v>
                </c:pt>
                <c:pt idx="11">
                  <c:v>238853.12</c:v>
                </c:pt>
              </c:numCache>
            </c:numRef>
          </c:val>
          <c:extLst>
            <c:ext xmlns:c16="http://schemas.microsoft.com/office/drawing/2014/chart" uri="{C3380CC4-5D6E-409C-BE32-E72D297353CC}">
              <c16:uniqueId val="{00000004-8B12-4A3E-92FB-E648B5ED714E}"/>
            </c:ext>
          </c:extLst>
        </c:ser>
        <c:ser>
          <c:idx val="5"/>
          <c:order val="5"/>
          <c:tx>
            <c:v>FY15</c:v>
          </c:tx>
          <c:invertIfNegative val="0"/>
          <c:cat>
            <c:strRef>
              <c:f>'FY Comparison'!$A$36:$A$47</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Comparison'!$F$36:$F$47</c:f>
              <c:numCache>
                <c:formatCode>_(* #,##0.00_);_(* \(#,##0.00\);_(* "-"??_);_(@_)</c:formatCode>
                <c:ptCount val="12"/>
                <c:pt idx="0">
                  <c:v>229531.25</c:v>
                </c:pt>
                <c:pt idx="1">
                  <c:v>230219.66</c:v>
                </c:pt>
                <c:pt idx="2">
                  <c:v>211271.36</c:v>
                </c:pt>
                <c:pt idx="3">
                  <c:v>225990.86</c:v>
                </c:pt>
                <c:pt idx="4">
                  <c:v>214746.56999999998</c:v>
                </c:pt>
                <c:pt idx="5">
                  <c:v>278098.91000000003</c:v>
                </c:pt>
                <c:pt idx="6">
                  <c:v>243376.89</c:v>
                </c:pt>
                <c:pt idx="7">
                  <c:v>188303.8</c:v>
                </c:pt>
                <c:pt idx="8">
                  <c:v>164007.82999999999</c:v>
                </c:pt>
                <c:pt idx="9">
                  <c:v>163644.53</c:v>
                </c:pt>
                <c:pt idx="10">
                  <c:v>152024.74</c:v>
                </c:pt>
                <c:pt idx="11">
                  <c:v>166091.59</c:v>
                </c:pt>
              </c:numCache>
            </c:numRef>
          </c:val>
          <c:extLst>
            <c:ext xmlns:c16="http://schemas.microsoft.com/office/drawing/2014/chart" uri="{C3380CC4-5D6E-409C-BE32-E72D297353CC}">
              <c16:uniqueId val="{00000005-8B12-4A3E-92FB-E648B5ED714E}"/>
            </c:ext>
          </c:extLst>
        </c:ser>
        <c:ser>
          <c:idx val="6"/>
          <c:order val="6"/>
          <c:tx>
            <c:v>FY16</c:v>
          </c:tx>
          <c:invertIfNegative val="0"/>
          <c:val>
            <c:numRef>
              <c:f>'FY Comparison'!$E$36:$E$47</c:f>
              <c:numCache>
                <c:formatCode>_(* #,##0.00_);_(* \(#,##0.00\);_(* "-"??_);_(@_)</c:formatCode>
                <c:ptCount val="12"/>
                <c:pt idx="0">
                  <c:v>154675.18</c:v>
                </c:pt>
                <c:pt idx="1">
                  <c:v>168713.15999999997</c:v>
                </c:pt>
                <c:pt idx="2">
                  <c:v>143746.88</c:v>
                </c:pt>
                <c:pt idx="3">
                  <c:v>157733.59</c:v>
                </c:pt>
                <c:pt idx="4">
                  <c:v>142753.38</c:v>
                </c:pt>
                <c:pt idx="5">
                  <c:v>197334.07</c:v>
                </c:pt>
                <c:pt idx="6">
                  <c:v>203507.69</c:v>
                </c:pt>
                <c:pt idx="7">
                  <c:v>166691.89000000001</c:v>
                </c:pt>
                <c:pt idx="8">
                  <c:v>120339.75</c:v>
                </c:pt>
                <c:pt idx="9">
                  <c:v>120135.2</c:v>
                </c:pt>
                <c:pt idx="10">
                  <c:v>144887.56</c:v>
                </c:pt>
                <c:pt idx="11">
                  <c:v>151523.16999999998</c:v>
                </c:pt>
              </c:numCache>
            </c:numRef>
          </c:val>
          <c:extLst>
            <c:ext xmlns:c16="http://schemas.microsoft.com/office/drawing/2014/chart" uri="{C3380CC4-5D6E-409C-BE32-E72D297353CC}">
              <c16:uniqueId val="{00000006-8B12-4A3E-92FB-E648B5ED714E}"/>
            </c:ext>
          </c:extLst>
        </c:ser>
        <c:ser>
          <c:idx val="8"/>
          <c:order val="7"/>
          <c:tx>
            <c:v>FY17</c:v>
          </c:tx>
          <c:invertIfNegative val="0"/>
          <c:val>
            <c:numRef>
              <c:f>'FY Comparison'!$D$36:$D$47</c:f>
              <c:numCache>
                <c:formatCode>_(* #,##0.00_);_(* \(#,##0.00\);_(* "-"??_);_(@_)</c:formatCode>
                <c:ptCount val="12"/>
                <c:pt idx="0">
                  <c:v>169944.32000000001</c:v>
                </c:pt>
                <c:pt idx="1">
                  <c:v>183859.27</c:v>
                </c:pt>
                <c:pt idx="2">
                  <c:v>198983.98</c:v>
                </c:pt>
                <c:pt idx="3">
                  <c:v>205517.19</c:v>
                </c:pt>
                <c:pt idx="4">
                  <c:v>168026.99</c:v>
                </c:pt>
                <c:pt idx="5">
                  <c:v>255106.54</c:v>
                </c:pt>
                <c:pt idx="6">
                  <c:v>187575.52</c:v>
                </c:pt>
                <c:pt idx="7">
                  <c:v>241261.14</c:v>
                </c:pt>
                <c:pt idx="8">
                  <c:v>185968.46</c:v>
                </c:pt>
                <c:pt idx="9">
                  <c:v>156227.56</c:v>
                </c:pt>
                <c:pt idx="10">
                  <c:v>150699.9</c:v>
                </c:pt>
                <c:pt idx="11">
                  <c:v>178706.4</c:v>
                </c:pt>
              </c:numCache>
            </c:numRef>
          </c:val>
          <c:extLst>
            <c:ext xmlns:c16="http://schemas.microsoft.com/office/drawing/2014/chart" uri="{C3380CC4-5D6E-409C-BE32-E72D297353CC}">
              <c16:uniqueId val="{00000007-8B12-4A3E-92FB-E648B5ED714E}"/>
            </c:ext>
          </c:extLst>
        </c:ser>
        <c:ser>
          <c:idx val="7"/>
          <c:order val="8"/>
          <c:tx>
            <c:v>FY18</c:v>
          </c:tx>
          <c:invertIfNegative val="0"/>
          <c:val>
            <c:numRef>
              <c:f>'FY Comparison'!$C$36:$C$47</c:f>
              <c:numCache>
                <c:formatCode>_(* #,##0.00_);_(* \(#,##0.00\);_(* "-"??_);_(@_)</c:formatCode>
                <c:ptCount val="12"/>
                <c:pt idx="0">
                  <c:v>169749.38999999998</c:v>
                </c:pt>
                <c:pt idx="1">
                  <c:v>163989.28000000003</c:v>
                </c:pt>
                <c:pt idx="2">
                  <c:v>166220.29999999999</c:v>
                </c:pt>
                <c:pt idx="3">
                  <c:v>165455.56</c:v>
                </c:pt>
                <c:pt idx="4">
                  <c:v>158439.94</c:v>
                </c:pt>
                <c:pt idx="5">
                  <c:v>181619.84</c:v>
                </c:pt>
                <c:pt idx="6">
                  <c:v>226806.87</c:v>
                </c:pt>
                <c:pt idx="7">
                  <c:v>206405.59999999998</c:v>
                </c:pt>
                <c:pt idx="8">
                  <c:v>142763.74</c:v>
                </c:pt>
                <c:pt idx="9">
                  <c:v>114445.83</c:v>
                </c:pt>
                <c:pt idx="10">
                  <c:v>63965.09</c:v>
                </c:pt>
                <c:pt idx="11">
                  <c:v>105931.72</c:v>
                </c:pt>
              </c:numCache>
            </c:numRef>
          </c:val>
          <c:extLst>
            <c:ext xmlns:c16="http://schemas.microsoft.com/office/drawing/2014/chart" uri="{C3380CC4-5D6E-409C-BE32-E72D297353CC}">
              <c16:uniqueId val="{00000008-8B12-4A3E-92FB-E648B5ED714E}"/>
            </c:ext>
          </c:extLst>
        </c:ser>
        <c:ser>
          <c:idx val="9"/>
          <c:order val="9"/>
          <c:tx>
            <c:v>FY19</c:v>
          </c:tx>
          <c:invertIfNegative val="0"/>
          <c:val>
            <c:numRef>
              <c:f>'FY Comparison'!$B$36:$B$47</c:f>
              <c:numCache>
                <c:formatCode>_(* #,##0.00_);_(* \(#,##0.00\);_(* "-"??_);_(@_)</c:formatCode>
                <c:ptCount val="12"/>
                <c:pt idx="0">
                  <c:v>135611.42000000001</c:v>
                </c:pt>
                <c:pt idx="1">
                  <c:v>173137.03</c:v>
                </c:pt>
                <c:pt idx="2">
                  <c:v>163383.56</c:v>
                </c:pt>
                <c:pt idx="3">
                  <c:v>126720.64</c:v>
                </c:pt>
                <c:pt idx="4">
                  <c:v>186706.67999999996</c:v>
                </c:pt>
                <c:pt idx="5">
                  <c:v>189882.19999999998</c:v>
                </c:pt>
                <c:pt idx="6">
                  <c:v>256295.6</c:v>
                </c:pt>
                <c:pt idx="7">
                  <c:v>211346.15000000002</c:v>
                </c:pt>
                <c:pt idx="8">
                  <c:v>151129.07</c:v>
                </c:pt>
                <c:pt idx="9">
                  <c:v>140851.69999999998</c:v>
                </c:pt>
                <c:pt idx="10">
                  <c:v>111222.33</c:v>
                </c:pt>
                <c:pt idx="11">
                  <c:v>131388.35</c:v>
                </c:pt>
              </c:numCache>
            </c:numRef>
          </c:val>
          <c:extLst>
            <c:ext xmlns:c16="http://schemas.microsoft.com/office/drawing/2014/chart" uri="{C3380CC4-5D6E-409C-BE32-E72D297353CC}">
              <c16:uniqueId val="{00000000-9B6E-45EF-A912-347987130010}"/>
            </c:ext>
          </c:extLst>
        </c:ser>
        <c:dLbls>
          <c:showLegendKey val="0"/>
          <c:showVal val="0"/>
          <c:showCatName val="0"/>
          <c:showSerName val="0"/>
          <c:showPercent val="0"/>
          <c:showBubbleSize val="0"/>
        </c:dLbls>
        <c:gapWidth val="150"/>
        <c:axId val="166290560"/>
        <c:axId val="166292096"/>
      </c:barChart>
      <c:catAx>
        <c:axId val="166290560"/>
        <c:scaling>
          <c:orientation val="minMax"/>
        </c:scaling>
        <c:delete val="0"/>
        <c:axPos val="b"/>
        <c:numFmt formatCode="General" sourceLinked="0"/>
        <c:majorTickMark val="none"/>
        <c:minorTickMark val="none"/>
        <c:tickLblPos val="nextTo"/>
        <c:crossAx val="166292096"/>
        <c:crosses val="autoZero"/>
        <c:auto val="1"/>
        <c:lblAlgn val="ctr"/>
        <c:lblOffset val="100"/>
        <c:noMultiLvlLbl val="0"/>
      </c:catAx>
      <c:valAx>
        <c:axId val="166292096"/>
        <c:scaling>
          <c:orientation val="minMax"/>
          <c:max val="500000"/>
          <c:min val="0"/>
        </c:scaling>
        <c:delete val="0"/>
        <c:axPos val="l"/>
        <c:majorGridlines/>
        <c:title>
          <c:tx>
            <c:rich>
              <a:bodyPr/>
              <a:lstStyle/>
              <a:p>
                <a:pPr>
                  <a:defRPr/>
                </a:pPr>
                <a:r>
                  <a:rPr lang="en-US"/>
                  <a:t>Bill Amount</a:t>
                </a:r>
              </a:p>
            </c:rich>
          </c:tx>
          <c:layout/>
          <c:overlay val="0"/>
        </c:title>
        <c:numFmt formatCode="_(* #,##0.00_);_(* \(#,##0.00\);_(* &quot;-&quot;??_);_(@_)" sourceLinked="1"/>
        <c:majorTickMark val="none"/>
        <c:minorTickMark val="none"/>
        <c:tickLblPos val="nextTo"/>
        <c:crossAx val="166290560"/>
        <c:crosses val="autoZero"/>
        <c:crossBetween val="between"/>
        <c:majorUnit val="50000"/>
      </c:valAx>
      <c:dTable>
        <c:showHorzBorder val="1"/>
        <c:showVertBorder val="1"/>
        <c:showOutline val="1"/>
        <c:showKeys val="1"/>
      </c:dTable>
    </c:plotArea>
    <c:plotVisOnly val="1"/>
    <c:dispBlanksAs val="gap"/>
    <c:showDLblsOverMax val="0"/>
  </c:chart>
  <c:printSettings>
    <c:headerFooter/>
    <c:pageMargins b="0.75000000000000921" l="0.70000000000000062" r="0.70000000000000062" t="0.75000000000000921"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City of Las Cruces Low Pressure Bills Compared by Fiscal Year</a:t>
            </a:r>
          </a:p>
        </c:rich>
      </c:tx>
      <c:layout/>
      <c:overlay val="0"/>
    </c:title>
    <c:autoTitleDeleted val="0"/>
    <c:plotArea>
      <c:layout/>
      <c:barChart>
        <c:barDir val="col"/>
        <c:grouping val="clustered"/>
        <c:varyColors val="0"/>
        <c:ser>
          <c:idx val="2"/>
          <c:order val="0"/>
          <c:tx>
            <c:strRef>
              <c:f>'FY Comparison'!$K$60:$K$61</c:f>
              <c:strCache>
                <c:ptCount val="2"/>
                <c:pt idx="0">
                  <c:v>FY10</c:v>
                </c:pt>
              </c:strCache>
            </c:strRef>
          </c:tx>
          <c:invertIfNegative val="0"/>
          <c:cat>
            <c:strRef>
              <c:f>'FY Comparison'!$A$62:$A$73</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Comparison'!$K$62:$K$73</c:f>
              <c:numCache>
                <c:formatCode>_(* #,##0.00_);_(* \(#,##0.00\);_(* "-"??_);_(@_)</c:formatCode>
                <c:ptCount val="12"/>
                <c:pt idx="0">
                  <c:v>4650.8500000000004</c:v>
                </c:pt>
                <c:pt idx="1">
                  <c:v>5511.75</c:v>
                </c:pt>
                <c:pt idx="2">
                  <c:v>5826.12</c:v>
                </c:pt>
                <c:pt idx="3">
                  <c:v>8459.32</c:v>
                </c:pt>
                <c:pt idx="4">
                  <c:v>34176.400000000001</c:v>
                </c:pt>
                <c:pt idx="5">
                  <c:v>60322.11</c:v>
                </c:pt>
                <c:pt idx="6">
                  <c:v>88233.52</c:v>
                </c:pt>
                <c:pt idx="7">
                  <c:v>75978.28</c:v>
                </c:pt>
                <c:pt idx="8">
                  <c:v>43560.08</c:v>
                </c:pt>
                <c:pt idx="9">
                  <c:v>18835.05</c:v>
                </c:pt>
                <c:pt idx="10">
                  <c:v>9527.9500000000007</c:v>
                </c:pt>
                <c:pt idx="11">
                  <c:v>6047.16</c:v>
                </c:pt>
              </c:numCache>
            </c:numRef>
          </c:val>
          <c:extLst>
            <c:ext xmlns:c16="http://schemas.microsoft.com/office/drawing/2014/chart" uri="{C3380CC4-5D6E-409C-BE32-E72D297353CC}">
              <c16:uniqueId val="{00000000-0BF9-44AF-85A8-8CF89E18B1A8}"/>
            </c:ext>
          </c:extLst>
        </c:ser>
        <c:ser>
          <c:idx val="0"/>
          <c:order val="1"/>
          <c:tx>
            <c:strRef>
              <c:f>'FY Comparison'!$J$60:$J$61</c:f>
              <c:strCache>
                <c:ptCount val="2"/>
                <c:pt idx="0">
                  <c:v>FY11</c:v>
                </c:pt>
              </c:strCache>
            </c:strRef>
          </c:tx>
          <c:invertIfNegative val="0"/>
          <c:cat>
            <c:strRef>
              <c:f>'FY Comparison'!$A$62:$A$73</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Comparison'!$J$62:$J$73</c:f>
              <c:numCache>
                <c:formatCode>_(* #,##0.00_);_(* \(#,##0.00\);_(* "-"??_);_(@_)</c:formatCode>
                <c:ptCount val="12"/>
                <c:pt idx="0">
                  <c:v>5442.93</c:v>
                </c:pt>
                <c:pt idx="1">
                  <c:v>6010.81</c:v>
                </c:pt>
                <c:pt idx="2">
                  <c:v>6926.6</c:v>
                </c:pt>
                <c:pt idx="3">
                  <c:v>8248.09</c:v>
                </c:pt>
                <c:pt idx="4">
                  <c:v>24744.880000000001</c:v>
                </c:pt>
                <c:pt idx="5">
                  <c:v>52840.22</c:v>
                </c:pt>
                <c:pt idx="6">
                  <c:v>64527.92</c:v>
                </c:pt>
                <c:pt idx="7">
                  <c:v>71761.69</c:v>
                </c:pt>
                <c:pt idx="8">
                  <c:v>27413.64</c:v>
                </c:pt>
                <c:pt idx="9">
                  <c:v>11070.46</c:v>
                </c:pt>
                <c:pt idx="10">
                  <c:v>9240.92</c:v>
                </c:pt>
                <c:pt idx="11">
                  <c:v>6435.07</c:v>
                </c:pt>
              </c:numCache>
            </c:numRef>
          </c:val>
          <c:extLst>
            <c:ext xmlns:c16="http://schemas.microsoft.com/office/drawing/2014/chart" uri="{C3380CC4-5D6E-409C-BE32-E72D297353CC}">
              <c16:uniqueId val="{00000001-0BF9-44AF-85A8-8CF89E18B1A8}"/>
            </c:ext>
          </c:extLst>
        </c:ser>
        <c:ser>
          <c:idx val="1"/>
          <c:order val="2"/>
          <c:tx>
            <c:strRef>
              <c:f>'FY Comparison'!$I$60:$I$61</c:f>
              <c:strCache>
                <c:ptCount val="2"/>
                <c:pt idx="0">
                  <c:v>FY12</c:v>
                </c:pt>
              </c:strCache>
            </c:strRef>
          </c:tx>
          <c:invertIfNegative val="0"/>
          <c:cat>
            <c:strRef>
              <c:f>'FY Comparison'!$A$62:$A$73</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Comparison'!$I$62:$I$73</c:f>
              <c:numCache>
                <c:formatCode>_(* #,##0.00_);_(* \(#,##0.00\);_(* "-"??_);_(@_)</c:formatCode>
                <c:ptCount val="12"/>
                <c:pt idx="0">
                  <c:v>5817.85</c:v>
                </c:pt>
                <c:pt idx="1">
                  <c:v>5895.72</c:v>
                </c:pt>
                <c:pt idx="2">
                  <c:v>7277.08</c:v>
                </c:pt>
                <c:pt idx="3">
                  <c:v>10504.86</c:v>
                </c:pt>
                <c:pt idx="4">
                  <c:v>27488.38</c:v>
                </c:pt>
                <c:pt idx="5">
                  <c:v>63751.35</c:v>
                </c:pt>
                <c:pt idx="6">
                  <c:v>63305.96</c:v>
                </c:pt>
                <c:pt idx="7">
                  <c:v>52148.66</c:v>
                </c:pt>
                <c:pt idx="8">
                  <c:v>35388.959999999999</c:v>
                </c:pt>
                <c:pt idx="9">
                  <c:v>14942.49</c:v>
                </c:pt>
                <c:pt idx="10">
                  <c:v>8970.92</c:v>
                </c:pt>
                <c:pt idx="11">
                  <c:v>5533.45</c:v>
                </c:pt>
              </c:numCache>
            </c:numRef>
          </c:val>
          <c:extLst>
            <c:ext xmlns:c16="http://schemas.microsoft.com/office/drawing/2014/chart" uri="{C3380CC4-5D6E-409C-BE32-E72D297353CC}">
              <c16:uniqueId val="{00000002-0BF9-44AF-85A8-8CF89E18B1A8}"/>
            </c:ext>
          </c:extLst>
        </c:ser>
        <c:ser>
          <c:idx val="3"/>
          <c:order val="3"/>
          <c:tx>
            <c:strRef>
              <c:f>'FY Comparison'!$H$60</c:f>
              <c:strCache>
                <c:ptCount val="1"/>
                <c:pt idx="0">
                  <c:v>FY13</c:v>
                </c:pt>
              </c:strCache>
            </c:strRef>
          </c:tx>
          <c:invertIfNegative val="0"/>
          <c:cat>
            <c:strRef>
              <c:f>'FY Comparison'!$A$62:$A$73</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Comparison'!$H$62:$H$73</c:f>
              <c:numCache>
                <c:formatCode>_(* #,##0.00_);_(* \(#,##0.00\);_(* "-"??_);_(@_)</c:formatCode>
                <c:ptCount val="12"/>
                <c:pt idx="0">
                  <c:v>5548.37</c:v>
                </c:pt>
                <c:pt idx="1">
                  <c:v>5855.35</c:v>
                </c:pt>
                <c:pt idx="2">
                  <c:v>5531.1</c:v>
                </c:pt>
                <c:pt idx="3">
                  <c:v>8127.08</c:v>
                </c:pt>
                <c:pt idx="4">
                  <c:v>29960.7</c:v>
                </c:pt>
                <c:pt idx="5">
                  <c:v>47227</c:v>
                </c:pt>
                <c:pt idx="6">
                  <c:v>62736.3</c:v>
                </c:pt>
                <c:pt idx="7">
                  <c:v>47764.26</c:v>
                </c:pt>
                <c:pt idx="8">
                  <c:v>30070.07</c:v>
                </c:pt>
                <c:pt idx="9">
                  <c:v>17480.22</c:v>
                </c:pt>
                <c:pt idx="10">
                  <c:v>10824.29</c:v>
                </c:pt>
                <c:pt idx="11">
                  <c:v>6017.99</c:v>
                </c:pt>
              </c:numCache>
            </c:numRef>
          </c:val>
          <c:extLst>
            <c:ext xmlns:c16="http://schemas.microsoft.com/office/drawing/2014/chart" uri="{C3380CC4-5D6E-409C-BE32-E72D297353CC}">
              <c16:uniqueId val="{00000003-0BF9-44AF-85A8-8CF89E18B1A8}"/>
            </c:ext>
          </c:extLst>
        </c:ser>
        <c:ser>
          <c:idx val="4"/>
          <c:order val="4"/>
          <c:tx>
            <c:v>FY14</c:v>
          </c:tx>
          <c:invertIfNegative val="0"/>
          <c:cat>
            <c:strRef>
              <c:f>'FY Comparison'!$A$62:$A$73</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Comparison'!$G$62:$G$73</c:f>
              <c:numCache>
                <c:formatCode>_(* #,##0.00_);_(* \(#,##0.00\);_(* "-"??_);_(@_)</c:formatCode>
                <c:ptCount val="12"/>
                <c:pt idx="0">
                  <c:v>4869.8500000000004</c:v>
                </c:pt>
                <c:pt idx="1">
                  <c:v>5237.74</c:v>
                </c:pt>
                <c:pt idx="2">
                  <c:v>6616.17</c:v>
                </c:pt>
                <c:pt idx="3">
                  <c:v>10695.11</c:v>
                </c:pt>
                <c:pt idx="4">
                  <c:v>21147.82</c:v>
                </c:pt>
                <c:pt idx="5">
                  <c:v>50817.55</c:v>
                </c:pt>
                <c:pt idx="6">
                  <c:v>72262.009999999995</c:v>
                </c:pt>
                <c:pt idx="7">
                  <c:v>53008.54</c:v>
                </c:pt>
                <c:pt idx="8">
                  <c:v>33197.03</c:v>
                </c:pt>
                <c:pt idx="9">
                  <c:v>17907.27</c:v>
                </c:pt>
                <c:pt idx="10">
                  <c:v>11109.49</c:v>
                </c:pt>
                <c:pt idx="11">
                  <c:v>6517.76</c:v>
                </c:pt>
              </c:numCache>
            </c:numRef>
          </c:val>
          <c:extLst>
            <c:ext xmlns:c16="http://schemas.microsoft.com/office/drawing/2014/chart" uri="{C3380CC4-5D6E-409C-BE32-E72D297353CC}">
              <c16:uniqueId val="{00000004-0BF9-44AF-85A8-8CF89E18B1A8}"/>
            </c:ext>
          </c:extLst>
        </c:ser>
        <c:ser>
          <c:idx val="5"/>
          <c:order val="5"/>
          <c:tx>
            <c:v>FY15</c:v>
          </c:tx>
          <c:invertIfNegative val="0"/>
          <c:cat>
            <c:strRef>
              <c:f>'FY Comparison'!$A$62:$A$73</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Comparison'!$F$62:$F$73</c:f>
              <c:numCache>
                <c:formatCode>_(* #,##0.00_);_(* \(#,##0.00\);_(* "-"??_);_(@_)</c:formatCode>
                <c:ptCount val="12"/>
                <c:pt idx="0">
                  <c:v>5340.32</c:v>
                </c:pt>
                <c:pt idx="1">
                  <c:v>6361.56</c:v>
                </c:pt>
                <c:pt idx="2">
                  <c:v>7097.96</c:v>
                </c:pt>
                <c:pt idx="3">
                  <c:v>9912.6200000000008</c:v>
                </c:pt>
                <c:pt idx="4">
                  <c:v>23462.46</c:v>
                </c:pt>
                <c:pt idx="5">
                  <c:v>47024.87</c:v>
                </c:pt>
                <c:pt idx="6">
                  <c:v>58516.85</c:v>
                </c:pt>
                <c:pt idx="7">
                  <c:v>34735.589999999997</c:v>
                </c:pt>
                <c:pt idx="8">
                  <c:v>26252.6</c:v>
                </c:pt>
                <c:pt idx="9">
                  <c:v>12923.65</c:v>
                </c:pt>
                <c:pt idx="10">
                  <c:v>7791.71</c:v>
                </c:pt>
                <c:pt idx="11">
                  <c:v>5354.04</c:v>
                </c:pt>
              </c:numCache>
            </c:numRef>
          </c:val>
          <c:extLst>
            <c:ext xmlns:c16="http://schemas.microsoft.com/office/drawing/2014/chart" uri="{C3380CC4-5D6E-409C-BE32-E72D297353CC}">
              <c16:uniqueId val="{00000005-0BF9-44AF-85A8-8CF89E18B1A8}"/>
            </c:ext>
          </c:extLst>
        </c:ser>
        <c:ser>
          <c:idx val="6"/>
          <c:order val="6"/>
          <c:tx>
            <c:v>FY16</c:v>
          </c:tx>
          <c:invertIfNegative val="0"/>
          <c:val>
            <c:numRef>
              <c:f>'FY Comparison'!$E$62:$E$73</c:f>
              <c:numCache>
                <c:formatCode>_(* #,##0.00_);_(* \(#,##0.00\);_(* "-"??_);_(@_)</c:formatCode>
                <c:ptCount val="12"/>
                <c:pt idx="0">
                  <c:v>4000.64</c:v>
                </c:pt>
                <c:pt idx="1">
                  <c:v>4530.03</c:v>
                </c:pt>
                <c:pt idx="2">
                  <c:v>5579.67</c:v>
                </c:pt>
                <c:pt idx="3">
                  <c:v>7047.78</c:v>
                </c:pt>
                <c:pt idx="4">
                  <c:v>16183.27</c:v>
                </c:pt>
                <c:pt idx="5">
                  <c:v>36490.01</c:v>
                </c:pt>
                <c:pt idx="6">
                  <c:v>41164.04</c:v>
                </c:pt>
                <c:pt idx="7">
                  <c:v>30563.11</c:v>
                </c:pt>
                <c:pt idx="8">
                  <c:v>13715.51</c:v>
                </c:pt>
                <c:pt idx="9">
                  <c:v>8816.33</c:v>
                </c:pt>
                <c:pt idx="10">
                  <c:v>6511.65</c:v>
                </c:pt>
                <c:pt idx="11">
                  <c:v>3940.18</c:v>
                </c:pt>
              </c:numCache>
            </c:numRef>
          </c:val>
          <c:extLst>
            <c:ext xmlns:c16="http://schemas.microsoft.com/office/drawing/2014/chart" uri="{C3380CC4-5D6E-409C-BE32-E72D297353CC}">
              <c16:uniqueId val="{00000006-0BF9-44AF-85A8-8CF89E18B1A8}"/>
            </c:ext>
          </c:extLst>
        </c:ser>
        <c:ser>
          <c:idx val="8"/>
          <c:order val="7"/>
          <c:tx>
            <c:v>FY17</c:v>
          </c:tx>
          <c:invertIfNegative val="0"/>
          <c:val>
            <c:numRef>
              <c:f>'FY Comparison'!$D$62:$D$73</c:f>
              <c:numCache>
                <c:formatCode>_(* #,##0.00_);_(* \(#,##0.00\);_(* "-"??_);_(@_)</c:formatCode>
                <c:ptCount val="12"/>
                <c:pt idx="0">
                  <c:v>3855.76</c:v>
                </c:pt>
                <c:pt idx="1">
                  <c:v>4523.18</c:v>
                </c:pt>
                <c:pt idx="2">
                  <c:v>5824.1</c:v>
                </c:pt>
                <c:pt idx="3">
                  <c:v>8123.17</c:v>
                </c:pt>
                <c:pt idx="4">
                  <c:v>12965.13</c:v>
                </c:pt>
                <c:pt idx="5">
                  <c:v>43183.02</c:v>
                </c:pt>
                <c:pt idx="6">
                  <c:v>46939.81</c:v>
                </c:pt>
                <c:pt idx="7">
                  <c:v>35991.040000000001</c:v>
                </c:pt>
                <c:pt idx="8">
                  <c:v>15535.5</c:v>
                </c:pt>
                <c:pt idx="9">
                  <c:v>12907.68</c:v>
                </c:pt>
                <c:pt idx="10">
                  <c:v>8358</c:v>
                </c:pt>
                <c:pt idx="11">
                  <c:v>5057.59</c:v>
                </c:pt>
              </c:numCache>
            </c:numRef>
          </c:val>
          <c:extLst>
            <c:ext xmlns:c16="http://schemas.microsoft.com/office/drawing/2014/chart" uri="{C3380CC4-5D6E-409C-BE32-E72D297353CC}">
              <c16:uniqueId val="{00000007-0BF9-44AF-85A8-8CF89E18B1A8}"/>
            </c:ext>
          </c:extLst>
        </c:ser>
        <c:ser>
          <c:idx val="7"/>
          <c:order val="8"/>
          <c:tx>
            <c:v>FY18</c:v>
          </c:tx>
          <c:invertIfNegative val="0"/>
          <c:val>
            <c:numRef>
              <c:f>'FY Comparison'!$C$62:$C$73</c:f>
              <c:numCache>
                <c:formatCode>_(* #,##0.00_);_(* \(#,##0.00\);_(* "-"??_);_(@_)</c:formatCode>
                <c:ptCount val="12"/>
                <c:pt idx="0">
                  <c:v>4764.66</c:v>
                </c:pt>
                <c:pt idx="1">
                  <c:v>5302.1</c:v>
                </c:pt>
                <c:pt idx="2">
                  <c:v>5698.06</c:v>
                </c:pt>
                <c:pt idx="3">
                  <c:v>7617.35</c:v>
                </c:pt>
                <c:pt idx="4">
                  <c:v>12922.51</c:v>
                </c:pt>
                <c:pt idx="5">
                  <c:v>31492.6</c:v>
                </c:pt>
                <c:pt idx="6">
                  <c:v>38265.769999999997</c:v>
                </c:pt>
                <c:pt idx="7">
                  <c:v>24399.69</c:v>
                </c:pt>
                <c:pt idx="8">
                  <c:v>19679.48</c:v>
                </c:pt>
                <c:pt idx="9">
                  <c:v>7824.76</c:v>
                </c:pt>
                <c:pt idx="10">
                  <c:v>5952.47</c:v>
                </c:pt>
                <c:pt idx="11">
                  <c:v>4190.13</c:v>
                </c:pt>
              </c:numCache>
            </c:numRef>
          </c:val>
          <c:extLst>
            <c:ext xmlns:c16="http://schemas.microsoft.com/office/drawing/2014/chart" uri="{C3380CC4-5D6E-409C-BE32-E72D297353CC}">
              <c16:uniqueId val="{00000008-0BF9-44AF-85A8-8CF89E18B1A8}"/>
            </c:ext>
          </c:extLst>
        </c:ser>
        <c:ser>
          <c:idx val="9"/>
          <c:order val="9"/>
          <c:tx>
            <c:v>FY19</c:v>
          </c:tx>
          <c:invertIfNegative val="0"/>
          <c:val>
            <c:numRef>
              <c:f>'FY Comparison'!$B$62:$B$73</c:f>
              <c:numCache>
                <c:formatCode>_(* #,##0.00_);_(* \(#,##0.00\);_(* "-"??_);_(@_)</c:formatCode>
                <c:ptCount val="12"/>
                <c:pt idx="0">
                  <c:v>4225.7</c:v>
                </c:pt>
                <c:pt idx="1">
                  <c:v>4715.03</c:v>
                </c:pt>
                <c:pt idx="2">
                  <c:v>5403.2</c:v>
                </c:pt>
                <c:pt idx="3">
                  <c:v>8881.11</c:v>
                </c:pt>
                <c:pt idx="4">
                  <c:v>21042.02</c:v>
                </c:pt>
                <c:pt idx="5">
                  <c:v>24541.61</c:v>
                </c:pt>
                <c:pt idx="6">
                  <c:v>46735.76</c:v>
                </c:pt>
                <c:pt idx="7">
                  <c:v>35212.26</c:v>
                </c:pt>
                <c:pt idx="8">
                  <c:v>21539.68</c:v>
                </c:pt>
                <c:pt idx="9">
                  <c:v>7408.56</c:v>
                </c:pt>
                <c:pt idx="10">
                  <c:v>5150.91</c:v>
                </c:pt>
                <c:pt idx="11">
                  <c:v>3916.4</c:v>
                </c:pt>
              </c:numCache>
            </c:numRef>
          </c:val>
          <c:extLst>
            <c:ext xmlns:c16="http://schemas.microsoft.com/office/drawing/2014/chart" uri="{C3380CC4-5D6E-409C-BE32-E72D297353CC}">
              <c16:uniqueId val="{00000000-FF06-42BE-9F1E-637144402A51}"/>
            </c:ext>
          </c:extLst>
        </c:ser>
        <c:dLbls>
          <c:showLegendKey val="0"/>
          <c:showVal val="0"/>
          <c:showCatName val="0"/>
          <c:showSerName val="0"/>
          <c:showPercent val="0"/>
          <c:showBubbleSize val="0"/>
        </c:dLbls>
        <c:gapWidth val="150"/>
        <c:axId val="166345344"/>
        <c:axId val="166351232"/>
      </c:barChart>
      <c:catAx>
        <c:axId val="166345344"/>
        <c:scaling>
          <c:orientation val="minMax"/>
        </c:scaling>
        <c:delete val="0"/>
        <c:axPos val="b"/>
        <c:numFmt formatCode="General" sourceLinked="0"/>
        <c:majorTickMark val="none"/>
        <c:minorTickMark val="none"/>
        <c:tickLblPos val="nextTo"/>
        <c:crossAx val="166351232"/>
        <c:crosses val="autoZero"/>
        <c:auto val="1"/>
        <c:lblAlgn val="ctr"/>
        <c:lblOffset val="100"/>
        <c:noMultiLvlLbl val="0"/>
      </c:catAx>
      <c:valAx>
        <c:axId val="166351232"/>
        <c:scaling>
          <c:orientation val="minMax"/>
          <c:max val="100000"/>
          <c:min val="0"/>
        </c:scaling>
        <c:delete val="0"/>
        <c:axPos val="l"/>
        <c:majorGridlines/>
        <c:title>
          <c:tx>
            <c:rich>
              <a:bodyPr/>
              <a:lstStyle/>
              <a:p>
                <a:pPr>
                  <a:defRPr/>
                </a:pPr>
                <a:r>
                  <a:rPr lang="en-US"/>
                  <a:t>Bill Amount</a:t>
                </a:r>
              </a:p>
            </c:rich>
          </c:tx>
          <c:layout/>
          <c:overlay val="0"/>
        </c:title>
        <c:numFmt formatCode="_(* #,##0.00_);_(* \(#,##0.00\);_(* &quot;-&quot;??_);_(@_)" sourceLinked="1"/>
        <c:majorTickMark val="none"/>
        <c:minorTickMark val="none"/>
        <c:tickLblPos val="nextTo"/>
        <c:crossAx val="166345344"/>
        <c:crosses val="autoZero"/>
        <c:crossBetween val="between"/>
        <c:majorUnit val="10000"/>
      </c:valAx>
      <c:dTable>
        <c:showHorzBorder val="1"/>
        <c:showVertBorder val="1"/>
        <c:showOutline val="1"/>
        <c:showKeys val="1"/>
      </c:dTable>
    </c:plotArea>
    <c:plotVisOnly val="1"/>
    <c:dispBlanksAs val="gap"/>
    <c:showDLblsOverMax val="0"/>
  </c:chart>
  <c:printSettings>
    <c:headerFooter/>
    <c:pageMargins b="0.75000000000000988" l="0.70000000000000062" r="0.70000000000000062" t="0.75000000000000988" header="0.30000000000000032" footer="0.30000000000000032"/>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City of Las Cruces Water Bills Compared by Fiscal Year</a:t>
            </a:r>
          </a:p>
        </c:rich>
      </c:tx>
      <c:layout>
        <c:manualLayout>
          <c:xMode val="edge"/>
          <c:yMode val="edge"/>
          <c:x val="0.19574294738336434"/>
          <c:y val="1.8719534694274623E-2"/>
        </c:manualLayout>
      </c:layout>
      <c:overlay val="0"/>
    </c:title>
    <c:autoTitleDeleted val="0"/>
    <c:plotArea>
      <c:layout/>
      <c:barChart>
        <c:barDir val="col"/>
        <c:grouping val="clustered"/>
        <c:varyColors val="0"/>
        <c:ser>
          <c:idx val="1"/>
          <c:order val="0"/>
          <c:tx>
            <c:strRef>
              <c:f>'FY Comparison'!$K$111:$K$112</c:f>
              <c:strCache>
                <c:ptCount val="2"/>
                <c:pt idx="0">
                  <c:v>FY10</c:v>
                </c:pt>
              </c:strCache>
            </c:strRef>
          </c:tx>
          <c:invertIfNegative val="0"/>
          <c:cat>
            <c:strRef>
              <c:f>'FY Comparison'!$A$113:$A$124</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Comparison'!$K$113:$K$124</c:f>
              <c:numCache>
                <c:formatCode>_(* #,##0.00_);_(* \(#,##0.00\);_(* "-"??_);_(@_)</c:formatCode>
                <c:ptCount val="12"/>
                <c:pt idx="0">
                  <c:v>1397.83</c:v>
                </c:pt>
                <c:pt idx="1">
                  <c:v>1180.52</c:v>
                </c:pt>
                <c:pt idx="2">
                  <c:v>750.59</c:v>
                </c:pt>
                <c:pt idx="3">
                  <c:v>815.32</c:v>
                </c:pt>
                <c:pt idx="4">
                  <c:v>442.4</c:v>
                </c:pt>
                <c:pt idx="5">
                  <c:v>356.11</c:v>
                </c:pt>
                <c:pt idx="6">
                  <c:v>240.53</c:v>
                </c:pt>
                <c:pt idx="7">
                  <c:v>251.32</c:v>
                </c:pt>
                <c:pt idx="8">
                  <c:v>557.97</c:v>
                </c:pt>
                <c:pt idx="9">
                  <c:v>809.14</c:v>
                </c:pt>
                <c:pt idx="10">
                  <c:v>823.02</c:v>
                </c:pt>
                <c:pt idx="11">
                  <c:v>1440.94</c:v>
                </c:pt>
              </c:numCache>
            </c:numRef>
          </c:val>
          <c:extLst>
            <c:ext xmlns:c16="http://schemas.microsoft.com/office/drawing/2014/chart" uri="{C3380CC4-5D6E-409C-BE32-E72D297353CC}">
              <c16:uniqueId val="{00000000-0628-4096-B4D0-250CA01CEC18}"/>
            </c:ext>
          </c:extLst>
        </c:ser>
        <c:ser>
          <c:idx val="0"/>
          <c:order val="1"/>
          <c:tx>
            <c:strRef>
              <c:f>'FY Comparison'!$J$111:$J$112</c:f>
              <c:strCache>
                <c:ptCount val="2"/>
                <c:pt idx="0">
                  <c:v>FY11</c:v>
                </c:pt>
              </c:strCache>
            </c:strRef>
          </c:tx>
          <c:invertIfNegative val="0"/>
          <c:cat>
            <c:strRef>
              <c:f>'FY Comparison'!$A$113:$A$124</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Comparison'!$J$113:$J$124</c:f>
              <c:numCache>
                <c:formatCode>_(* #,##0.00_);_(* \(#,##0.00\);_(* "-"??_);_(@_)</c:formatCode>
                <c:ptCount val="12"/>
                <c:pt idx="0">
                  <c:v>1017.18</c:v>
                </c:pt>
                <c:pt idx="1">
                  <c:v>1169.73</c:v>
                </c:pt>
                <c:pt idx="2">
                  <c:v>906.23</c:v>
                </c:pt>
                <c:pt idx="3">
                  <c:v>911.34</c:v>
                </c:pt>
                <c:pt idx="4">
                  <c:v>1104.6300000000001</c:v>
                </c:pt>
                <c:pt idx="5">
                  <c:v>666.88</c:v>
                </c:pt>
                <c:pt idx="6">
                  <c:v>1180.43</c:v>
                </c:pt>
                <c:pt idx="7">
                  <c:v>1557.53</c:v>
                </c:pt>
                <c:pt idx="8">
                  <c:v>1513.95</c:v>
                </c:pt>
                <c:pt idx="9">
                  <c:v>1352.87</c:v>
                </c:pt>
                <c:pt idx="10">
                  <c:v>1019.35</c:v>
                </c:pt>
                <c:pt idx="11">
                  <c:v>1936.54</c:v>
                </c:pt>
              </c:numCache>
            </c:numRef>
          </c:val>
          <c:extLst>
            <c:ext xmlns:c16="http://schemas.microsoft.com/office/drawing/2014/chart" uri="{C3380CC4-5D6E-409C-BE32-E72D297353CC}">
              <c16:uniqueId val="{00000001-0628-4096-B4D0-250CA01CEC18}"/>
            </c:ext>
          </c:extLst>
        </c:ser>
        <c:ser>
          <c:idx val="2"/>
          <c:order val="2"/>
          <c:tx>
            <c:strRef>
              <c:f>'FY Comparison'!$I$111:$I$112</c:f>
              <c:strCache>
                <c:ptCount val="2"/>
                <c:pt idx="0">
                  <c:v>FY12</c:v>
                </c:pt>
              </c:strCache>
            </c:strRef>
          </c:tx>
          <c:invertIfNegative val="0"/>
          <c:cat>
            <c:strRef>
              <c:f>'FY Comparison'!$A$113:$A$124</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Comparison'!$I$113:$I$124</c:f>
              <c:numCache>
                <c:formatCode>_(* #,##0.00_);_(* \(#,##0.00\);_(* "-"??_);_(@_)</c:formatCode>
                <c:ptCount val="12"/>
                <c:pt idx="0">
                  <c:v>1898.43</c:v>
                </c:pt>
                <c:pt idx="1">
                  <c:v>1967.93</c:v>
                </c:pt>
                <c:pt idx="2">
                  <c:v>1712.36</c:v>
                </c:pt>
                <c:pt idx="3">
                  <c:v>1163.67</c:v>
                </c:pt>
                <c:pt idx="4">
                  <c:v>979.56</c:v>
                </c:pt>
                <c:pt idx="5">
                  <c:v>1290.3399999999999</c:v>
                </c:pt>
                <c:pt idx="6">
                  <c:v>560.76</c:v>
                </c:pt>
                <c:pt idx="7">
                  <c:v>452.75</c:v>
                </c:pt>
                <c:pt idx="8">
                  <c:v>773</c:v>
                </c:pt>
                <c:pt idx="9">
                  <c:v>1095.1500000000001</c:v>
                </c:pt>
                <c:pt idx="10">
                  <c:v>1235.3800000000001</c:v>
                </c:pt>
                <c:pt idx="11">
                  <c:v>1508.36</c:v>
                </c:pt>
              </c:numCache>
            </c:numRef>
          </c:val>
          <c:extLst>
            <c:ext xmlns:c16="http://schemas.microsoft.com/office/drawing/2014/chart" uri="{C3380CC4-5D6E-409C-BE32-E72D297353CC}">
              <c16:uniqueId val="{00000002-0628-4096-B4D0-250CA01CEC18}"/>
            </c:ext>
          </c:extLst>
        </c:ser>
        <c:ser>
          <c:idx val="3"/>
          <c:order val="3"/>
          <c:tx>
            <c:strRef>
              <c:f>'FY Comparison'!$H$111</c:f>
              <c:strCache>
                <c:ptCount val="1"/>
                <c:pt idx="0">
                  <c:v>FY13</c:v>
                </c:pt>
              </c:strCache>
            </c:strRef>
          </c:tx>
          <c:invertIfNegative val="0"/>
          <c:cat>
            <c:strRef>
              <c:f>'FY Comparison'!$A$113:$A$124</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Comparison'!$H$113:$H$124</c:f>
              <c:numCache>
                <c:formatCode>_(* #,##0.00_);_(* \(#,##0.00\);_(* "-"??_);_(@_)</c:formatCode>
                <c:ptCount val="12"/>
                <c:pt idx="0">
                  <c:v>2501.48</c:v>
                </c:pt>
                <c:pt idx="1">
                  <c:v>2172.71</c:v>
                </c:pt>
                <c:pt idx="2">
                  <c:v>1840.36</c:v>
                </c:pt>
                <c:pt idx="3">
                  <c:v>1352.37</c:v>
                </c:pt>
                <c:pt idx="4">
                  <c:v>877.69</c:v>
                </c:pt>
                <c:pt idx="5">
                  <c:v>505</c:v>
                </c:pt>
                <c:pt idx="6">
                  <c:v>471.62</c:v>
                </c:pt>
                <c:pt idx="7">
                  <c:v>523.54</c:v>
                </c:pt>
                <c:pt idx="8">
                  <c:v>594</c:v>
                </c:pt>
                <c:pt idx="9">
                  <c:v>820.21</c:v>
                </c:pt>
                <c:pt idx="10">
                  <c:v>1419.12</c:v>
                </c:pt>
                <c:pt idx="11">
                  <c:v>2067.06</c:v>
                </c:pt>
              </c:numCache>
            </c:numRef>
          </c:val>
          <c:extLst>
            <c:ext xmlns:c16="http://schemas.microsoft.com/office/drawing/2014/chart" uri="{C3380CC4-5D6E-409C-BE32-E72D297353CC}">
              <c16:uniqueId val="{00000003-0628-4096-B4D0-250CA01CEC18}"/>
            </c:ext>
          </c:extLst>
        </c:ser>
        <c:ser>
          <c:idx val="4"/>
          <c:order val="4"/>
          <c:tx>
            <c:v>FY14</c:v>
          </c:tx>
          <c:invertIfNegative val="0"/>
          <c:cat>
            <c:strRef>
              <c:f>'FY Comparison'!$A$113:$A$124</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Comparison'!$G$113:$G$124</c:f>
              <c:numCache>
                <c:formatCode>_(* #,##0.00_);_(* \(#,##0.00\);_(* "-"??_);_(@_)</c:formatCode>
                <c:ptCount val="12"/>
                <c:pt idx="0">
                  <c:v>2095.6799999999998</c:v>
                </c:pt>
                <c:pt idx="1">
                  <c:v>2027.44</c:v>
                </c:pt>
                <c:pt idx="2">
                  <c:v>1776.53</c:v>
                </c:pt>
                <c:pt idx="3">
                  <c:v>998.22</c:v>
                </c:pt>
                <c:pt idx="4">
                  <c:v>745.76</c:v>
                </c:pt>
                <c:pt idx="5">
                  <c:v>362.94</c:v>
                </c:pt>
                <c:pt idx="6">
                  <c:v>488.49</c:v>
                </c:pt>
                <c:pt idx="7">
                  <c:v>673.72</c:v>
                </c:pt>
                <c:pt idx="8">
                  <c:v>844.55</c:v>
                </c:pt>
                <c:pt idx="9">
                  <c:v>1338.52</c:v>
                </c:pt>
                <c:pt idx="10">
                  <c:v>1406.44</c:v>
                </c:pt>
                <c:pt idx="11">
                  <c:v>2411.48</c:v>
                </c:pt>
              </c:numCache>
            </c:numRef>
          </c:val>
          <c:extLst>
            <c:ext xmlns:c16="http://schemas.microsoft.com/office/drawing/2014/chart" uri="{C3380CC4-5D6E-409C-BE32-E72D297353CC}">
              <c16:uniqueId val="{00000004-0628-4096-B4D0-250CA01CEC18}"/>
            </c:ext>
          </c:extLst>
        </c:ser>
        <c:ser>
          <c:idx val="5"/>
          <c:order val="5"/>
          <c:tx>
            <c:v>FY15</c:v>
          </c:tx>
          <c:invertIfNegative val="0"/>
          <c:cat>
            <c:strRef>
              <c:f>'FY Comparison'!$A$113:$A$124</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Comparison'!$F$113:$F$124</c:f>
              <c:numCache>
                <c:formatCode>_(* #,##0.00_);_(* \(#,##0.00\);_(* "-"??_);_(@_)</c:formatCode>
                <c:ptCount val="12"/>
                <c:pt idx="0">
                  <c:v>1918.45</c:v>
                </c:pt>
                <c:pt idx="1">
                  <c:v>1485.55</c:v>
                </c:pt>
                <c:pt idx="2">
                  <c:v>1184.93</c:v>
                </c:pt>
                <c:pt idx="3">
                  <c:v>863.08</c:v>
                </c:pt>
                <c:pt idx="4">
                  <c:v>649.41</c:v>
                </c:pt>
                <c:pt idx="5">
                  <c:v>411.07</c:v>
                </c:pt>
                <c:pt idx="6">
                  <c:v>963.68</c:v>
                </c:pt>
                <c:pt idx="7">
                  <c:v>522.86</c:v>
                </c:pt>
                <c:pt idx="8">
                  <c:v>740.1</c:v>
                </c:pt>
                <c:pt idx="9">
                  <c:v>906.73</c:v>
                </c:pt>
                <c:pt idx="10">
                  <c:v>826.58</c:v>
                </c:pt>
                <c:pt idx="11">
                  <c:v>1684.6899999999996</c:v>
                </c:pt>
              </c:numCache>
            </c:numRef>
          </c:val>
          <c:extLst>
            <c:ext xmlns:c16="http://schemas.microsoft.com/office/drawing/2014/chart" uri="{C3380CC4-5D6E-409C-BE32-E72D297353CC}">
              <c16:uniqueId val="{00000005-0628-4096-B4D0-250CA01CEC18}"/>
            </c:ext>
          </c:extLst>
        </c:ser>
        <c:ser>
          <c:idx val="6"/>
          <c:order val="6"/>
          <c:tx>
            <c:v>FY16</c:v>
          </c:tx>
          <c:invertIfNegative val="0"/>
          <c:val>
            <c:numRef>
              <c:f>'FY Comparison'!$E$113:$E$124</c:f>
              <c:numCache>
                <c:formatCode>_(* #,##0.00_);_(* \(#,##0.00\);_(* "-"??_);_(@_)</c:formatCode>
                <c:ptCount val="12"/>
                <c:pt idx="0">
                  <c:v>1983.57</c:v>
                </c:pt>
                <c:pt idx="1">
                  <c:v>1778.88</c:v>
                </c:pt>
                <c:pt idx="2">
                  <c:v>1769.01</c:v>
                </c:pt>
                <c:pt idx="3">
                  <c:v>1091.08</c:v>
                </c:pt>
                <c:pt idx="4">
                  <c:v>646.01</c:v>
                </c:pt>
                <c:pt idx="5">
                  <c:v>654.49</c:v>
                </c:pt>
                <c:pt idx="6">
                  <c:v>498.59</c:v>
                </c:pt>
                <c:pt idx="7">
                  <c:v>608.65</c:v>
                </c:pt>
                <c:pt idx="8">
                  <c:v>622.4</c:v>
                </c:pt>
                <c:pt idx="9">
                  <c:v>581.13</c:v>
                </c:pt>
                <c:pt idx="10">
                  <c:v>1108.48</c:v>
                </c:pt>
                <c:pt idx="11">
                  <c:v>1587.19</c:v>
                </c:pt>
              </c:numCache>
            </c:numRef>
          </c:val>
          <c:extLst>
            <c:ext xmlns:c16="http://schemas.microsoft.com/office/drawing/2014/chart" uri="{C3380CC4-5D6E-409C-BE32-E72D297353CC}">
              <c16:uniqueId val="{00000006-0628-4096-B4D0-250CA01CEC18}"/>
            </c:ext>
          </c:extLst>
        </c:ser>
        <c:ser>
          <c:idx val="8"/>
          <c:order val="7"/>
          <c:tx>
            <c:v>FY17</c:v>
          </c:tx>
          <c:invertIfNegative val="0"/>
          <c:val>
            <c:numRef>
              <c:f>'FY Comparison'!$D$113:$D$124</c:f>
              <c:numCache>
                <c:formatCode>_(* #,##0.00_);_(* \(#,##0.00\);_(* "-"??_);_(@_)</c:formatCode>
                <c:ptCount val="12"/>
                <c:pt idx="0">
                  <c:v>2099.27</c:v>
                </c:pt>
                <c:pt idx="1">
                  <c:v>1843.23</c:v>
                </c:pt>
                <c:pt idx="2">
                  <c:v>1280.99</c:v>
                </c:pt>
                <c:pt idx="3">
                  <c:v>957.15</c:v>
                </c:pt>
                <c:pt idx="4">
                  <c:v>966.32</c:v>
                </c:pt>
                <c:pt idx="5">
                  <c:v>1129.1099999999999</c:v>
                </c:pt>
                <c:pt idx="6">
                  <c:v>544.45000000000005</c:v>
                </c:pt>
                <c:pt idx="7">
                  <c:v>516.94000000000005</c:v>
                </c:pt>
                <c:pt idx="8">
                  <c:v>918.18</c:v>
                </c:pt>
                <c:pt idx="9">
                  <c:v>1131.4100000000001</c:v>
                </c:pt>
                <c:pt idx="10">
                  <c:v>1191.02</c:v>
                </c:pt>
                <c:pt idx="11">
                  <c:v>2025.36</c:v>
                </c:pt>
              </c:numCache>
            </c:numRef>
          </c:val>
          <c:extLst>
            <c:ext xmlns:c16="http://schemas.microsoft.com/office/drawing/2014/chart" uri="{C3380CC4-5D6E-409C-BE32-E72D297353CC}">
              <c16:uniqueId val="{00000007-0628-4096-B4D0-250CA01CEC18}"/>
            </c:ext>
          </c:extLst>
        </c:ser>
        <c:ser>
          <c:idx val="7"/>
          <c:order val="8"/>
          <c:tx>
            <c:v>FY18</c:v>
          </c:tx>
          <c:invertIfNegative val="0"/>
          <c:val>
            <c:numRef>
              <c:f>'FY Comparison'!$C$113:$C$124</c:f>
              <c:numCache>
                <c:formatCode>_(* #,##0.00_);_(* \(#,##0.00\);_(* "-"??_);_(@_)</c:formatCode>
                <c:ptCount val="12"/>
                <c:pt idx="0">
                  <c:v>2376.4299999999998</c:v>
                </c:pt>
                <c:pt idx="1">
                  <c:v>1830.03</c:v>
                </c:pt>
                <c:pt idx="2">
                  <c:v>1893.38</c:v>
                </c:pt>
                <c:pt idx="3">
                  <c:v>1046.57</c:v>
                </c:pt>
                <c:pt idx="4">
                  <c:v>753.09</c:v>
                </c:pt>
                <c:pt idx="5">
                  <c:v>592.6</c:v>
                </c:pt>
                <c:pt idx="6">
                  <c:v>347.27</c:v>
                </c:pt>
                <c:pt idx="7">
                  <c:v>549.03</c:v>
                </c:pt>
                <c:pt idx="8">
                  <c:v>810.41</c:v>
                </c:pt>
                <c:pt idx="9">
                  <c:v>1202.48</c:v>
                </c:pt>
                <c:pt idx="10">
                  <c:v>1434.06</c:v>
                </c:pt>
                <c:pt idx="11">
                  <c:v>2109.83</c:v>
                </c:pt>
              </c:numCache>
            </c:numRef>
          </c:val>
          <c:extLst>
            <c:ext xmlns:c16="http://schemas.microsoft.com/office/drawing/2014/chart" uri="{C3380CC4-5D6E-409C-BE32-E72D297353CC}">
              <c16:uniqueId val="{00000008-0628-4096-B4D0-250CA01CEC18}"/>
            </c:ext>
          </c:extLst>
        </c:ser>
        <c:ser>
          <c:idx val="9"/>
          <c:order val="9"/>
          <c:tx>
            <c:v>FY19</c:v>
          </c:tx>
          <c:invertIfNegative val="0"/>
          <c:val>
            <c:numRef>
              <c:f>'FY Comparison'!$B$113:$B$124</c:f>
              <c:numCache>
                <c:formatCode>_(* #,##0.00_);_(* \(#,##0.00\);_(* "-"??_);_(@_)</c:formatCode>
                <c:ptCount val="12"/>
                <c:pt idx="0">
                  <c:v>2173.1799999999998</c:v>
                </c:pt>
                <c:pt idx="1">
                  <c:v>1866.98</c:v>
                </c:pt>
                <c:pt idx="2">
                  <c:v>1550.79</c:v>
                </c:pt>
                <c:pt idx="3">
                  <c:v>984.67</c:v>
                </c:pt>
                <c:pt idx="4">
                  <c:v>665.97</c:v>
                </c:pt>
                <c:pt idx="5">
                  <c:v>341.88</c:v>
                </c:pt>
                <c:pt idx="6">
                  <c:v>650.80999999999995</c:v>
                </c:pt>
                <c:pt idx="7">
                  <c:v>820.84</c:v>
                </c:pt>
                <c:pt idx="8">
                  <c:v>902.26</c:v>
                </c:pt>
                <c:pt idx="9">
                  <c:v>828.02</c:v>
                </c:pt>
                <c:pt idx="10">
                  <c:v>1127.3699999999999</c:v>
                </c:pt>
                <c:pt idx="11">
                  <c:v>1271.06</c:v>
                </c:pt>
              </c:numCache>
            </c:numRef>
          </c:val>
          <c:extLst>
            <c:ext xmlns:c16="http://schemas.microsoft.com/office/drawing/2014/chart" uri="{C3380CC4-5D6E-409C-BE32-E72D297353CC}">
              <c16:uniqueId val="{00000000-CEAB-494F-9353-0DFC52E0C053}"/>
            </c:ext>
          </c:extLst>
        </c:ser>
        <c:dLbls>
          <c:showLegendKey val="0"/>
          <c:showVal val="0"/>
          <c:showCatName val="0"/>
          <c:showSerName val="0"/>
          <c:showPercent val="0"/>
          <c:showBubbleSize val="0"/>
        </c:dLbls>
        <c:gapWidth val="150"/>
        <c:axId val="166392192"/>
        <c:axId val="166393728"/>
      </c:barChart>
      <c:catAx>
        <c:axId val="166392192"/>
        <c:scaling>
          <c:orientation val="minMax"/>
        </c:scaling>
        <c:delete val="0"/>
        <c:axPos val="b"/>
        <c:numFmt formatCode="General" sourceLinked="0"/>
        <c:majorTickMark val="none"/>
        <c:minorTickMark val="none"/>
        <c:tickLblPos val="nextTo"/>
        <c:crossAx val="166393728"/>
        <c:crosses val="autoZero"/>
        <c:auto val="1"/>
        <c:lblAlgn val="ctr"/>
        <c:lblOffset val="100"/>
        <c:noMultiLvlLbl val="0"/>
      </c:catAx>
      <c:valAx>
        <c:axId val="166393728"/>
        <c:scaling>
          <c:orientation val="minMax"/>
          <c:max val="3000"/>
          <c:min val="0"/>
        </c:scaling>
        <c:delete val="0"/>
        <c:axPos val="l"/>
        <c:majorGridlines/>
        <c:title>
          <c:tx>
            <c:rich>
              <a:bodyPr/>
              <a:lstStyle/>
              <a:p>
                <a:pPr>
                  <a:defRPr/>
                </a:pPr>
                <a:r>
                  <a:rPr lang="en-US"/>
                  <a:t>Bill Amount</a:t>
                </a:r>
              </a:p>
            </c:rich>
          </c:tx>
          <c:layout/>
          <c:overlay val="0"/>
        </c:title>
        <c:numFmt formatCode="_(* #,##0.00_);_(* \(#,##0.00\);_(* &quot;-&quot;??_);_(@_)" sourceLinked="1"/>
        <c:majorTickMark val="none"/>
        <c:minorTickMark val="none"/>
        <c:tickLblPos val="nextTo"/>
        <c:crossAx val="166392192"/>
        <c:crosses val="autoZero"/>
        <c:crossBetween val="between"/>
        <c:majorUnit val="250"/>
      </c:valAx>
      <c:dTable>
        <c:showHorzBorder val="1"/>
        <c:showVertBorder val="1"/>
        <c:showOutline val="1"/>
        <c:showKeys val="1"/>
      </c:dTable>
    </c:plotArea>
    <c:plotVisOnly val="1"/>
    <c:dispBlanksAs val="gap"/>
    <c:showDLblsOverMax val="0"/>
  </c:chart>
  <c:printSettings>
    <c:headerFooter/>
    <c:pageMargins b="0.7500000000000101" l="0.70000000000000062" r="0.70000000000000062" t="0.7500000000000101"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City of Las Cruces Sewer Bills Compared by Fiscal Year</a:t>
            </a:r>
          </a:p>
        </c:rich>
      </c:tx>
      <c:layout/>
      <c:overlay val="0"/>
    </c:title>
    <c:autoTitleDeleted val="0"/>
    <c:plotArea>
      <c:layout/>
      <c:barChart>
        <c:barDir val="col"/>
        <c:grouping val="clustered"/>
        <c:varyColors val="0"/>
        <c:ser>
          <c:idx val="2"/>
          <c:order val="0"/>
          <c:tx>
            <c:strRef>
              <c:f>'FY Comparison'!$K$86:$K$87</c:f>
              <c:strCache>
                <c:ptCount val="2"/>
                <c:pt idx="0">
                  <c:v>FY10</c:v>
                </c:pt>
              </c:strCache>
            </c:strRef>
          </c:tx>
          <c:invertIfNegative val="0"/>
          <c:cat>
            <c:strRef>
              <c:f>'FY Comparison'!$A$88:$A$99</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Comparison'!$K$88:$K$99</c:f>
              <c:numCache>
                <c:formatCode>_(* #,##0.00_);_(* \(#,##0.00\);_(* "-"??_);_(@_)</c:formatCode>
                <c:ptCount val="12"/>
                <c:pt idx="0">
                  <c:v>25357.09</c:v>
                </c:pt>
                <c:pt idx="1">
                  <c:v>23756.1</c:v>
                </c:pt>
                <c:pt idx="2">
                  <c:v>25762.49</c:v>
                </c:pt>
                <c:pt idx="3">
                  <c:v>27659.119999999999</c:v>
                </c:pt>
                <c:pt idx="4">
                  <c:v>26545.17</c:v>
                </c:pt>
                <c:pt idx="5">
                  <c:v>23888.62</c:v>
                </c:pt>
                <c:pt idx="6">
                  <c:v>19004.169999999998</c:v>
                </c:pt>
                <c:pt idx="7">
                  <c:v>23569.75</c:v>
                </c:pt>
                <c:pt idx="8">
                  <c:v>24994.32</c:v>
                </c:pt>
                <c:pt idx="9">
                  <c:v>26764.65</c:v>
                </c:pt>
                <c:pt idx="10">
                  <c:v>28396.25</c:v>
                </c:pt>
                <c:pt idx="11">
                  <c:v>23298.51</c:v>
                </c:pt>
              </c:numCache>
            </c:numRef>
          </c:val>
          <c:extLst>
            <c:ext xmlns:c16="http://schemas.microsoft.com/office/drawing/2014/chart" uri="{C3380CC4-5D6E-409C-BE32-E72D297353CC}">
              <c16:uniqueId val="{00000000-A354-442D-BFAB-4C14EF878990}"/>
            </c:ext>
          </c:extLst>
        </c:ser>
        <c:ser>
          <c:idx val="1"/>
          <c:order val="1"/>
          <c:tx>
            <c:strRef>
              <c:f>'FY Comparison'!$J$86:$J$87</c:f>
              <c:strCache>
                <c:ptCount val="2"/>
                <c:pt idx="0">
                  <c:v>FY11</c:v>
                </c:pt>
              </c:strCache>
            </c:strRef>
          </c:tx>
          <c:invertIfNegative val="0"/>
          <c:cat>
            <c:strRef>
              <c:f>'FY Comparison'!$A$88:$A$99</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Comparison'!$J$88:$J$99</c:f>
              <c:numCache>
                <c:formatCode>_(* #,##0.00_);_(* \(#,##0.00\);_(* "-"??_);_(@_)</c:formatCode>
                <c:ptCount val="12"/>
                <c:pt idx="0">
                  <c:v>22596.59</c:v>
                </c:pt>
                <c:pt idx="1">
                  <c:v>22275.66</c:v>
                </c:pt>
                <c:pt idx="2">
                  <c:v>26733.59</c:v>
                </c:pt>
                <c:pt idx="3">
                  <c:v>33888.959999999999</c:v>
                </c:pt>
                <c:pt idx="4">
                  <c:v>31959.19</c:v>
                </c:pt>
                <c:pt idx="5">
                  <c:v>27034.46</c:v>
                </c:pt>
                <c:pt idx="6">
                  <c:v>21218.86</c:v>
                </c:pt>
                <c:pt idx="7">
                  <c:v>24722.54</c:v>
                </c:pt>
                <c:pt idx="8">
                  <c:v>29243.66</c:v>
                </c:pt>
                <c:pt idx="9">
                  <c:v>28966.61</c:v>
                </c:pt>
                <c:pt idx="10">
                  <c:v>29164.84</c:v>
                </c:pt>
                <c:pt idx="11">
                  <c:v>23910.52</c:v>
                </c:pt>
              </c:numCache>
            </c:numRef>
          </c:val>
          <c:extLst>
            <c:ext xmlns:c16="http://schemas.microsoft.com/office/drawing/2014/chart" uri="{C3380CC4-5D6E-409C-BE32-E72D297353CC}">
              <c16:uniqueId val="{00000001-A354-442D-BFAB-4C14EF878990}"/>
            </c:ext>
          </c:extLst>
        </c:ser>
        <c:ser>
          <c:idx val="0"/>
          <c:order val="2"/>
          <c:tx>
            <c:strRef>
              <c:f>'FY Comparison'!$I$86:$I$87</c:f>
              <c:strCache>
                <c:ptCount val="2"/>
                <c:pt idx="0">
                  <c:v>FY12</c:v>
                </c:pt>
              </c:strCache>
            </c:strRef>
          </c:tx>
          <c:invertIfNegative val="0"/>
          <c:cat>
            <c:strRef>
              <c:f>'FY Comparison'!$A$88:$A$99</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Comparison'!$I$88:$I$99</c:f>
              <c:numCache>
                <c:formatCode>_(* #,##0.00_);_(* \(#,##0.00\);_(* "-"??_);_(@_)</c:formatCode>
                <c:ptCount val="12"/>
                <c:pt idx="0">
                  <c:v>25625.33</c:v>
                </c:pt>
                <c:pt idx="1">
                  <c:v>28362.36</c:v>
                </c:pt>
                <c:pt idx="2">
                  <c:v>35171.49</c:v>
                </c:pt>
                <c:pt idx="3">
                  <c:v>35405.550000000003</c:v>
                </c:pt>
                <c:pt idx="4">
                  <c:v>33043.49</c:v>
                </c:pt>
                <c:pt idx="5">
                  <c:v>28085.32</c:v>
                </c:pt>
                <c:pt idx="6">
                  <c:v>21839.83</c:v>
                </c:pt>
                <c:pt idx="7">
                  <c:v>27328.21</c:v>
                </c:pt>
                <c:pt idx="8">
                  <c:v>35009.08</c:v>
                </c:pt>
                <c:pt idx="9">
                  <c:v>31756.18</c:v>
                </c:pt>
                <c:pt idx="10">
                  <c:v>31259.4</c:v>
                </c:pt>
                <c:pt idx="11">
                  <c:v>28369.53</c:v>
                </c:pt>
              </c:numCache>
            </c:numRef>
          </c:val>
          <c:extLst>
            <c:ext xmlns:c16="http://schemas.microsoft.com/office/drawing/2014/chart" uri="{C3380CC4-5D6E-409C-BE32-E72D297353CC}">
              <c16:uniqueId val="{00000002-A354-442D-BFAB-4C14EF878990}"/>
            </c:ext>
          </c:extLst>
        </c:ser>
        <c:ser>
          <c:idx val="3"/>
          <c:order val="3"/>
          <c:tx>
            <c:strRef>
              <c:f>'FY Comparison'!$H$86</c:f>
              <c:strCache>
                <c:ptCount val="1"/>
                <c:pt idx="0">
                  <c:v>FY13</c:v>
                </c:pt>
              </c:strCache>
            </c:strRef>
          </c:tx>
          <c:invertIfNegative val="0"/>
          <c:cat>
            <c:strRef>
              <c:f>'FY Comparison'!$A$88:$A$99</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Comparison'!$H$88:$H$99</c:f>
              <c:numCache>
                <c:formatCode>_(* #,##0.00_);_(* \(#,##0.00\);_(* "-"??_);_(@_)</c:formatCode>
                <c:ptCount val="12"/>
                <c:pt idx="0">
                  <c:v>26270.18</c:v>
                </c:pt>
                <c:pt idx="1">
                  <c:v>28145.02</c:v>
                </c:pt>
                <c:pt idx="2">
                  <c:v>34423.949999999997</c:v>
                </c:pt>
                <c:pt idx="3">
                  <c:v>34875.339999999997</c:v>
                </c:pt>
                <c:pt idx="4">
                  <c:v>33406.519999999997</c:v>
                </c:pt>
                <c:pt idx="5">
                  <c:v>26523.35</c:v>
                </c:pt>
                <c:pt idx="6">
                  <c:v>31811.119999999999</c:v>
                </c:pt>
                <c:pt idx="7">
                  <c:v>30772.18</c:v>
                </c:pt>
                <c:pt idx="8">
                  <c:v>29172</c:v>
                </c:pt>
                <c:pt idx="9">
                  <c:v>30550.080000000002</c:v>
                </c:pt>
                <c:pt idx="10">
                  <c:v>31077.89</c:v>
                </c:pt>
                <c:pt idx="11">
                  <c:v>26322.720000000001</c:v>
                </c:pt>
              </c:numCache>
            </c:numRef>
          </c:val>
          <c:extLst>
            <c:ext xmlns:c16="http://schemas.microsoft.com/office/drawing/2014/chart" uri="{C3380CC4-5D6E-409C-BE32-E72D297353CC}">
              <c16:uniqueId val="{00000003-A354-442D-BFAB-4C14EF878990}"/>
            </c:ext>
          </c:extLst>
        </c:ser>
        <c:ser>
          <c:idx val="4"/>
          <c:order val="4"/>
          <c:tx>
            <c:v>FY14</c:v>
          </c:tx>
          <c:invertIfNegative val="0"/>
          <c:cat>
            <c:strRef>
              <c:f>'FY Comparison'!$A$88:$A$99</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Comparison'!$G$88:$G$99</c:f>
              <c:numCache>
                <c:formatCode>_(* #,##0.00_);_(* \(#,##0.00\);_(* "-"??_);_(@_)</c:formatCode>
                <c:ptCount val="12"/>
                <c:pt idx="0">
                  <c:v>26005.08</c:v>
                </c:pt>
                <c:pt idx="1">
                  <c:v>27418.98</c:v>
                </c:pt>
                <c:pt idx="2">
                  <c:v>29683.11</c:v>
                </c:pt>
                <c:pt idx="3">
                  <c:v>34775.019999999997</c:v>
                </c:pt>
                <c:pt idx="4">
                  <c:v>32802.26</c:v>
                </c:pt>
                <c:pt idx="5">
                  <c:v>30277.8</c:v>
                </c:pt>
                <c:pt idx="6">
                  <c:v>28316.99</c:v>
                </c:pt>
                <c:pt idx="7">
                  <c:v>30925.040000000001</c:v>
                </c:pt>
                <c:pt idx="8">
                  <c:v>33299.040000000001</c:v>
                </c:pt>
                <c:pt idx="9">
                  <c:v>35739.910000000003</c:v>
                </c:pt>
                <c:pt idx="10">
                  <c:v>56360.76</c:v>
                </c:pt>
                <c:pt idx="11">
                  <c:v>29573.24</c:v>
                </c:pt>
              </c:numCache>
            </c:numRef>
          </c:val>
          <c:extLst>
            <c:ext xmlns:c16="http://schemas.microsoft.com/office/drawing/2014/chart" uri="{C3380CC4-5D6E-409C-BE32-E72D297353CC}">
              <c16:uniqueId val="{00000004-A354-442D-BFAB-4C14EF878990}"/>
            </c:ext>
          </c:extLst>
        </c:ser>
        <c:ser>
          <c:idx val="5"/>
          <c:order val="5"/>
          <c:tx>
            <c:v>FY15</c:v>
          </c:tx>
          <c:invertIfNegative val="0"/>
          <c:cat>
            <c:strRef>
              <c:f>'FY Comparison'!$A$88:$A$99</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Comparison'!$F$88:$F$99</c:f>
              <c:numCache>
                <c:formatCode>_(* #,##0.00_);_(* \(#,##0.00\);_(* "-"??_);_(@_)</c:formatCode>
                <c:ptCount val="12"/>
                <c:pt idx="0">
                  <c:v>30015.09</c:v>
                </c:pt>
                <c:pt idx="1">
                  <c:v>32967.06</c:v>
                </c:pt>
                <c:pt idx="2">
                  <c:v>35670.65</c:v>
                </c:pt>
                <c:pt idx="3">
                  <c:v>36668.97</c:v>
                </c:pt>
                <c:pt idx="4">
                  <c:v>32260.12</c:v>
                </c:pt>
                <c:pt idx="5">
                  <c:v>25983.58</c:v>
                </c:pt>
                <c:pt idx="6">
                  <c:v>20710.150000000001</c:v>
                </c:pt>
                <c:pt idx="7">
                  <c:v>24266.37</c:v>
                </c:pt>
                <c:pt idx="8">
                  <c:v>24020.38</c:v>
                </c:pt>
                <c:pt idx="9">
                  <c:v>25111.84</c:v>
                </c:pt>
                <c:pt idx="10">
                  <c:v>25864.17</c:v>
                </c:pt>
                <c:pt idx="11">
                  <c:v>23002.949999999997</c:v>
                </c:pt>
              </c:numCache>
            </c:numRef>
          </c:val>
          <c:extLst>
            <c:ext xmlns:c16="http://schemas.microsoft.com/office/drawing/2014/chart" uri="{C3380CC4-5D6E-409C-BE32-E72D297353CC}">
              <c16:uniqueId val="{00000005-A354-442D-BFAB-4C14EF878990}"/>
            </c:ext>
          </c:extLst>
        </c:ser>
        <c:ser>
          <c:idx val="6"/>
          <c:order val="6"/>
          <c:tx>
            <c:v>FY16</c:v>
          </c:tx>
          <c:invertIfNegative val="0"/>
          <c:val>
            <c:numRef>
              <c:f>'FY Comparison'!$E$88:$E$99</c:f>
              <c:numCache>
                <c:formatCode>_(* #,##0.00_);_(* \(#,##0.00\);_(* "-"??_);_(@_)</c:formatCode>
                <c:ptCount val="12"/>
                <c:pt idx="0">
                  <c:v>27605.84</c:v>
                </c:pt>
                <c:pt idx="1">
                  <c:v>29382.720000000001</c:v>
                </c:pt>
                <c:pt idx="2">
                  <c:v>32092.26</c:v>
                </c:pt>
                <c:pt idx="3">
                  <c:v>34766.410000000003</c:v>
                </c:pt>
                <c:pt idx="4">
                  <c:v>33687.15</c:v>
                </c:pt>
                <c:pt idx="5">
                  <c:v>26625.14</c:v>
                </c:pt>
                <c:pt idx="6">
                  <c:v>24872.62</c:v>
                </c:pt>
                <c:pt idx="7">
                  <c:v>22425.03</c:v>
                </c:pt>
                <c:pt idx="8">
                  <c:v>30927.08</c:v>
                </c:pt>
                <c:pt idx="9">
                  <c:v>30055</c:v>
                </c:pt>
                <c:pt idx="10">
                  <c:v>32826.660000000003</c:v>
                </c:pt>
                <c:pt idx="11">
                  <c:v>29538.61</c:v>
                </c:pt>
              </c:numCache>
            </c:numRef>
          </c:val>
          <c:extLst>
            <c:ext xmlns:c16="http://schemas.microsoft.com/office/drawing/2014/chart" uri="{C3380CC4-5D6E-409C-BE32-E72D297353CC}">
              <c16:uniqueId val="{00000006-A354-442D-BFAB-4C14EF878990}"/>
            </c:ext>
          </c:extLst>
        </c:ser>
        <c:ser>
          <c:idx val="8"/>
          <c:order val="7"/>
          <c:tx>
            <c:v>FY17</c:v>
          </c:tx>
          <c:invertIfNegative val="0"/>
          <c:val>
            <c:numRef>
              <c:f>'FY Comparison'!$D$88:$D$99</c:f>
              <c:numCache>
                <c:formatCode>_(* #,##0.00_);_(* \(#,##0.00\);_(* "-"??_);_(@_)</c:formatCode>
                <c:ptCount val="12"/>
                <c:pt idx="0">
                  <c:v>29459.57</c:v>
                </c:pt>
                <c:pt idx="1">
                  <c:v>31351.26</c:v>
                </c:pt>
                <c:pt idx="2">
                  <c:v>36578.42</c:v>
                </c:pt>
                <c:pt idx="3">
                  <c:v>39352.720000000001</c:v>
                </c:pt>
                <c:pt idx="4">
                  <c:v>33664.49</c:v>
                </c:pt>
                <c:pt idx="5">
                  <c:v>28584.86</c:v>
                </c:pt>
                <c:pt idx="6">
                  <c:v>23120.58</c:v>
                </c:pt>
                <c:pt idx="7">
                  <c:v>24711.91</c:v>
                </c:pt>
                <c:pt idx="8">
                  <c:v>27736.51</c:v>
                </c:pt>
                <c:pt idx="9">
                  <c:v>32950.49</c:v>
                </c:pt>
                <c:pt idx="10">
                  <c:v>28990.6</c:v>
                </c:pt>
                <c:pt idx="11">
                  <c:v>29588.66</c:v>
                </c:pt>
              </c:numCache>
            </c:numRef>
          </c:val>
          <c:extLst>
            <c:ext xmlns:c16="http://schemas.microsoft.com/office/drawing/2014/chart" uri="{C3380CC4-5D6E-409C-BE32-E72D297353CC}">
              <c16:uniqueId val="{00000007-A354-442D-BFAB-4C14EF878990}"/>
            </c:ext>
          </c:extLst>
        </c:ser>
        <c:ser>
          <c:idx val="7"/>
          <c:order val="8"/>
          <c:tx>
            <c:v>FY18</c:v>
          </c:tx>
          <c:invertIfNegative val="0"/>
          <c:val>
            <c:numRef>
              <c:f>'FY Comparison'!$C$88:$C$99</c:f>
              <c:numCache>
                <c:formatCode>_(* #,##0.00_);_(* \(#,##0.00\);_(* "-"??_);_(@_)</c:formatCode>
                <c:ptCount val="12"/>
                <c:pt idx="0">
                  <c:v>24935.86</c:v>
                </c:pt>
                <c:pt idx="1">
                  <c:v>33419.46</c:v>
                </c:pt>
                <c:pt idx="2">
                  <c:v>34952.83</c:v>
                </c:pt>
                <c:pt idx="3">
                  <c:v>36910.39</c:v>
                </c:pt>
                <c:pt idx="4">
                  <c:v>33018.99</c:v>
                </c:pt>
                <c:pt idx="5">
                  <c:v>29433.22</c:v>
                </c:pt>
                <c:pt idx="6">
                  <c:v>23816.13</c:v>
                </c:pt>
                <c:pt idx="7">
                  <c:v>24580.18</c:v>
                </c:pt>
                <c:pt idx="8">
                  <c:v>28316.13</c:v>
                </c:pt>
                <c:pt idx="9">
                  <c:v>28874.68</c:v>
                </c:pt>
                <c:pt idx="10">
                  <c:v>30803.24</c:v>
                </c:pt>
                <c:pt idx="11">
                  <c:v>25636.67</c:v>
                </c:pt>
              </c:numCache>
            </c:numRef>
          </c:val>
          <c:extLst>
            <c:ext xmlns:c16="http://schemas.microsoft.com/office/drawing/2014/chart" uri="{C3380CC4-5D6E-409C-BE32-E72D297353CC}">
              <c16:uniqueId val="{00000008-A354-442D-BFAB-4C14EF878990}"/>
            </c:ext>
          </c:extLst>
        </c:ser>
        <c:ser>
          <c:idx val="9"/>
          <c:order val="9"/>
          <c:tx>
            <c:v>FY19</c:v>
          </c:tx>
          <c:invertIfNegative val="0"/>
          <c:val>
            <c:numRef>
              <c:f>'FY Comparison'!$B$88:$B$99</c:f>
              <c:numCache>
                <c:formatCode>_(* #,##0.00_);_(* \(#,##0.00\);_(* "-"??_);_(@_)</c:formatCode>
                <c:ptCount val="12"/>
                <c:pt idx="0">
                  <c:v>29649.26</c:v>
                </c:pt>
                <c:pt idx="1">
                  <c:v>28956.35</c:v>
                </c:pt>
                <c:pt idx="2">
                  <c:v>39099.800000000003</c:v>
                </c:pt>
                <c:pt idx="3">
                  <c:v>32961.03</c:v>
                </c:pt>
                <c:pt idx="4">
                  <c:v>35137.26</c:v>
                </c:pt>
                <c:pt idx="5">
                  <c:v>30347.45</c:v>
                </c:pt>
                <c:pt idx="6">
                  <c:v>22580.47</c:v>
                </c:pt>
                <c:pt idx="7">
                  <c:v>26872.34</c:v>
                </c:pt>
                <c:pt idx="8">
                  <c:v>27776.02</c:v>
                </c:pt>
                <c:pt idx="9">
                  <c:v>30073.45</c:v>
                </c:pt>
                <c:pt idx="10">
                  <c:v>46634.42</c:v>
                </c:pt>
                <c:pt idx="11">
                  <c:v>45711.38</c:v>
                </c:pt>
              </c:numCache>
            </c:numRef>
          </c:val>
          <c:extLst>
            <c:ext xmlns:c16="http://schemas.microsoft.com/office/drawing/2014/chart" uri="{C3380CC4-5D6E-409C-BE32-E72D297353CC}">
              <c16:uniqueId val="{00000000-5469-4127-B878-8A6598B19E60}"/>
            </c:ext>
          </c:extLst>
        </c:ser>
        <c:dLbls>
          <c:showLegendKey val="0"/>
          <c:showVal val="0"/>
          <c:showCatName val="0"/>
          <c:showSerName val="0"/>
          <c:showPercent val="0"/>
          <c:showBubbleSize val="0"/>
        </c:dLbls>
        <c:gapWidth val="150"/>
        <c:axId val="166443264"/>
        <c:axId val="166445056"/>
      </c:barChart>
      <c:catAx>
        <c:axId val="166443264"/>
        <c:scaling>
          <c:orientation val="minMax"/>
        </c:scaling>
        <c:delete val="0"/>
        <c:axPos val="b"/>
        <c:numFmt formatCode="General" sourceLinked="0"/>
        <c:majorTickMark val="none"/>
        <c:minorTickMark val="none"/>
        <c:tickLblPos val="nextTo"/>
        <c:crossAx val="166445056"/>
        <c:crosses val="autoZero"/>
        <c:auto val="1"/>
        <c:lblAlgn val="ctr"/>
        <c:lblOffset val="100"/>
        <c:noMultiLvlLbl val="0"/>
      </c:catAx>
      <c:valAx>
        <c:axId val="166445056"/>
        <c:scaling>
          <c:orientation val="minMax"/>
          <c:max val="60000"/>
          <c:min val="0"/>
        </c:scaling>
        <c:delete val="0"/>
        <c:axPos val="l"/>
        <c:majorGridlines/>
        <c:title>
          <c:tx>
            <c:rich>
              <a:bodyPr/>
              <a:lstStyle/>
              <a:p>
                <a:pPr>
                  <a:defRPr/>
                </a:pPr>
                <a:r>
                  <a:rPr lang="en-US"/>
                  <a:t>Bill Amount</a:t>
                </a:r>
              </a:p>
            </c:rich>
          </c:tx>
          <c:layout/>
          <c:overlay val="0"/>
        </c:title>
        <c:numFmt formatCode="_(* #,##0.00_);_(* \(#,##0.00\);_(* &quot;-&quot;??_);_(@_)" sourceLinked="1"/>
        <c:majorTickMark val="none"/>
        <c:minorTickMark val="none"/>
        <c:tickLblPos val="nextTo"/>
        <c:crossAx val="166443264"/>
        <c:crosses val="autoZero"/>
        <c:crossBetween val="between"/>
        <c:majorUnit val="5000"/>
      </c:valAx>
      <c:dTable>
        <c:showHorzBorder val="1"/>
        <c:showVertBorder val="1"/>
        <c:showOutline val="1"/>
        <c:showKeys val="1"/>
      </c:dTable>
    </c:plotArea>
    <c:plotVisOnly val="1"/>
    <c:dispBlanksAs val="gap"/>
    <c:showDLblsOverMax val="0"/>
  </c:chart>
  <c:printSettings>
    <c:headerFooter/>
    <c:pageMargins b="0.75000000000001033" l="0.70000000000000062" r="0.70000000000000062" t="0.75000000000001033" header="0.30000000000000032" footer="0.30000000000000032"/>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City of Las Cruces Combined High Pressure Gas Bills Compared by Fiscal Year</a:t>
            </a:r>
          </a:p>
        </c:rich>
      </c:tx>
      <c:layout>
        <c:manualLayout>
          <c:xMode val="edge"/>
          <c:yMode val="edge"/>
          <c:x val="0.18155316892033177"/>
          <c:y val="5.0880794790755888E-3"/>
        </c:manualLayout>
      </c:layout>
      <c:overlay val="0"/>
    </c:title>
    <c:autoTitleDeleted val="0"/>
    <c:plotArea>
      <c:layout>
        <c:manualLayout>
          <c:layoutTarget val="inner"/>
          <c:xMode val="edge"/>
          <c:yMode val="edge"/>
          <c:x val="0.13501041982487944"/>
          <c:y val="0.13776884363807682"/>
          <c:w val="0.85289128805987979"/>
          <c:h val="0.53121122593804904"/>
        </c:manualLayout>
      </c:layout>
      <c:lineChart>
        <c:grouping val="standard"/>
        <c:varyColors val="0"/>
        <c:ser>
          <c:idx val="2"/>
          <c:order val="0"/>
          <c:tx>
            <c:strRef>
              <c:f>'FY Comparison'!$K$34:$K$35</c:f>
              <c:strCache>
                <c:ptCount val="2"/>
                <c:pt idx="0">
                  <c:v>FY10</c:v>
                </c:pt>
              </c:strCache>
            </c:strRef>
          </c:tx>
          <c:cat>
            <c:strRef>
              <c:f>'FY Comparison'!$A$36:$A$47</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Comparison'!$K$36:$K$47</c:f>
              <c:numCache>
                <c:formatCode>_(* #,##0.00_);_(* \(#,##0.00\);_(* "-"??_);_(@_)</c:formatCode>
                <c:ptCount val="12"/>
                <c:pt idx="0">
                  <c:v>213422.85</c:v>
                </c:pt>
                <c:pt idx="1">
                  <c:v>199628.36</c:v>
                </c:pt>
                <c:pt idx="2">
                  <c:v>168008.35</c:v>
                </c:pt>
                <c:pt idx="3">
                  <c:v>194736.78</c:v>
                </c:pt>
                <c:pt idx="4">
                  <c:v>273653.59999999998</c:v>
                </c:pt>
                <c:pt idx="5">
                  <c:v>294012.03999999998</c:v>
                </c:pt>
                <c:pt idx="6">
                  <c:v>393311.49</c:v>
                </c:pt>
                <c:pt idx="7">
                  <c:v>365339.49</c:v>
                </c:pt>
                <c:pt idx="8">
                  <c:v>283602.15000000002</c:v>
                </c:pt>
                <c:pt idx="9">
                  <c:v>262159.21999999997</c:v>
                </c:pt>
                <c:pt idx="10">
                  <c:v>254720.34</c:v>
                </c:pt>
                <c:pt idx="11">
                  <c:v>224177.43</c:v>
                </c:pt>
              </c:numCache>
            </c:numRef>
          </c:val>
          <c:smooth val="0"/>
          <c:extLst>
            <c:ext xmlns:c16="http://schemas.microsoft.com/office/drawing/2014/chart" uri="{C3380CC4-5D6E-409C-BE32-E72D297353CC}">
              <c16:uniqueId val="{00000000-3235-46A0-9E02-8289EABF538D}"/>
            </c:ext>
          </c:extLst>
        </c:ser>
        <c:ser>
          <c:idx val="1"/>
          <c:order val="1"/>
          <c:tx>
            <c:strRef>
              <c:f>'FY Comparison'!$J$34:$J$35</c:f>
              <c:strCache>
                <c:ptCount val="2"/>
                <c:pt idx="0">
                  <c:v>FY11</c:v>
                </c:pt>
              </c:strCache>
            </c:strRef>
          </c:tx>
          <c:cat>
            <c:strRef>
              <c:f>'FY Comparison'!$A$36:$A$47</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Comparison'!$J$36:$J$47</c:f>
              <c:numCache>
                <c:formatCode>_(* #,##0.00_);_(* \(#,##0.00\);_(* "-"??_);_(@_)</c:formatCode>
                <c:ptCount val="12"/>
                <c:pt idx="0">
                  <c:v>226441.05000000002</c:v>
                </c:pt>
                <c:pt idx="1">
                  <c:v>298530.90999999997</c:v>
                </c:pt>
                <c:pt idx="2">
                  <c:v>245590.49</c:v>
                </c:pt>
                <c:pt idx="3">
                  <c:v>230809.88</c:v>
                </c:pt>
                <c:pt idx="4">
                  <c:v>270953.63</c:v>
                </c:pt>
                <c:pt idx="5">
                  <c:v>351610.4</c:v>
                </c:pt>
                <c:pt idx="6">
                  <c:v>358038.21</c:v>
                </c:pt>
                <c:pt idx="7">
                  <c:v>323862.58999999997</c:v>
                </c:pt>
                <c:pt idx="8">
                  <c:v>267378.84000000003</c:v>
                </c:pt>
                <c:pt idx="9">
                  <c:v>182396</c:v>
                </c:pt>
                <c:pt idx="10">
                  <c:v>225594.55000000002</c:v>
                </c:pt>
                <c:pt idx="11">
                  <c:v>249666.15000000002</c:v>
                </c:pt>
              </c:numCache>
            </c:numRef>
          </c:val>
          <c:smooth val="0"/>
          <c:extLst>
            <c:ext xmlns:c16="http://schemas.microsoft.com/office/drawing/2014/chart" uri="{C3380CC4-5D6E-409C-BE32-E72D297353CC}">
              <c16:uniqueId val="{00000001-3235-46A0-9E02-8289EABF538D}"/>
            </c:ext>
          </c:extLst>
        </c:ser>
        <c:ser>
          <c:idx val="0"/>
          <c:order val="2"/>
          <c:tx>
            <c:strRef>
              <c:f>'FY Comparison'!$I$34:$I$35</c:f>
              <c:strCache>
                <c:ptCount val="2"/>
                <c:pt idx="0">
                  <c:v>FY12</c:v>
                </c:pt>
              </c:strCache>
            </c:strRef>
          </c:tx>
          <c:cat>
            <c:strRef>
              <c:f>'FY Comparison'!$A$36:$A$47</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Comparison'!$I$36:$I$47</c:f>
              <c:numCache>
                <c:formatCode>_(* #,##0.00_);_(* \(#,##0.00\);_(* "-"??_);_(@_)</c:formatCode>
                <c:ptCount val="12"/>
                <c:pt idx="0">
                  <c:v>249878.08</c:v>
                </c:pt>
                <c:pt idx="1">
                  <c:v>226341.05</c:v>
                </c:pt>
                <c:pt idx="2">
                  <c:v>226311.79</c:v>
                </c:pt>
                <c:pt idx="3">
                  <c:v>264171.75</c:v>
                </c:pt>
                <c:pt idx="4">
                  <c:v>283155.53999999998</c:v>
                </c:pt>
                <c:pt idx="5">
                  <c:v>324001.39</c:v>
                </c:pt>
                <c:pt idx="6">
                  <c:v>302231.59000000003</c:v>
                </c:pt>
                <c:pt idx="7">
                  <c:v>290673.02</c:v>
                </c:pt>
                <c:pt idx="8">
                  <c:v>244050.07</c:v>
                </c:pt>
                <c:pt idx="9">
                  <c:v>206238.71</c:v>
                </c:pt>
                <c:pt idx="10">
                  <c:v>211476.3</c:v>
                </c:pt>
                <c:pt idx="11">
                  <c:v>204985.85</c:v>
                </c:pt>
              </c:numCache>
            </c:numRef>
          </c:val>
          <c:smooth val="0"/>
          <c:extLst>
            <c:ext xmlns:c16="http://schemas.microsoft.com/office/drawing/2014/chart" uri="{C3380CC4-5D6E-409C-BE32-E72D297353CC}">
              <c16:uniqueId val="{00000002-3235-46A0-9E02-8289EABF538D}"/>
            </c:ext>
          </c:extLst>
        </c:ser>
        <c:ser>
          <c:idx val="3"/>
          <c:order val="3"/>
          <c:tx>
            <c:strRef>
              <c:f>'FY Comparison'!$H$34</c:f>
              <c:strCache>
                <c:ptCount val="1"/>
                <c:pt idx="0">
                  <c:v>FY13</c:v>
                </c:pt>
              </c:strCache>
            </c:strRef>
          </c:tx>
          <c:cat>
            <c:strRef>
              <c:f>'FY Comparison'!$A$36:$A$47</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Comparison'!$H$36:$H$47</c:f>
              <c:numCache>
                <c:formatCode>_(* #,##0.00_);_(* \(#,##0.00\);_(* "-"??_);_(@_)</c:formatCode>
                <c:ptCount val="12"/>
                <c:pt idx="0">
                  <c:v>207616.47</c:v>
                </c:pt>
                <c:pt idx="1">
                  <c:v>226875.55000000002</c:v>
                </c:pt>
                <c:pt idx="2">
                  <c:v>148877.27000000002</c:v>
                </c:pt>
                <c:pt idx="3">
                  <c:v>190550.08000000002</c:v>
                </c:pt>
                <c:pt idx="4">
                  <c:v>227169.35</c:v>
                </c:pt>
                <c:pt idx="5">
                  <c:v>218840.59</c:v>
                </c:pt>
                <c:pt idx="6">
                  <c:v>236085.03</c:v>
                </c:pt>
                <c:pt idx="7">
                  <c:v>228430.85</c:v>
                </c:pt>
                <c:pt idx="8">
                  <c:v>193823.1</c:v>
                </c:pt>
                <c:pt idx="9">
                  <c:v>203931.91</c:v>
                </c:pt>
                <c:pt idx="10">
                  <c:v>204957.99</c:v>
                </c:pt>
                <c:pt idx="11">
                  <c:v>214960.21</c:v>
                </c:pt>
              </c:numCache>
            </c:numRef>
          </c:val>
          <c:smooth val="0"/>
          <c:extLst>
            <c:ext xmlns:c16="http://schemas.microsoft.com/office/drawing/2014/chart" uri="{C3380CC4-5D6E-409C-BE32-E72D297353CC}">
              <c16:uniqueId val="{00000003-3235-46A0-9E02-8289EABF538D}"/>
            </c:ext>
          </c:extLst>
        </c:ser>
        <c:ser>
          <c:idx val="4"/>
          <c:order val="4"/>
          <c:tx>
            <c:v>FY14</c:v>
          </c:tx>
          <c:cat>
            <c:strRef>
              <c:f>'FY Comparison'!$A$36:$A$47</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Comparison'!$G$36:$G$47</c:f>
              <c:numCache>
                <c:formatCode>_(* #,##0.00_);_(* \(#,##0.00\);_(* "-"??_);_(@_)</c:formatCode>
                <c:ptCount val="12"/>
                <c:pt idx="0">
                  <c:v>157865.85999999999</c:v>
                </c:pt>
                <c:pt idx="1">
                  <c:v>184914.88</c:v>
                </c:pt>
                <c:pt idx="2">
                  <c:v>181517.77</c:v>
                </c:pt>
                <c:pt idx="3">
                  <c:v>183200.05</c:v>
                </c:pt>
                <c:pt idx="4">
                  <c:v>198274.57</c:v>
                </c:pt>
                <c:pt idx="5">
                  <c:v>237321.11</c:v>
                </c:pt>
                <c:pt idx="6">
                  <c:v>337364.89</c:v>
                </c:pt>
                <c:pt idx="7">
                  <c:v>295816.88</c:v>
                </c:pt>
                <c:pt idx="8">
                  <c:v>298235.21000000002</c:v>
                </c:pt>
                <c:pt idx="9">
                  <c:v>183210.93</c:v>
                </c:pt>
                <c:pt idx="10">
                  <c:v>255296.65</c:v>
                </c:pt>
                <c:pt idx="11">
                  <c:v>238853.12</c:v>
                </c:pt>
              </c:numCache>
            </c:numRef>
          </c:val>
          <c:smooth val="0"/>
          <c:extLst>
            <c:ext xmlns:c16="http://schemas.microsoft.com/office/drawing/2014/chart" uri="{C3380CC4-5D6E-409C-BE32-E72D297353CC}">
              <c16:uniqueId val="{00000004-3235-46A0-9E02-8289EABF538D}"/>
            </c:ext>
          </c:extLst>
        </c:ser>
        <c:ser>
          <c:idx val="5"/>
          <c:order val="5"/>
          <c:tx>
            <c:v>FY15</c:v>
          </c:tx>
          <c:cat>
            <c:strRef>
              <c:f>'FY Comparison'!$A$36:$A$47</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Comparison'!$F$36:$F$47</c:f>
              <c:numCache>
                <c:formatCode>_(* #,##0.00_);_(* \(#,##0.00\);_(* "-"??_);_(@_)</c:formatCode>
                <c:ptCount val="12"/>
                <c:pt idx="0">
                  <c:v>229531.25</c:v>
                </c:pt>
                <c:pt idx="1">
                  <c:v>230219.66</c:v>
                </c:pt>
                <c:pt idx="2">
                  <c:v>211271.36</c:v>
                </c:pt>
                <c:pt idx="3">
                  <c:v>225990.86</c:v>
                </c:pt>
                <c:pt idx="4">
                  <c:v>214746.56999999998</c:v>
                </c:pt>
                <c:pt idx="5">
                  <c:v>278098.91000000003</c:v>
                </c:pt>
                <c:pt idx="6">
                  <c:v>243376.89</c:v>
                </c:pt>
                <c:pt idx="7">
                  <c:v>188303.8</c:v>
                </c:pt>
                <c:pt idx="8">
                  <c:v>164007.82999999999</c:v>
                </c:pt>
                <c:pt idx="9">
                  <c:v>163644.53</c:v>
                </c:pt>
                <c:pt idx="10">
                  <c:v>152024.74</c:v>
                </c:pt>
                <c:pt idx="11">
                  <c:v>166091.59</c:v>
                </c:pt>
              </c:numCache>
            </c:numRef>
          </c:val>
          <c:smooth val="0"/>
          <c:extLst>
            <c:ext xmlns:c16="http://schemas.microsoft.com/office/drawing/2014/chart" uri="{C3380CC4-5D6E-409C-BE32-E72D297353CC}">
              <c16:uniqueId val="{00000005-3235-46A0-9E02-8289EABF538D}"/>
            </c:ext>
          </c:extLst>
        </c:ser>
        <c:ser>
          <c:idx val="6"/>
          <c:order val="6"/>
          <c:tx>
            <c:v>FY16</c:v>
          </c:tx>
          <c:val>
            <c:numRef>
              <c:f>'FY Comparison'!$E$36:$E$47</c:f>
              <c:numCache>
                <c:formatCode>_(* #,##0.00_);_(* \(#,##0.00\);_(* "-"??_);_(@_)</c:formatCode>
                <c:ptCount val="12"/>
                <c:pt idx="0">
                  <c:v>154675.18</c:v>
                </c:pt>
                <c:pt idx="1">
                  <c:v>168713.15999999997</c:v>
                </c:pt>
                <c:pt idx="2">
                  <c:v>143746.88</c:v>
                </c:pt>
                <c:pt idx="3">
                  <c:v>157733.59</c:v>
                </c:pt>
                <c:pt idx="4">
                  <c:v>142753.38</c:v>
                </c:pt>
                <c:pt idx="5">
                  <c:v>197334.07</c:v>
                </c:pt>
                <c:pt idx="6">
                  <c:v>203507.69</c:v>
                </c:pt>
                <c:pt idx="7">
                  <c:v>166691.89000000001</c:v>
                </c:pt>
                <c:pt idx="8">
                  <c:v>120339.75</c:v>
                </c:pt>
                <c:pt idx="9">
                  <c:v>120135.2</c:v>
                </c:pt>
                <c:pt idx="10">
                  <c:v>144887.56</c:v>
                </c:pt>
                <c:pt idx="11">
                  <c:v>151523.16999999998</c:v>
                </c:pt>
              </c:numCache>
            </c:numRef>
          </c:val>
          <c:smooth val="0"/>
          <c:extLst>
            <c:ext xmlns:c16="http://schemas.microsoft.com/office/drawing/2014/chart" uri="{C3380CC4-5D6E-409C-BE32-E72D297353CC}">
              <c16:uniqueId val="{00000006-3235-46A0-9E02-8289EABF538D}"/>
            </c:ext>
          </c:extLst>
        </c:ser>
        <c:ser>
          <c:idx val="8"/>
          <c:order val="7"/>
          <c:tx>
            <c:v>FY17</c:v>
          </c:tx>
          <c:val>
            <c:numRef>
              <c:f>'FY Comparison'!$D$36:$D$47</c:f>
              <c:numCache>
                <c:formatCode>_(* #,##0.00_);_(* \(#,##0.00\);_(* "-"??_);_(@_)</c:formatCode>
                <c:ptCount val="12"/>
                <c:pt idx="0">
                  <c:v>169944.32000000001</c:v>
                </c:pt>
                <c:pt idx="1">
                  <c:v>183859.27</c:v>
                </c:pt>
                <c:pt idx="2">
                  <c:v>198983.98</c:v>
                </c:pt>
                <c:pt idx="3">
                  <c:v>205517.19</c:v>
                </c:pt>
                <c:pt idx="4">
                  <c:v>168026.99</c:v>
                </c:pt>
                <c:pt idx="5">
                  <c:v>255106.54</c:v>
                </c:pt>
                <c:pt idx="6">
                  <c:v>187575.52</c:v>
                </c:pt>
                <c:pt idx="7">
                  <c:v>241261.14</c:v>
                </c:pt>
                <c:pt idx="8">
                  <c:v>185968.46</c:v>
                </c:pt>
                <c:pt idx="9">
                  <c:v>156227.56</c:v>
                </c:pt>
                <c:pt idx="10">
                  <c:v>150699.9</c:v>
                </c:pt>
                <c:pt idx="11">
                  <c:v>178706.4</c:v>
                </c:pt>
              </c:numCache>
            </c:numRef>
          </c:val>
          <c:smooth val="0"/>
          <c:extLst>
            <c:ext xmlns:c16="http://schemas.microsoft.com/office/drawing/2014/chart" uri="{C3380CC4-5D6E-409C-BE32-E72D297353CC}">
              <c16:uniqueId val="{00000007-3235-46A0-9E02-8289EABF538D}"/>
            </c:ext>
          </c:extLst>
        </c:ser>
        <c:ser>
          <c:idx val="7"/>
          <c:order val="8"/>
          <c:tx>
            <c:v>FY18</c:v>
          </c:tx>
          <c:val>
            <c:numRef>
              <c:f>'FY Comparison'!$C$36:$C$47</c:f>
              <c:numCache>
                <c:formatCode>_(* #,##0.00_);_(* \(#,##0.00\);_(* "-"??_);_(@_)</c:formatCode>
                <c:ptCount val="12"/>
                <c:pt idx="0">
                  <c:v>169749.38999999998</c:v>
                </c:pt>
                <c:pt idx="1">
                  <c:v>163989.28000000003</c:v>
                </c:pt>
                <c:pt idx="2">
                  <c:v>166220.29999999999</c:v>
                </c:pt>
                <c:pt idx="3">
                  <c:v>165455.56</c:v>
                </c:pt>
                <c:pt idx="4">
                  <c:v>158439.94</c:v>
                </c:pt>
                <c:pt idx="5">
                  <c:v>181619.84</c:v>
                </c:pt>
                <c:pt idx="6">
                  <c:v>226806.87</c:v>
                </c:pt>
                <c:pt idx="7">
                  <c:v>206405.59999999998</c:v>
                </c:pt>
                <c:pt idx="8">
                  <c:v>142763.74</c:v>
                </c:pt>
                <c:pt idx="9">
                  <c:v>114445.83</c:v>
                </c:pt>
                <c:pt idx="10">
                  <c:v>63965.09</c:v>
                </c:pt>
                <c:pt idx="11">
                  <c:v>105931.72</c:v>
                </c:pt>
              </c:numCache>
            </c:numRef>
          </c:val>
          <c:smooth val="0"/>
          <c:extLst>
            <c:ext xmlns:c16="http://schemas.microsoft.com/office/drawing/2014/chart" uri="{C3380CC4-5D6E-409C-BE32-E72D297353CC}">
              <c16:uniqueId val="{00000008-3235-46A0-9E02-8289EABF538D}"/>
            </c:ext>
          </c:extLst>
        </c:ser>
        <c:ser>
          <c:idx val="9"/>
          <c:order val="9"/>
          <c:tx>
            <c:v>FY19</c:v>
          </c:tx>
          <c:val>
            <c:numRef>
              <c:f>'FY Comparison'!$B$36:$B$47</c:f>
              <c:numCache>
                <c:formatCode>_(* #,##0.00_);_(* \(#,##0.00\);_(* "-"??_);_(@_)</c:formatCode>
                <c:ptCount val="12"/>
                <c:pt idx="0">
                  <c:v>135611.42000000001</c:v>
                </c:pt>
                <c:pt idx="1">
                  <c:v>173137.03</c:v>
                </c:pt>
                <c:pt idx="2">
                  <c:v>163383.56</c:v>
                </c:pt>
                <c:pt idx="3">
                  <c:v>126720.64</c:v>
                </c:pt>
                <c:pt idx="4">
                  <c:v>186706.67999999996</c:v>
                </c:pt>
                <c:pt idx="5">
                  <c:v>189882.19999999998</c:v>
                </c:pt>
                <c:pt idx="6">
                  <c:v>256295.6</c:v>
                </c:pt>
                <c:pt idx="7">
                  <c:v>211346.15000000002</c:v>
                </c:pt>
                <c:pt idx="8">
                  <c:v>151129.07</c:v>
                </c:pt>
                <c:pt idx="9">
                  <c:v>140851.69999999998</c:v>
                </c:pt>
                <c:pt idx="10">
                  <c:v>111222.33</c:v>
                </c:pt>
                <c:pt idx="11">
                  <c:v>131388.35</c:v>
                </c:pt>
              </c:numCache>
            </c:numRef>
          </c:val>
          <c:smooth val="0"/>
          <c:extLst>
            <c:ext xmlns:c16="http://schemas.microsoft.com/office/drawing/2014/chart" uri="{C3380CC4-5D6E-409C-BE32-E72D297353CC}">
              <c16:uniqueId val="{00000000-A548-44B2-BE71-BAD088E7E33F}"/>
            </c:ext>
          </c:extLst>
        </c:ser>
        <c:dLbls>
          <c:showLegendKey val="0"/>
          <c:showVal val="0"/>
          <c:showCatName val="0"/>
          <c:showSerName val="0"/>
          <c:showPercent val="0"/>
          <c:showBubbleSize val="0"/>
        </c:dLbls>
        <c:marker val="1"/>
        <c:smooth val="0"/>
        <c:axId val="166539264"/>
        <c:axId val="166540800"/>
      </c:lineChart>
      <c:catAx>
        <c:axId val="166539264"/>
        <c:scaling>
          <c:orientation val="minMax"/>
        </c:scaling>
        <c:delete val="0"/>
        <c:axPos val="b"/>
        <c:numFmt formatCode="General" sourceLinked="0"/>
        <c:majorTickMark val="none"/>
        <c:minorTickMark val="none"/>
        <c:tickLblPos val="nextTo"/>
        <c:crossAx val="166540800"/>
        <c:crosses val="autoZero"/>
        <c:auto val="1"/>
        <c:lblAlgn val="ctr"/>
        <c:lblOffset val="100"/>
        <c:noMultiLvlLbl val="0"/>
      </c:catAx>
      <c:valAx>
        <c:axId val="166540800"/>
        <c:scaling>
          <c:orientation val="minMax"/>
          <c:max val="500000"/>
          <c:min val="0"/>
        </c:scaling>
        <c:delete val="0"/>
        <c:axPos val="l"/>
        <c:majorGridlines/>
        <c:title>
          <c:tx>
            <c:rich>
              <a:bodyPr/>
              <a:lstStyle/>
              <a:p>
                <a:pPr>
                  <a:defRPr/>
                </a:pPr>
                <a:r>
                  <a:rPr lang="en-US"/>
                  <a:t>Bill Amount</a:t>
                </a:r>
              </a:p>
            </c:rich>
          </c:tx>
          <c:layout/>
          <c:overlay val="0"/>
        </c:title>
        <c:numFmt formatCode="_(* #,##0.00_);_(* \(#,##0.00\);_(* &quot;-&quot;??_);_(@_)" sourceLinked="1"/>
        <c:majorTickMark val="none"/>
        <c:minorTickMark val="none"/>
        <c:tickLblPos val="nextTo"/>
        <c:crossAx val="166539264"/>
        <c:crosses val="autoZero"/>
        <c:crossBetween val="between"/>
        <c:majorUnit val="50000"/>
      </c:valAx>
      <c:dTable>
        <c:showHorzBorder val="1"/>
        <c:showVertBorder val="1"/>
        <c:showOutline val="1"/>
        <c:showKeys val="1"/>
      </c:dTable>
    </c:plotArea>
    <c:plotVisOnly val="1"/>
    <c:dispBlanksAs val="gap"/>
    <c:showDLblsOverMax val="0"/>
  </c:chart>
  <c:printSettings>
    <c:headerFooter/>
    <c:pageMargins b="0.75000000000000921" l="0.70000000000000062" r="0.70000000000000062" t="0.75000000000000921"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El Paso Electric - Tortugas Substation Bills Compared by Fiscal Year</a:t>
            </a:r>
          </a:p>
        </c:rich>
      </c:tx>
      <c:layout>
        <c:manualLayout>
          <c:xMode val="edge"/>
          <c:yMode val="edge"/>
          <c:x val="0.23437582403480953"/>
          <c:y val="0"/>
        </c:manualLayout>
      </c:layout>
      <c:overlay val="0"/>
    </c:title>
    <c:autoTitleDeleted val="0"/>
    <c:plotArea>
      <c:layout>
        <c:manualLayout>
          <c:layoutTarget val="inner"/>
          <c:xMode val="edge"/>
          <c:yMode val="edge"/>
          <c:x val="0.1069827340859501"/>
          <c:y val="8.3014835409724722E-2"/>
          <c:w val="0.88220863676110539"/>
          <c:h val="0.52340647960992293"/>
        </c:manualLayout>
      </c:layout>
      <c:barChart>
        <c:barDir val="col"/>
        <c:grouping val="clustered"/>
        <c:varyColors val="0"/>
        <c:ser>
          <c:idx val="2"/>
          <c:order val="0"/>
          <c:tx>
            <c:strRef>
              <c:f>'FY Comparison'!$K$8:$K$9</c:f>
              <c:strCache>
                <c:ptCount val="2"/>
                <c:pt idx="0">
                  <c:v>FY10</c:v>
                </c:pt>
              </c:strCache>
            </c:strRef>
          </c:tx>
          <c:invertIfNegative val="0"/>
          <c:dPt>
            <c:idx val="0"/>
            <c:invertIfNegative val="0"/>
            <c:bubble3D val="0"/>
            <c:extLst>
              <c:ext xmlns:c16="http://schemas.microsoft.com/office/drawing/2014/chart" uri="{C3380CC4-5D6E-409C-BE32-E72D297353CC}">
                <c16:uniqueId val="{00000000-8347-4414-B4E7-DC316F952043}"/>
              </c:ext>
            </c:extLst>
          </c:dPt>
          <c:cat>
            <c:strRef>
              <c:f>'FY Comparison'!$A$10:$A$21</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Comparison'!$K$10:$K$21</c:f>
              <c:numCache>
                <c:formatCode>_(* #,##0.00_);_(* \(#,##0.00\);_(* "-"??_);_(@_)</c:formatCode>
                <c:ptCount val="12"/>
                <c:pt idx="0">
                  <c:v>369555.94</c:v>
                </c:pt>
                <c:pt idx="1">
                  <c:v>440712.66</c:v>
                </c:pt>
                <c:pt idx="2">
                  <c:v>351836.87</c:v>
                </c:pt>
                <c:pt idx="3">
                  <c:v>303596.09000000003</c:v>
                </c:pt>
                <c:pt idx="4">
                  <c:v>236643.81</c:v>
                </c:pt>
                <c:pt idx="5">
                  <c:v>219845.27</c:v>
                </c:pt>
                <c:pt idx="6">
                  <c:v>176873.21</c:v>
                </c:pt>
                <c:pt idx="7">
                  <c:v>203559.06</c:v>
                </c:pt>
                <c:pt idx="8">
                  <c:v>209517.74</c:v>
                </c:pt>
                <c:pt idx="9">
                  <c:v>256829.44</c:v>
                </c:pt>
                <c:pt idx="10">
                  <c:v>253534.12</c:v>
                </c:pt>
                <c:pt idx="11">
                  <c:v>367515.55</c:v>
                </c:pt>
              </c:numCache>
            </c:numRef>
          </c:val>
          <c:extLst>
            <c:ext xmlns:c16="http://schemas.microsoft.com/office/drawing/2014/chart" uri="{C3380CC4-5D6E-409C-BE32-E72D297353CC}">
              <c16:uniqueId val="{00000001-8347-4414-B4E7-DC316F952043}"/>
            </c:ext>
          </c:extLst>
        </c:ser>
        <c:ser>
          <c:idx val="1"/>
          <c:order val="1"/>
          <c:tx>
            <c:strRef>
              <c:f>'FY Comparison'!$J$8:$J$9</c:f>
              <c:strCache>
                <c:ptCount val="2"/>
                <c:pt idx="0">
                  <c:v>FY11</c:v>
                </c:pt>
              </c:strCache>
            </c:strRef>
          </c:tx>
          <c:invertIfNegative val="0"/>
          <c:cat>
            <c:strRef>
              <c:f>'FY Comparison'!$A$10:$A$21</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Comparison'!$J$10:$J$21</c:f>
              <c:numCache>
                <c:formatCode>_(* #,##0.00_);_(* \(#,##0.00\);_(* "-"??_);_(@_)</c:formatCode>
                <c:ptCount val="12"/>
                <c:pt idx="0">
                  <c:v>526366.99</c:v>
                </c:pt>
                <c:pt idx="1">
                  <c:v>562270.96</c:v>
                </c:pt>
                <c:pt idx="2">
                  <c:v>553253.39</c:v>
                </c:pt>
                <c:pt idx="3">
                  <c:v>237916.54</c:v>
                </c:pt>
                <c:pt idx="4">
                  <c:v>211594.81</c:v>
                </c:pt>
                <c:pt idx="5">
                  <c:v>161247.19</c:v>
                </c:pt>
                <c:pt idx="6">
                  <c:v>137039.19</c:v>
                </c:pt>
                <c:pt idx="7">
                  <c:v>197465.58</c:v>
                </c:pt>
                <c:pt idx="8">
                  <c:v>225757.19</c:v>
                </c:pt>
                <c:pt idx="9">
                  <c:v>268306.65999999997</c:v>
                </c:pt>
                <c:pt idx="10">
                  <c:v>186881.78</c:v>
                </c:pt>
                <c:pt idx="11">
                  <c:v>419055.41</c:v>
                </c:pt>
              </c:numCache>
            </c:numRef>
          </c:val>
          <c:extLst>
            <c:ext xmlns:c16="http://schemas.microsoft.com/office/drawing/2014/chart" uri="{C3380CC4-5D6E-409C-BE32-E72D297353CC}">
              <c16:uniqueId val="{00000002-8347-4414-B4E7-DC316F952043}"/>
            </c:ext>
          </c:extLst>
        </c:ser>
        <c:ser>
          <c:idx val="0"/>
          <c:order val="2"/>
          <c:tx>
            <c:strRef>
              <c:f>'FY Comparison'!$I$8:$I$9</c:f>
              <c:strCache>
                <c:ptCount val="2"/>
                <c:pt idx="0">
                  <c:v>FY12</c:v>
                </c:pt>
              </c:strCache>
            </c:strRef>
          </c:tx>
          <c:invertIfNegative val="0"/>
          <c:cat>
            <c:strRef>
              <c:f>'FY Comparison'!$A$10:$A$21</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Comparison'!$I$10:$I$21</c:f>
              <c:numCache>
                <c:formatCode>_(* #,##0.00_);_(* \(#,##0.00\);_(* "-"??_);_(@_)</c:formatCode>
                <c:ptCount val="12"/>
                <c:pt idx="0">
                  <c:v>526676.06999999995</c:v>
                </c:pt>
                <c:pt idx="1">
                  <c:v>518760.58</c:v>
                </c:pt>
                <c:pt idx="2">
                  <c:v>540927.32999999996</c:v>
                </c:pt>
                <c:pt idx="3">
                  <c:v>307853.26</c:v>
                </c:pt>
                <c:pt idx="4">
                  <c:v>191143.84</c:v>
                </c:pt>
                <c:pt idx="5">
                  <c:v>200667.12</c:v>
                </c:pt>
                <c:pt idx="6">
                  <c:v>177649.98</c:v>
                </c:pt>
                <c:pt idx="7">
                  <c:v>210091.84</c:v>
                </c:pt>
                <c:pt idx="8">
                  <c:v>235677.97</c:v>
                </c:pt>
                <c:pt idx="9">
                  <c:v>242141.69</c:v>
                </c:pt>
                <c:pt idx="10">
                  <c:v>213244.9</c:v>
                </c:pt>
                <c:pt idx="11">
                  <c:v>325237.69</c:v>
                </c:pt>
              </c:numCache>
            </c:numRef>
          </c:val>
          <c:extLst>
            <c:ext xmlns:c16="http://schemas.microsoft.com/office/drawing/2014/chart" uri="{C3380CC4-5D6E-409C-BE32-E72D297353CC}">
              <c16:uniqueId val="{00000003-8347-4414-B4E7-DC316F952043}"/>
            </c:ext>
          </c:extLst>
        </c:ser>
        <c:ser>
          <c:idx val="3"/>
          <c:order val="3"/>
          <c:tx>
            <c:strRef>
              <c:f>'FY Comparison'!$H$8</c:f>
              <c:strCache>
                <c:ptCount val="1"/>
                <c:pt idx="0">
                  <c:v>FY13</c:v>
                </c:pt>
              </c:strCache>
            </c:strRef>
          </c:tx>
          <c:invertIfNegative val="0"/>
          <c:cat>
            <c:strRef>
              <c:f>'FY Comparison'!$A$10:$A$21</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Comparison'!$H$10:$H$21</c:f>
              <c:numCache>
                <c:formatCode>_(* #,##0.00_);_(* \(#,##0.00\);_(* "-"??_);_(@_)</c:formatCode>
                <c:ptCount val="12"/>
                <c:pt idx="0">
                  <c:v>465248.36</c:v>
                </c:pt>
                <c:pt idx="1">
                  <c:v>472001.39</c:v>
                </c:pt>
                <c:pt idx="2">
                  <c:v>485357.92</c:v>
                </c:pt>
                <c:pt idx="3">
                  <c:v>343798.88</c:v>
                </c:pt>
                <c:pt idx="4">
                  <c:v>191077.36</c:v>
                </c:pt>
                <c:pt idx="5">
                  <c:v>239678.45</c:v>
                </c:pt>
                <c:pt idx="6">
                  <c:v>167002.54</c:v>
                </c:pt>
                <c:pt idx="7">
                  <c:v>209384.85</c:v>
                </c:pt>
                <c:pt idx="8">
                  <c:v>210802.55</c:v>
                </c:pt>
                <c:pt idx="9">
                  <c:v>252361.24</c:v>
                </c:pt>
                <c:pt idx="10">
                  <c:v>232840.24</c:v>
                </c:pt>
                <c:pt idx="11">
                  <c:v>423134.41</c:v>
                </c:pt>
              </c:numCache>
            </c:numRef>
          </c:val>
          <c:extLst>
            <c:ext xmlns:c16="http://schemas.microsoft.com/office/drawing/2014/chart" uri="{C3380CC4-5D6E-409C-BE32-E72D297353CC}">
              <c16:uniqueId val="{00000004-8347-4414-B4E7-DC316F952043}"/>
            </c:ext>
          </c:extLst>
        </c:ser>
        <c:ser>
          <c:idx val="4"/>
          <c:order val="4"/>
          <c:tx>
            <c:v>FY14</c:v>
          </c:tx>
          <c:invertIfNegative val="0"/>
          <c:cat>
            <c:strRef>
              <c:f>'FY Comparison'!$A$10:$A$21</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Comparison'!$G$10:$G$21</c:f>
              <c:numCache>
                <c:formatCode>_(* #,##0.00_);_(* \(#,##0.00\);_(* "-"??_);_(@_)</c:formatCode>
                <c:ptCount val="12"/>
                <c:pt idx="0">
                  <c:v>573283.62</c:v>
                </c:pt>
                <c:pt idx="1">
                  <c:v>500966.89</c:v>
                </c:pt>
                <c:pt idx="2">
                  <c:v>438550.29</c:v>
                </c:pt>
                <c:pt idx="3">
                  <c:v>270730.38</c:v>
                </c:pt>
                <c:pt idx="4">
                  <c:v>198519.04000000001</c:v>
                </c:pt>
                <c:pt idx="5">
                  <c:v>175945.06</c:v>
                </c:pt>
                <c:pt idx="6">
                  <c:v>157351.84</c:v>
                </c:pt>
                <c:pt idx="7">
                  <c:v>218500.43</c:v>
                </c:pt>
                <c:pt idx="8">
                  <c:v>223299.54</c:v>
                </c:pt>
                <c:pt idx="9">
                  <c:v>348296.94</c:v>
                </c:pt>
                <c:pt idx="10">
                  <c:v>246881.94</c:v>
                </c:pt>
                <c:pt idx="11">
                  <c:v>402792.87</c:v>
                </c:pt>
              </c:numCache>
            </c:numRef>
          </c:val>
          <c:extLst>
            <c:ext xmlns:c16="http://schemas.microsoft.com/office/drawing/2014/chart" uri="{C3380CC4-5D6E-409C-BE32-E72D297353CC}">
              <c16:uniqueId val="{00000005-8347-4414-B4E7-DC316F952043}"/>
            </c:ext>
          </c:extLst>
        </c:ser>
        <c:ser>
          <c:idx val="5"/>
          <c:order val="5"/>
          <c:tx>
            <c:v>FY15</c:v>
          </c:tx>
          <c:invertIfNegative val="0"/>
          <c:cat>
            <c:strRef>
              <c:f>'FY Comparison'!$A$10:$A$21</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Comparison'!$F$10:$F$21</c:f>
              <c:numCache>
                <c:formatCode>_(* #,##0.00_);_(* \(#,##0.00\);_(* "-"??_);_(@_)</c:formatCode>
                <c:ptCount val="12"/>
                <c:pt idx="0">
                  <c:v>467027.38</c:v>
                </c:pt>
                <c:pt idx="1">
                  <c:v>449159</c:v>
                </c:pt>
                <c:pt idx="2">
                  <c:v>461417.89</c:v>
                </c:pt>
                <c:pt idx="3">
                  <c:v>283506.24</c:v>
                </c:pt>
                <c:pt idx="4">
                  <c:v>182111.63</c:v>
                </c:pt>
                <c:pt idx="5">
                  <c:v>185112.44</c:v>
                </c:pt>
                <c:pt idx="6">
                  <c:v>158897.03</c:v>
                </c:pt>
                <c:pt idx="7">
                  <c:v>194384.01</c:v>
                </c:pt>
                <c:pt idx="8">
                  <c:v>177942.78</c:v>
                </c:pt>
                <c:pt idx="9">
                  <c:v>198450.27</c:v>
                </c:pt>
                <c:pt idx="10">
                  <c:v>177435.12</c:v>
                </c:pt>
                <c:pt idx="11">
                  <c:v>342829.35</c:v>
                </c:pt>
              </c:numCache>
            </c:numRef>
          </c:val>
          <c:extLst>
            <c:ext xmlns:c16="http://schemas.microsoft.com/office/drawing/2014/chart" uri="{C3380CC4-5D6E-409C-BE32-E72D297353CC}">
              <c16:uniqueId val="{00000006-8347-4414-B4E7-DC316F952043}"/>
            </c:ext>
          </c:extLst>
        </c:ser>
        <c:ser>
          <c:idx val="6"/>
          <c:order val="6"/>
          <c:tx>
            <c:v>FY16</c:v>
          </c:tx>
          <c:invertIfNegative val="0"/>
          <c:val>
            <c:numRef>
              <c:f>'FY Comparison'!$E$10:$E$21</c:f>
              <c:numCache>
                <c:formatCode>_(* #,##0.00_);_(* \(#,##0.00\);_(* "-"??_);_(@_)</c:formatCode>
                <c:ptCount val="12"/>
                <c:pt idx="0">
                  <c:v>405995.21</c:v>
                </c:pt>
                <c:pt idx="1">
                  <c:v>435387.75</c:v>
                </c:pt>
                <c:pt idx="2">
                  <c:v>431740.59</c:v>
                </c:pt>
                <c:pt idx="3">
                  <c:v>236858.7</c:v>
                </c:pt>
                <c:pt idx="4">
                  <c:v>170146.15</c:v>
                </c:pt>
                <c:pt idx="5">
                  <c:v>140912.75</c:v>
                </c:pt>
                <c:pt idx="6">
                  <c:v>120612.6</c:v>
                </c:pt>
                <c:pt idx="7">
                  <c:v>154907.47</c:v>
                </c:pt>
                <c:pt idx="8">
                  <c:v>150944.26999999999</c:v>
                </c:pt>
                <c:pt idx="9">
                  <c:v>171667.95</c:v>
                </c:pt>
                <c:pt idx="10">
                  <c:v>157682.98000000001</c:v>
                </c:pt>
                <c:pt idx="11">
                  <c:v>245565.17</c:v>
                </c:pt>
              </c:numCache>
            </c:numRef>
          </c:val>
          <c:extLst>
            <c:ext xmlns:c16="http://schemas.microsoft.com/office/drawing/2014/chart" uri="{C3380CC4-5D6E-409C-BE32-E72D297353CC}">
              <c16:uniqueId val="{00000007-8347-4414-B4E7-DC316F952043}"/>
            </c:ext>
          </c:extLst>
        </c:ser>
        <c:ser>
          <c:idx val="8"/>
          <c:order val="7"/>
          <c:tx>
            <c:v>FY17</c:v>
          </c:tx>
          <c:invertIfNegative val="0"/>
          <c:val>
            <c:numRef>
              <c:f>'FY Comparison'!$D$10:$D$21</c:f>
              <c:numCache>
                <c:formatCode>_(* #,##0.00_);_(* \(#,##0.00\);_(* "-"??_);_(@_)</c:formatCode>
                <c:ptCount val="12"/>
                <c:pt idx="0">
                  <c:v>301489.83</c:v>
                </c:pt>
                <c:pt idx="1">
                  <c:v>334142.46000000002</c:v>
                </c:pt>
                <c:pt idx="2">
                  <c:v>344293.6</c:v>
                </c:pt>
                <c:pt idx="3">
                  <c:v>201850.75</c:v>
                </c:pt>
                <c:pt idx="4">
                  <c:v>119187.05</c:v>
                </c:pt>
                <c:pt idx="5">
                  <c:v>127577.86</c:v>
                </c:pt>
                <c:pt idx="6">
                  <c:v>137455.20000000001</c:v>
                </c:pt>
                <c:pt idx="7">
                  <c:v>137135.85</c:v>
                </c:pt>
                <c:pt idx="8">
                  <c:v>147267.17000000001</c:v>
                </c:pt>
                <c:pt idx="9">
                  <c:v>146648.67000000001</c:v>
                </c:pt>
                <c:pt idx="10">
                  <c:v>172491.13</c:v>
                </c:pt>
                <c:pt idx="11">
                  <c:v>346826.74</c:v>
                </c:pt>
              </c:numCache>
            </c:numRef>
          </c:val>
          <c:extLst>
            <c:ext xmlns:c16="http://schemas.microsoft.com/office/drawing/2014/chart" uri="{C3380CC4-5D6E-409C-BE32-E72D297353CC}">
              <c16:uniqueId val="{00000008-8347-4414-B4E7-DC316F952043}"/>
            </c:ext>
          </c:extLst>
        </c:ser>
        <c:ser>
          <c:idx val="7"/>
          <c:order val="8"/>
          <c:tx>
            <c:v>FY18</c:v>
          </c:tx>
          <c:invertIfNegative val="0"/>
          <c:val>
            <c:numRef>
              <c:f>'FY Comparison'!$C$10:$C$21</c:f>
              <c:numCache>
                <c:formatCode>_(* #,##0.00_);_(* \(#,##0.00\);_(* "-"??_);_(@_)</c:formatCode>
                <c:ptCount val="12"/>
                <c:pt idx="0">
                  <c:v>338467.86</c:v>
                </c:pt>
                <c:pt idx="1">
                  <c:v>319830.86</c:v>
                </c:pt>
                <c:pt idx="2">
                  <c:v>280155.89</c:v>
                </c:pt>
                <c:pt idx="3">
                  <c:v>167275.34</c:v>
                </c:pt>
                <c:pt idx="4">
                  <c:v>124609.14</c:v>
                </c:pt>
                <c:pt idx="5">
                  <c:v>131939.68</c:v>
                </c:pt>
                <c:pt idx="6">
                  <c:v>124440.06</c:v>
                </c:pt>
                <c:pt idx="7">
                  <c:v>126432.22</c:v>
                </c:pt>
                <c:pt idx="8">
                  <c:v>134332.94</c:v>
                </c:pt>
                <c:pt idx="9">
                  <c:v>138816.95000000001</c:v>
                </c:pt>
                <c:pt idx="10">
                  <c:v>247175.19</c:v>
                </c:pt>
                <c:pt idx="11">
                  <c:v>387608.01</c:v>
                </c:pt>
              </c:numCache>
            </c:numRef>
          </c:val>
          <c:extLst>
            <c:ext xmlns:c16="http://schemas.microsoft.com/office/drawing/2014/chart" uri="{C3380CC4-5D6E-409C-BE32-E72D297353CC}">
              <c16:uniqueId val="{00000009-8347-4414-B4E7-DC316F952043}"/>
            </c:ext>
          </c:extLst>
        </c:ser>
        <c:ser>
          <c:idx val="9"/>
          <c:order val="9"/>
          <c:tx>
            <c:v>FY19</c:v>
          </c:tx>
          <c:invertIfNegative val="0"/>
          <c:val>
            <c:numRef>
              <c:f>'FY Comparison'!$B$10:$B$21</c:f>
              <c:numCache>
                <c:formatCode>_(* #,##0.00_);_(* \(#,##0.00\);_(* "-"??_);_(@_)</c:formatCode>
                <c:ptCount val="12"/>
                <c:pt idx="0">
                  <c:v>374232.8</c:v>
                </c:pt>
                <c:pt idx="1">
                  <c:v>377601.34</c:v>
                </c:pt>
                <c:pt idx="2">
                  <c:v>327542.09999999998</c:v>
                </c:pt>
                <c:pt idx="3">
                  <c:v>190996.62</c:v>
                </c:pt>
                <c:pt idx="4">
                  <c:v>111703.4</c:v>
                </c:pt>
                <c:pt idx="5">
                  <c:v>131830.89000000001</c:v>
                </c:pt>
                <c:pt idx="6">
                  <c:v>106120.78</c:v>
                </c:pt>
                <c:pt idx="7">
                  <c:v>121543.35</c:v>
                </c:pt>
                <c:pt idx="8">
                  <c:v>140976.01999999999</c:v>
                </c:pt>
                <c:pt idx="9">
                  <c:v>84831.74</c:v>
                </c:pt>
                <c:pt idx="10">
                  <c:v>105426.1</c:v>
                </c:pt>
                <c:pt idx="11">
                  <c:v>224305.93</c:v>
                </c:pt>
              </c:numCache>
            </c:numRef>
          </c:val>
          <c:extLst>
            <c:ext xmlns:c16="http://schemas.microsoft.com/office/drawing/2014/chart" uri="{C3380CC4-5D6E-409C-BE32-E72D297353CC}">
              <c16:uniqueId val="{00000001-00FC-4C41-875D-5FD9399259C5}"/>
            </c:ext>
          </c:extLst>
        </c:ser>
        <c:dLbls>
          <c:showLegendKey val="0"/>
          <c:showVal val="0"/>
          <c:showCatName val="0"/>
          <c:showSerName val="0"/>
          <c:showPercent val="0"/>
          <c:showBubbleSize val="0"/>
        </c:dLbls>
        <c:gapWidth val="150"/>
        <c:axId val="166586240"/>
        <c:axId val="166587776"/>
      </c:barChart>
      <c:catAx>
        <c:axId val="166586240"/>
        <c:scaling>
          <c:orientation val="minMax"/>
        </c:scaling>
        <c:delete val="0"/>
        <c:axPos val="b"/>
        <c:numFmt formatCode="General" sourceLinked="1"/>
        <c:majorTickMark val="none"/>
        <c:minorTickMark val="none"/>
        <c:tickLblPos val="nextTo"/>
        <c:crossAx val="166587776"/>
        <c:crosses val="autoZero"/>
        <c:auto val="1"/>
        <c:lblAlgn val="ctr"/>
        <c:lblOffset val="100"/>
        <c:noMultiLvlLbl val="0"/>
      </c:catAx>
      <c:valAx>
        <c:axId val="166587776"/>
        <c:scaling>
          <c:orientation val="minMax"/>
        </c:scaling>
        <c:delete val="0"/>
        <c:axPos val="l"/>
        <c:majorGridlines/>
        <c:title>
          <c:tx>
            <c:rich>
              <a:bodyPr/>
              <a:lstStyle/>
              <a:p>
                <a:pPr>
                  <a:defRPr/>
                </a:pPr>
                <a:r>
                  <a:rPr lang="en-US"/>
                  <a:t>Bill Amount</a:t>
                </a:r>
              </a:p>
            </c:rich>
          </c:tx>
          <c:layout/>
          <c:overlay val="0"/>
        </c:title>
        <c:numFmt formatCode="_(* #,##0.00_);_(* \(#,##0.00\);_(* &quot;-&quot;??_);_(@_)" sourceLinked="1"/>
        <c:majorTickMark val="none"/>
        <c:minorTickMark val="none"/>
        <c:tickLblPos val="nextTo"/>
        <c:crossAx val="166586240"/>
        <c:crosses val="autoZero"/>
        <c:crossBetween val="between"/>
        <c:majorUnit val="50000"/>
      </c:valAx>
      <c:dTable>
        <c:showHorzBorder val="1"/>
        <c:showVertBorder val="1"/>
        <c:showOutline val="1"/>
        <c:showKeys val="1"/>
      </c:dTable>
    </c:plotArea>
    <c:plotVisOnly val="1"/>
    <c:dispBlanksAs val="gap"/>
    <c:showDLblsOverMax val="0"/>
  </c:chart>
  <c:printSettings>
    <c:headerFooter/>
    <c:pageMargins b="0.75000000000001066" l="0.70000000000000062" r="0.70000000000000062" t="0.750000000000010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Purchased Off Peak KWH (column I)</a:t>
            </a:r>
          </a:p>
        </c:rich>
      </c:tx>
      <c:overlay val="0"/>
    </c:title>
    <c:autoTitleDeleted val="0"/>
    <c:plotArea>
      <c:layout>
        <c:manualLayout>
          <c:layoutTarget val="inner"/>
          <c:xMode val="edge"/>
          <c:yMode val="edge"/>
          <c:x val="0.16658849498435072"/>
          <c:y val="0.18268845983098528"/>
          <c:w val="0.80650929304875218"/>
          <c:h val="0.45063021604881559"/>
        </c:manualLayout>
      </c:layout>
      <c:barChart>
        <c:barDir val="col"/>
        <c:grouping val="clustered"/>
        <c:varyColors val="0"/>
        <c:ser>
          <c:idx val="0"/>
          <c:order val="0"/>
          <c:tx>
            <c:v>FY12 OffPeak KWH</c:v>
          </c:tx>
          <c:invertIfNegative val="0"/>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Comparison'!$I$160:$I$171</c:f>
              <c:numCache>
                <c:formatCode>#,##0.00</c:formatCode>
                <c:ptCount val="12"/>
                <c:pt idx="0">
                  <c:v>3995293</c:v>
                </c:pt>
                <c:pt idx="1">
                  <c:v>3761677</c:v>
                </c:pt>
                <c:pt idx="2">
                  <c:v>4337526</c:v>
                </c:pt>
                <c:pt idx="3">
                  <c:v>3778341</c:v>
                </c:pt>
                <c:pt idx="4">
                  <c:v>3107539</c:v>
                </c:pt>
                <c:pt idx="5">
                  <c:v>2965682</c:v>
                </c:pt>
                <c:pt idx="6">
                  <c:v>2696385</c:v>
                </c:pt>
                <c:pt idx="7">
                  <c:v>3315028</c:v>
                </c:pt>
                <c:pt idx="8">
                  <c:v>4028474</c:v>
                </c:pt>
                <c:pt idx="9">
                  <c:v>4206595</c:v>
                </c:pt>
                <c:pt idx="10">
                  <c:v>3846677</c:v>
                </c:pt>
                <c:pt idx="11">
                  <c:v>3437141</c:v>
                </c:pt>
              </c:numCache>
            </c:numRef>
          </c:val>
          <c:extLst>
            <c:ext xmlns:c16="http://schemas.microsoft.com/office/drawing/2014/chart" uri="{C3380CC4-5D6E-409C-BE32-E72D297353CC}">
              <c16:uniqueId val="{00000000-075B-4938-9B42-EE2EBE14E327}"/>
            </c:ext>
          </c:extLst>
        </c:ser>
        <c:ser>
          <c:idx val="1"/>
          <c:order val="1"/>
          <c:tx>
            <c:v>FY13 OffPeak KWH</c:v>
          </c:tx>
          <c:invertIfNegative val="0"/>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Comparison'!$I$140:$I$151</c:f>
              <c:numCache>
                <c:formatCode>#,##0.00</c:formatCode>
                <c:ptCount val="12"/>
                <c:pt idx="0">
                  <c:v>3803352</c:v>
                </c:pt>
                <c:pt idx="1">
                  <c:v>3630213</c:v>
                </c:pt>
                <c:pt idx="2">
                  <c:v>3841092</c:v>
                </c:pt>
                <c:pt idx="3">
                  <c:v>4333016</c:v>
                </c:pt>
                <c:pt idx="4">
                  <c:v>3660453</c:v>
                </c:pt>
                <c:pt idx="5">
                  <c:v>3789364</c:v>
                </c:pt>
                <c:pt idx="6">
                  <c:v>2579575</c:v>
                </c:pt>
                <c:pt idx="7">
                  <c:v>3178669</c:v>
                </c:pt>
                <c:pt idx="8">
                  <c:v>3294129</c:v>
                </c:pt>
                <c:pt idx="9">
                  <c:v>4352645</c:v>
                </c:pt>
                <c:pt idx="10">
                  <c:v>3557325</c:v>
                </c:pt>
                <c:pt idx="11">
                  <c:v>3992351</c:v>
                </c:pt>
              </c:numCache>
            </c:numRef>
          </c:val>
          <c:extLst>
            <c:ext xmlns:c16="http://schemas.microsoft.com/office/drawing/2014/chart" uri="{C3380CC4-5D6E-409C-BE32-E72D297353CC}">
              <c16:uniqueId val="{00000001-075B-4938-9B42-EE2EBE14E327}"/>
            </c:ext>
          </c:extLst>
        </c:ser>
        <c:ser>
          <c:idx val="2"/>
          <c:order val="2"/>
          <c:tx>
            <c:v>FY14 OffPeak KWH</c:v>
          </c:tx>
          <c:invertIfNegative val="0"/>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Comparison'!$I$120:$I$131</c:f>
              <c:numCache>
                <c:formatCode>#,##0.00</c:formatCode>
                <c:ptCount val="12"/>
                <c:pt idx="0">
                  <c:v>4474622</c:v>
                </c:pt>
                <c:pt idx="1">
                  <c:v>4237627</c:v>
                </c:pt>
                <c:pt idx="2">
                  <c:v>3869338</c:v>
                </c:pt>
                <c:pt idx="3">
                  <c:v>3739317</c:v>
                </c:pt>
                <c:pt idx="4">
                  <c:v>3310702</c:v>
                </c:pt>
                <c:pt idx="5">
                  <c:v>2900695</c:v>
                </c:pt>
                <c:pt idx="6">
                  <c:v>2221331</c:v>
                </c:pt>
                <c:pt idx="7">
                  <c:v>2843068</c:v>
                </c:pt>
                <c:pt idx="8">
                  <c:v>3105115</c:v>
                </c:pt>
                <c:pt idx="9">
                  <c:v>5458274</c:v>
                </c:pt>
                <c:pt idx="10">
                  <c:v>3219387</c:v>
                </c:pt>
                <c:pt idx="11">
                  <c:v>3484000</c:v>
                </c:pt>
              </c:numCache>
            </c:numRef>
          </c:val>
          <c:extLst>
            <c:ext xmlns:c16="http://schemas.microsoft.com/office/drawing/2014/chart" uri="{C3380CC4-5D6E-409C-BE32-E72D297353CC}">
              <c16:uniqueId val="{00000002-075B-4938-9B42-EE2EBE14E327}"/>
            </c:ext>
          </c:extLst>
        </c:ser>
        <c:ser>
          <c:idx val="3"/>
          <c:order val="3"/>
          <c:tx>
            <c:v>FY15 Off Peak KWH</c:v>
          </c:tx>
          <c:invertIfNegative val="0"/>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Comparison'!$I$99:$I$110</c:f>
              <c:numCache>
                <c:formatCode>#,##0.00</c:formatCode>
                <c:ptCount val="12"/>
                <c:pt idx="0">
                  <c:v>3428911</c:v>
                </c:pt>
                <c:pt idx="1">
                  <c:v>3464661</c:v>
                </c:pt>
                <c:pt idx="2">
                  <c:v>3925478</c:v>
                </c:pt>
                <c:pt idx="3">
                  <c:v>3476666</c:v>
                </c:pt>
                <c:pt idx="4">
                  <c:v>3153893</c:v>
                </c:pt>
                <c:pt idx="5">
                  <c:v>2439500</c:v>
                </c:pt>
                <c:pt idx="6">
                  <c:v>2433860</c:v>
                </c:pt>
                <c:pt idx="7">
                  <c:v>2671292</c:v>
                </c:pt>
                <c:pt idx="8">
                  <c:v>2693684</c:v>
                </c:pt>
                <c:pt idx="9">
                  <c:v>3203749</c:v>
                </c:pt>
                <c:pt idx="10">
                  <c:v>3073155</c:v>
                </c:pt>
                <c:pt idx="11">
                  <c:v>3473139</c:v>
                </c:pt>
              </c:numCache>
            </c:numRef>
          </c:val>
          <c:extLst>
            <c:ext xmlns:c16="http://schemas.microsoft.com/office/drawing/2014/chart" uri="{C3380CC4-5D6E-409C-BE32-E72D297353CC}">
              <c16:uniqueId val="{00000003-075B-4938-9B42-EE2EBE14E327}"/>
            </c:ext>
          </c:extLst>
        </c:ser>
        <c:ser>
          <c:idx val="4"/>
          <c:order val="4"/>
          <c:tx>
            <c:v>FY16 Off Peak KWH</c:v>
          </c:tx>
          <c:invertIfNegative val="0"/>
          <c:val>
            <c:numRef>
              <c:f>'EPEC KWH Comparison'!$I$77:$I$88</c:f>
              <c:numCache>
                <c:formatCode>#,##0.00</c:formatCode>
                <c:ptCount val="12"/>
                <c:pt idx="0">
                  <c:v>3556872</c:v>
                </c:pt>
                <c:pt idx="1">
                  <c:v>3952649</c:v>
                </c:pt>
                <c:pt idx="2">
                  <c:v>4036755</c:v>
                </c:pt>
                <c:pt idx="3">
                  <c:v>3128944</c:v>
                </c:pt>
                <c:pt idx="4">
                  <c:v>2764959</c:v>
                </c:pt>
                <c:pt idx="5">
                  <c:v>2060240</c:v>
                </c:pt>
                <c:pt idx="6">
                  <c:v>1649302</c:v>
                </c:pt>
                <c:pt idx="7">
                  <c:v>2375140</c:v>
                </c:pt>
                <c:pt idx="8">
                  <c:v>2052879</c:v>
                </c:pt>
                <c:pt idx="9">
                  <c:v>2684667</c:v>
                </c:pt>
                <c:pt idx="10">
                  <c:v>2313159</c:v>
                </c:pt>
                <c:pt idx="11">
                  <c:v>2319996</c:v>
                </c:pt>
              </c:numCache>
            </c:numRef>
          </c:val>
          <c:extLst>
            <c:ext xmlns:c16="http://schemas.microsoft.com/office/drawing/2014/chart" uri="{C3380CC4-5D6E-409C-BE32-E72D297353CC}">
              <c16:uniqueId val="{00000004-075B-4938-9B42-EE2EBE14E327}"/>
            </c:ext>
          </c:extLst>
        </c:ser>
        <c:ser>
          <c:idx val="5"/>
          <c:order val="5"/>
          <c:tx>
            <c:v>FY17 Off Peak KWH</c:v>
          </c:tx>
          <c:invertIfNegative val="0"/>
          <c:val>
            <c:numRef>
              <c:f>'EPEC KWH Comparison'!$I$55:$I$66</c:f>
              <c:numCache>
                <c:formatCode>#,##0.00</c:formatCode>
                <c:ptCount val="12"/>
                <c:pt idx="0">
                  <c:v>2824876</c:v>
                </c:pt>
                <c:pt idx="1">
                  <c:v>3326074</c:v>
                </c:pt>
                <c:pt idx="2">
                  <c:v>2660109</c:v>
                </c:pt>
                <c:pt idx="3">
                  <c:v>2545204</c:v>
                </c:pt>
                <c:pt idx="4">
                  <c:v>2404781</c:v>
                </c:pt>
                <c:pt idx="5">
                  <c:v>1766228</c:v>
                </c:pt>
                <c:pt idx="6">
                  <c:v>1997094</c:v>
                </c:pt>
                <c:pt idx="7">
                  <c:v>1862994</c:v>
                </c:pt>
                <c:pt idx="8">
                  <c:v>1896632</c:v>
                </c:pt>
                <c:pt idx="9">
                  <c:v>2337942</c:v>
                </c:pt>
                <c:pt idx="10">
                  <c:v>2671749</c:v>
                </c:pt>
                <c:pt idx="11">
                  <c:v>2743884</c:v>
                </c:pt>
              </c:numCache>
            </c:numRef>
          </c:val>
          <c:extLst>
            <c:ext xmlns:c16="http://schemas.microsoft.com/office/drawing/2014/chart" uri="{C3380CC4-5D6E-409C-BE32-E72D297353CC}">
              <c16:uniqueId val="{00000005-075B-4938-9B42-EE2EBE14E327}"/>
            </c:ext>
          </c:extLst>
        </c:ser>
        <c:ser>
          <c:idx val="6"/>
          <c:order val="6"/>
          <c:tx>
            <c:v>FY18 Off Peak KWH</c:v>
          </c:tx>
          <c:invertIfNegative val="0"/>
          <c:val>
            <c:numRef>
              <c:f>'EPEC KWH Comparison'!$I$32:$I$43</c:f>
              <c:numCache>
                <c:formatCode>#,##0.00</c:formatCode>
                <c:ptCount val="12"/>
                <c:pt idx="0">
                  <c:v>2647991</c:v>
                </c:pt>
                <c:pt idx="1">
                  <c:v>2970584</c:v>
                </c:pt>
                <c:pt idx="2">
                  <c:v>2959339</c:v>
                </c:pt>
                <c:pt idx="3">
                  <c:v>2654429</c:v>
                </c:pt>
                <c:pt idx="4">
                  <c:v>2149452</c:v>
                </c:pt>
                <c:pt idx="5">
                  <c:v>1817462</c:v>
                </c:pt>
                <c:pt idx="6">
                  <c:v>1660548</c:v>
                </c:pt>
                <c:pt idx="7">
                  <c:v>2131896</c:v>
                </c:pt>
                <c:pt idx="8">
                  <c:v>1946066</c:v>
                </c:pt>
                <c:pt idx="9">
                  <c:v>2434880</c:v>
                </c:pt>
                <c:pt idx="10">
                  <c:v>5480315</c:v>
                </c:pt>
                <c:pt idx="11">
                  <c:v>4075396</c:v>
                </c:pt>
              </c:numCache>
            </c:numRef>
          </c:val>
          <c:extLst>
            <c:ext xmlns:c16="http://schemas.microsoft.com/office/drawing/2014/chart" uri="{C3380CC4-5D6E-409C-BE32-E72D297353CC}">
              <c16:uniqueId val="{00000006-075B-4938-9B42-EE2EBE14E327}"/>
            </c:ext>
          </c:extLst>
        </c:ser>
        <c:ser>
          <c:idx val="7"/>
          <c:order val="7"/>
          <c:tx>
            <c:v>FY19 Off Peak KWH</c:v>
          </c:tx>
          <c:invertIfNegative val="0"/>
          <c:val>
            <c:numRef>
              <c:f>'EPEC KWH Comparison'!$I$7:$I$18</c:f>
              <c:numCache>
                <c:formatCode>#,##0.00</c:formatCode>
                <c:ptCount val="12"/>
                <c:pt idx="0">
                  <c:v>2248512</c:v>
                </c:pt>
                <c:pt idx="1">
                  <c:v>3312986</c:v>
                </c:pt>
                <c:pt idx="2">
                  <c:v>3043208</c:v>
                </c:pt>
                <c:pt idx="3">
                  <c:v>3036912</c:v>
                </c:pt>
                <c:pt idx="4">
                  <c:v>1916180</c:v>
                </c:pt>
                <c:pt idx="5">
                  <c:v>1762389</c:v>
                </c:pt>
                <c:pt idx="6">
                  <c:v>1335102</c:v>
                </c:pt>
                <c:pt idx="7">
                  <c:v>2069182</c:v>
                </c:pt>
                <c:pt idx="8">
                  <c:v>1899160</c:v>
                </c:pt>
                <c:pt idx="9">
                  <c:v>1975753</c:v>
                </c:pt>
                <c:pt idx="10">
                  <c:v>2402994</c:v>
                </c:pt>
                <c:pt idx="11">
                  <c:v>2403091</c:v>
                </c:pt>
              </c:numCache>
            </c:numRef>
          </c:val>
          <c:extLst>
            <c:ext xmlns:c16="http://schemas.microsoft.com/office/drawing/2014/chart" uri="{C3380CC4-5D6E-409C-BE32-E72D297353CC}">
              <c16:uniqueId val="{00000000-A279-4BB0-AB46-BB141A5E1E38}"/>
            </c:ext>
          </c:extLst>
        </c:ser>
        <c:dLbls>
          <c:showLegendKey val="0"/>
          <c:showVal val="0"/>
          <c:showCatName val="0"/>
          <c:showSerName val="0"/>
          <c:showPercent val="0"/>
          <c:showBubbleSize val="0"/>
        </c:dLbls>
        <c:gapWidth val="150"/>
        <c:axId val="164903168"/>
        <c:axId val="164913152"/>
      </c:barChart>
      <c:catAx>
        <c:axId val="164903168"/>
        <c:scaling>
          <c:orientation val="minMax"/>
        </c:scaling>
        <c:delete val="0"/>
        <c:axPos val="b"/>
        <c:numFmt formatCode="General" sourceLinked="1"/>
        <c:majorTickMark val="none"/>
        <c:minorTickMark val="none"/>
        <c:tickLblPos val="nextTo"/>
        <c:crossAx val="164913152"/>
        <c:crosses val="autoZero"/>
        <c:auto val="1"/>
        <c:lblAlgn val="ctr"/>
        <c:lblOffset val="100"/>
        <c:noMultiLvlLbl val="0"/>
      </c:catAx>
      <c:valAx>
        <c:axId val="164913152"/>
        <c:scaling>
          <c:orientation val="minMax"/>
        </c:scaling>
        <c:delete val="0"/>
        <c:axPos val="l"/>
        <c:majorGridlines/>
        <c:title>
          <c:tx>
            <c:rich>
              <a:bodyPr/>
              <a:lstStyle/>
              <a:p>
                <a:pPr>
                  <a:defRPr/>
                </a:pPr>
                <a:r>
                  <a:rPr lang="en-US"/>
                  <a:t>KWH</a:t>
                </a:r>
              </a:p>
            </c:rich>
          </c:tx>
          <c:overlay val="0"/>
        </c:title>
        <c:numFmt formatCode="#,##0.00" sourceLinked="1"/>
        <c:majorTickMark val="none"/>
        <c:minorTickMark val="none"/>
        <c:tickLblPos val="nextTo"/>
        <c:crossAx val="164903168"/>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El Paso Electric - Tortugas Substation Bills Compared by Fiscal Year</a:t>
            </a:r>
          </a:p>
        </c:rich>
      </c:tx>
      <c:layout>
        <c:manualLayout>
          <c:xMode val="edge"/>
          <c:yMode val="edge"/>
          <c:x val="0.2422948191821348"/>
          <c:y val="6.7437388102168528E-3"/>
        </c:manualLayout>
      </c:layout>
      <c:overlay val="0"/>
    </c:title>
    <c:autoTitleDeleted val="0"/>
    <c:plotArea>
      <c:layout>
        <c:manualLayout>
          <c:layoutTarget val="inner"/>
          <c:xMode val="edge"/>
          <c:yMode val="edge"/>
          <c:x val="0.1069827340859501"/>
          <c:y val="8.3014835409724722E-2"/>
          <c:w val="0.88220863676110539"/>
          <c:h val="0.52340647960992293"/>
        </c:manualLayout>
      </c:layout>
      <c:lineChart>
        <c:grouping val="standard"/>
        <c:varyColors val="0"/>
        <c:ser>
          <c:idx val="2"/>
          <c:order val="0"/>
          <c:tx>
            <c:strRef>
              <c:f>'FY Comparison'!$K$8:$K$9</c:f>
              <c:strCache>
                <c:ptCount val="2"/>
                <c:pt idx="0">
                  <c:v>FY10</c:v>
                </c:pt>
              </c:strCache>
            </c:strRef>
          </c:tx>
          <c:dPt>
            <c:idx val="0"/>
            <c:bubble3D val="0"/>
            <c:extLst>
              <c:ext xmlns:c16="http://schemas.microsoft.com/office/drawing/2014/chart" uri="{C3380CC4-5D6E-409C-BE32-E72D297353CC}">
                <c16:uniqueId val="{00000000-15E9-474B-BE4C-E8D26A329DDC}"/>
              </c:ext>
            </c:extLst>
          </c:dPt>
          <c:cat>
            <c:strRef>
              <c:f>'FY Comparison'!$A$10:$A$21</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Comparison'!$K$10:$K$21</c:f>
              <c:numCache>
                <c:formatCode>_(* #,##0.00_);_(* \(#,##0.00\);_(* "-"??_);_(@_)</c:formatCode>
                <c:ptCount val="12"/>
                <c:pt idx="0">
                  <c:v>369555.94</c:v>
                </c:pt>
                <c:pt idx="1">
                  <c:v>440712.66</c:v>
                </c:pt>
                <c:pt idx="2">
                  <c:v>351836.87</c:v>
                </c:pt>
                <c:pt idx="3">
                  <c:v>303596.09000000003</c:v>
                </c:pt>
                <c:pt idx="4">
                  <c:v>236643.81</c:v>
                </c:pt>
                <c:pt idx="5">
                  <c:v>219845.27</c:v>
                </c:pt>
                <c:pt idx="6">
                  <c:v>176873.21</c:v>
                </c:pt>
                <c:pt idx="7">
                  <c:v>203559.06</c:v>
                </c:pt>
                <c:pt idx="8">
                  <c:v>209517.74</c:v>
                </c:pt>
                <c:pt idx="9">
                  <c:v>256829.44</c:v>
                </c:pt>
                <c:pt idx="10">
                  <c:v>253534.12</c:v>
                </c:pt>
                <c:pt idx="11">
                  <c:v>367515.55</c:v>
                </c:pt>
              </c:numCache>
            </c:numRef>
          </c:val>
          <c:smooth val="0"/>
          <c:extLst>
            <c:ext xmlns:c16="http://schemas.microsoft.com/office/drawing/2014/chart" uri="{C3380CC4-5D6E-409C-BE32-E72D297353CC}">
              <c16:uniqueId val="{00000001-15E9-474B-BE4C-E8D26A329DDC}"/>
            </c:ext>
          </c:extLst>
        </c:ser>
        <c:ser>
          <c:idx val="1"/>
          <c:order val="1"/>
          <c:tx>
            <c:strRef>
              <c:f>'FY Comparison'!$J$8:$J$9</c:f>
              <c:strCache>
                <c:ptCount val="2"/>
                <c:pt idx="0">
                  <c:v>FY11</c:v>
                </c:pt>
              </c:strCache>
            </c:strRef>
          </c:tx>
          <c:cat>
            <c:strRef>
              <c:f>'FY Comparison'!$A$10:$A$21</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Comparison'!$J$10:$J$21</c:f>
              <c:numCache>
                <c:formatCode>_(* #,##0.00_);_(* \(#,##0.00\);_(* "-"??_);_(@_)</c:formatCode>
                <c:ptCount val="12"/>
                <c:pt idx="0">
                  <c:v>526366.99</c:v>
                </c:pt>
                <c:pt idx="1">
                  <c:v>562270.96</c:v>
                </c:pt>
                <c:pt idx="2">
                  <c:v>553253.39</c:v>
                </c:pt>
                <c:pt idx="3">
                  <c:v>237916.54</c:v>
                </c:pt>
                <c:pt idx="4">
                  <c:v>211594.81</c:v>
                </c:pt>
                <c:pt idx="5">
                  <c:v>161247.19</c:v>
                </c:pt>
                <c:pt idx="6">
                  <c:v>137039.19</c:v>
                </c:pt>
                <c:pt idx="7">
                  <c:v>197465.58</c:v>
                </c:pt>
                <c:pt idx="8">
                  <c:v>225757.19</c:v>
                </c:pt>
                <c:pt idx="9">
                  <c:v>268306.65999999997</c:v>
                </c:pt>
                <c:pt idx="10">
                  <c:v>186881.78</c:v>
                </c:pt>
                <c:pt idx="11">
                  <c:v>419055.41</c:v>
                </c:pt>
              </c:numCache>
            </c:numRef>
          </c:val>
          <c:smooth val="0"/>
          <c:extLst>
            <c:ext xmlns:c16="http://schemas.microsoft.com/office/drawing/2014/chart" uri="{C3380CC4-5D6E-409C-BE32-E72D297353CC}">
              <c16:uniqueId val="{00000002-15E9-474B-BE4C-E8D26A329DDC}"/>
            </c:ext>
          </c:extLst>
        </c:ser>
        <c:ser>
          <c:idx val="0"/>
          <c:order val="2"/>
          <c:tx>
            <c:strRef>
              <c:f>'FY Comparison'!$I$8:$I$9</c:f>
              <c:strCache>
                <c:ptCount val="2"/>
                <c:pt idx="0">
                  <c:v>FY12</c:v>
                </c:pt>
              </c:strCache>
            </c:strRef>
          </c:tx>
          <c:cat>
            <c:strRef>
              <c:f>'FY Comparison'!$A$10:$A$21</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Comparison'!$I$10:$I$21</c:f>
              <c:numCache>
                <c:formatCode>_(* #,##0.00_);_(* \(#,##0.00\);_(* "-"??_);_(@_)</c:formatCode>
                <c:ptCount val="12"/>
                <c:pt idx="0">
                  <c:v>526676.06999999995</c:v>
                </c:pt>
                <c:pt idx="1">
                  <c:v>518760.58</c:v>
                </c:pt>
                <c:pt idx="2">
                  <c:v>540927.32999999996</c:v>
                </c:pt>
                <c:pt idx="3">
                  <c:v>307853.26</c:v>
                </c:pt>
                <c:pt idx="4">
                  <c:v>191143.84</c:v>
                </c:pt>
                <c:pt idx="5">
                  <c:v>200667.12</c:v>
                </c:pt>
                <c:pt idx="6">
                  <c:v>177649.98</c:v>
                </c:pt>
                <c:pt idx="7">
                  <c:v>210091.84</c:v>
                </c:pt>
                <c:pt idx="8">
                  <c:v>235677.97</c:v>
                </c:pt>
                <c:pt idx="9">
                  <c:v>242141.69</c:v>
                </c:pt>
                <c:pt idx="10">
                  <c:v>213244.9</c:v>
                </c:pt>
                <c:pt idx="11">
                  <c:v>325237.69</c:v>
                </c:pt>
              </c:numCache>
            </c:numRef>
          </c:val>
          <c:smooth val="0"/>
          <c:extLst>
            <c:ext xmlns:c16="http://schemas.microsoft.com/office/drawing/2014/chart" uri="{C3380CC4-5D6E-409C-BE32-E72D297353CC}">
              <c16:uniqueId val="{00000003-15E9-474B-BE4C-E8D26A329DDC}"/>
            </c:ext>
          </c:extLst>
        </c:ser>
        <c:ser>
          <c:idx val="3"/>
          <c:order val="3"/>
          <c:tx>
            <c:strRef>
              <c:f>'FY Comparison'!$H$8</c:f>
              <c:strCache>
                <c:ptCount val="1"/>
                <c:pt idx="0">
                  <c:v>FY13</c:v>
                </c:pt>
              </c:strCache>
            </c:strRef>
          </c:tx>
          <c:cat>
            <c:strRef>
              <c:f>'FY Comparison'!$A$10:$A$21</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Comparison'!$H$10:$H$21</c:f>
              <c:numCache>
                <c:formatCode>_(* #,##0.00_);_(* \(#,##0.00\);_(* "-"??_);_(@_)</c:formatCode>
                <c:ptCount val="12"/>
                <c:pt idx="0">
                  <c:v>465248.36</c:v>
                </c:pt>
                <c:pt idx="1">
                  <c:v>472001.39</c:v>
                </c:pt>
                <c:pt idx="2">
                  <c:v>485357.92</c:v>
                </c:pt>
                <c:pt idx="3">
                  <c:v>343798.88</c:v>
                </c:pt>
                <c:pt idx="4">
                  <c:v>191077.36</c:v>
                </c:pt>
                <c:pt idx="5">
                  <c:v>239678.45</c:v>
                </c:pt>
                <c:pt idx="6">
                  <c:v>167002.54</c:v>
                </c:pt>
                <c:pt idx="7">
                  <c:v>209384.85</c:v>
                </c:pt>
                <c:pt idx="8">
                  <c:v>210802.55</c:v>
                </c:pt>
                <c:pt idx="9">
                  <c:v>252361.24</c:v>
                </c:pt>
                <c:pt idx="10">
                  <c:v>232840.24</c:v>
                </c:pt>
                <c:pt idx="11">
                  <c:v>423134.41</c:v>
                </c:pt>
              </c:numCache>
            </c:numRef>
          </c:val>
          <c:smooth val="0"/>
          <c:extLst>
            <c:ext xmlns:c16="http://schemas.microsoft.com/office/drawing/2014/chart" uri="{C3380CC4-5D6E-409C-BE32-E72D297353CC}">
              <c16:uniqueId val="{00000004-15E9-474B-BE4C-E8D26A329DDC}"/>
            </c:ext>
          </c:extLst>
        </c:ser>
        <c:ser>
          <c:idx val="4"/>
          <c:order val="4"/>
          <c:tx>
            <c:v>FY14</c:v>
          </c:tx>
          <c:cat>
            <c:strRef>
              <c:f>'FY Comparison'!$A$10:$A$21</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Comparison'!$G$10:$G$21</c:f>
              <c:numCache>
                <c:formatCode>_(* #,##0.00_);_(* \(#,##0.00\);_(* "-"??_);_(@_)</c:formatCode>
                <c:ptCount val="12"/>
                <c:pt idx="0">
                  <c:v>573283.62</c:v>
                </c:pt>
                <c:pt idx="1">
                  <c:v>500966.89</c:v>
                </c:pt>
                <c:pt idx="2">
                  <c:v>438550.29</c:v>
                </c:pt>
                <c:pt idx="3">
                  <c:v>270730.38</c:v>
                </c:pt>
                <c:pt idx="4">
                  <c:v>198519.04000000001</c:v>
                </c:pt>
                <c:pt idx="5">
                  <c:v>175945.06</c:v>
                </c:pt>
                <c:pt idx="6">
                  <c:v>157351.84</c:v>
                </c:pt>
                <c:pt idx="7">
                  <c:v>218500.43</c:v>
                </c:pt>
                <c:pt idx="8">
                  <c:v>223299.54</c:v>
                </c:pt>
                <c:pt idx="9">
                  <c:v>348296.94</c:v>
                </c:pt>
                <c:pt idx="10">
                  <c:v>246881.94</c:v>
                </c:pt>
                <c:pt idx="11">
                  <c:v>402792.87</c:v>
                </c:pt>
              </c:numCache>
            </c:numRef>
          </c:val>
          <c:smooth val="0"/>
          <c:extLst>
            <c:ext xmlns:c16="http://schemas.microsoft.com/office/drawing/2014/chart" uri="{C3380CC4-5D6E-409C-BE32-E72D297353CC}">
              <c16:uniqueId val="{00000005-15E9-474B-BE4C-E8D26A329DDC}"/>
            </c:ext>
          </c:extLst>
        </c:ser>
        <c:ser>
          <c:idx val="5"/>
          <c:order val="5"/>
          <c:tx>
            <c:v>FY15</c:v>
          </c:tx>
          <c:cat>
            <c:strRef>
              <c:f>'FY Comparison'!$A$10:$A$21</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Comparison'!$F$10:$F$21</c:f>
              <c:numCache>
                <c:formatCode>_(* #,##0.00_);_(* \(#,##0.00\);_(* "-"??_);_(@_)</c:formatCode>
                <c:ptCount val="12"/>
                <c:pt idx="0">
                  <c:v>467027.38</c:v>
                </c:pt>
                <c:pt idx="1">
                  <c:v>449159</c:v>
                </c:pt>
                <c:pt idx="2">
                  <c:v>461417.89</c:v>
                </c:pt>
                <c:pt idx="3">
                  <c:v>283506.24</c:v>
                </c:pt>
                <c:pt idx="4">
                  <c:v>182111.63</c:v>
                </c:pt>
                <c:pt idx="5">
                  <c:v>185112.44</c:v>
                </c:pt>
                <c:pt idx="6">
                  <c:v>158897.03</c:v>
                </c:pt>
                <c:pt idx="7">
                  <c:v>194384.01</c:v>
                </c:pt>
                <c:pt idx="8">
                  <c:v>177942.78</c:v>
                </c:pt>
                <c:pt idx="9">
                  <c:v>198450.27</c:v>
                </c:pt>
                <c:pt idx="10">
                  <c:v>177435.12</c:v>
                </c:pt>
                <c:pt idx="11">
                  <c:v>342829.35</c:v>
                </c:pt>
              </c:numCache>
            </c:numRef>
          </c:val>
          <c:smooth val="0"/>
          <c:extLst>
            <c:ext xmlns:c16="http://schemas.microsoft.com/office/drawing/2014/chart" uri="{C3380CC4-5D6E-409C-BE32-E72D297353CC}">
              <c16:uniqueId val="{00000006-15E9-474B-BE4C-E8D26A329DDC}"/>
            </c:ext>
          </c:extLst>
        </c:ser>
        <c:ser>
          <c:idx val="6"/>
          <c:order val="6"/>
          <c:tx>
            <c:v>FY16</c:v>
          </c:tx>
          <c:val>
            <c:numRef>
              <c:f>'FY Comparison'!$E$10:$E$21</c:f>
              <c:numCache>
                <c:formatCode>_(* #,##0.00_);_(* \(#,##0.00\);_(* "-"??_);_(@_)</c:formatCode>
                <c:ptCount val="12"/>
                <c:pt idx="0">
                  <c:v>405995.21</c:v>
                </c:pt>
                <c:pt idx="1">
                  <c:v>435387.75</c:v>
                </c:pt>
                <c:pt idx="2">
                  <c:v>431740.59</c:v>
                </c:pt>
                <c:pt idx="3">
                  <c:v>236858.7</c:v>
                </c:pt>
                <c:pt idx="4">
                  <c:v>170146.15</c:v>
                </c:pt>
                <c:pt idx="5">
                  <c:v>140912.75</c:v>
                </c:pt>
                <c:pt idx="6">
                  <c:v>120612.6</c:v>
                </c:pt>
                <c:pt idx="7">
                  <c:v>154907.47</c:v>
                </c:pt>
                <c:pt idx="8">
                  <c:v>150944.26999999999</c:v>
                </c:pt>
                <c:pt idx="9">
                  <c:v>171667.95</c:v>
                </c:pt>
                <c:pt idx="10">
                  <c:v>157682.98000000001</c:v>
                </c:pt>
                <c:pt idx="11">
                  <c:v>245565.17</c:v>
                </c:pt>
              </c:numCache>
            </c:numRef>
          </c:val>
          <c:smooth val="0"/>
          <c:extLst>
            <c:ext xmlns:c16="http://schemas.microsoft.com/office/drawing/2014/chart" uri="{C3380CC4-5D6E-409C-BE32-E72D297353CC}">
              <c16:uniqueId val="{00000007-15E9-474B-BE4C-E8D26A329DDC}"/>
            </c:ext>
          </c:extLst>
        </c:ser>
        <c:ser>
          <c:idx val="8"/>
          <c:order val="7"/>
          <c:tx>
            <c:v>FY17</c:v>
          </c:tx>
          <c:val>
            <c:numRef>
              <c:f>'FY Comparison'!$D$10:$D$21</c:f>
              <c:numCache>
                <c:formatCode>_(* #,##0.00_);_(* \(#,##0.00\);_(* "-"??_);_(@_)</c:formatCode>
                <c:ptCount val="12"/>
                <c:pt idx="0">
                  <c:v>301489.83</c:v>
                </c:pt>
                <c:pt idx="1">
                  <c:v>334142.46000000002</c:v>
                </c:pt>
                <c:pt idx="2">
                  <c:v>344293.6</c:v>
                </c:pt>
                <c:pt idx="3">
                  <c:v>201850.75</c:v>
                </c:pt>
                <c:pt idx="4">
                  <c:v>119187.05</c:v>
                </c:pt>
                <c:pt idx="5">
                  <c:v>127577.86</c:v>
                </c:pt>
                <c:pt idx="6">
                  <c:v>137455.20000000001</c:v>
                </c:pt>
                <c:pt idx="7">
                  <c:v>137135.85</c:v>
                </c:pt>
                <c:pt idx="8">
                  <c:v>147267.17000000001</c:v>
                </c:pt>
                <c:pt idx="9">
                  <c:v>146648.67000000001</c:v>
                </c:pt>
                <c:pt idx="10">
                  <c:v>172491.13</c:v>
                </c:pt>
                <c:pt idx="11">
                  <c:v>346826.74</c:v>
                </c:pt>
              </c:numCache>
            </c:numRef>
          </c:val>
          <c:smooth val="0"/>
          <c:extLst>
            <c:ext xmlns:c16="http://schemas.microsoft.com/office/drawing/2014/chart" uri="{C3380CC4-5D6E-409C-BE32-E72D297353CC}">
              <c16:uniqueId val="{00000008-15E9-474B-BE4C-E8D26A329DDC}"/>
            </c:ext>
          </c:extLst>
        </c:ser>
        <c:ser>
          <c:idx val="7"/>
          <c:order val="8"/>
          <c:tx>
            <c:v>FY18</c:v>
          </c:tx>
          <c:val>
            <c:numRef>
              <c:f>'FY Comparison'!$C$10:$C$21</c:f>
              <c:numCache>
                <c:formatCode>_(* #,##0.00_);_(* \(#,##0.00\);_(* "-"??_);_(@_)</c:formatCode>
                <c:ptCount val="12"/>
                <c:pt idx="0">
                  <c:v>338467.86</c:v>
                </c:pt>
                <c:pt idx="1">
                  <c:v>319830.86</c:v>
                </c:pt>
                <c:pt idx="2">
                  <c:v>280155.89</c:v>
                </c:pt>
                <c:pt idx="3">
                  <c:v>167275.34</c:v>
                </c:pt>
                <c:pt idx="4">
                  <c:v>124609.14</c:v>
                </c:pt>
                <c:pt idx="5">
                  <c:v>131939.68</c:v>
                </c:pt>
                <c:pt idx="6">
                  <c:v>124440.06</c:v>
                </c:pt>
                <c:pt idx="7">
                  <c:v>126432.22</c:v>
                </c:pt>
                <c:pt idx="8">
                  <c:v>134332.94</c:v>
                </c:pt>
                <c:pt idx="9">
                  <c:v>138816.95000000001</c:v>
                </c:pt>
                <c:pt idx="10">
                  <c:v>247175.19</c:v>
                </c:pt>
                <c:pt idx="11">
                  <c:v>387608.01</c:v>
                </c:pt>
              </c:numCache>
            </c:numRef>
          </c:val>
          <c:smooth val="0"/>
          <c:extLst>
            <c:ext xmlns:c16="http://schemas.microsoft.com/office/drawing/2014/chart" uri="{C3380CC4-5D6E-409C-BE32-E72D297353CC}">
              <c16:uniqueId val="{00000009-15E9-474B-BE4C-E8D26A329DDC}"/>
            </c:ext>
          </c:extLst>
        </c:ser>
        <c:ser>
          <c:idx val="9"/>
          <c:order val="9"/>
          <c:tx>
            <c:v>FY19</c:v>
          </c:tx>
          <c:val>
            <c:numRef>
              <c:f>'FY Comparison'!$B$10:$B$21</c:f>
              <c:numCache>
                <c:formatCode>_(* #,##0.00_);_(* \(#,##0.00\);_(* "-"??_);_(@_)</c:formatCode>
                <c:ptCount val="12"/>
                <c:pt idx="0">
                  <c:v>374232.8</c:v>
                </c:pt>
                <c:pt idx="1">
                  <c:v>377601.34</c:v>
                </c:pt>
                <c:pt idx="2">
                  <c:v>327542.09999999998</c:v>
                </c:pt>
                <c:pt idx="3">
                  <c:v>190996.62</c:v>
                </c:pt>
                <c:pt idx="4">
                  <c:v>111703.4</c:v>
                </c:pt>
                <c:pt idx="5">
                  <c:v>131830.89000000001</c:v>
                </c:pt>
                <c:pt idx="6">
                  <c:v>106120.78</c:v>
                </c:pt>
                <c:pt idx="7">
                  <c:v>121543.35</c:v>
                </c:pt>
                <c:pt idx="8">
                  <c:v>140976.01999999999</c:v>
                </c:pt>
                <c:pt idx="9">
                  <c:v>84831.74</c:v>
                </c:pt>
                <c:pt idx="10">
                  <c:v>105426.1</c:v>
                </c:pt>
                <c:pt idx="11">
                  <c:v>224305.93</c:v>
                </c:pt>
              </c:numCache>
            </c:numRef>
          </c:val>
          <c:smooth val="0"/>
          <c:extLst>
            <c:ext xmlns:c16="http://schemas.microsoft.com/office/drawing/2014/chart" uri="{C3380CC4-5D6E-409C-BE32-E72D297353CC}">
              <c16:uniqueId val="{00000001-8803-414D-85D7-D7AC5FDD680F}"/>
            </c:ext>
          </c:extLst>
        </c:ser>
        <c:dLbls>
          <c:showLegendKey val="0"/>
          <c:showVal val="0"/>
          <c:showCatName val="0"/>
          <c:showSerName val="0"/>
          <c:showPercent val="0"/>
          <c:showBubbleSize val="0"/>
        </c:dLbls>
        <c:marker val="1"/>
        <c:smooth val="0"/>
        <c:axId val="166768000"/>
        <c:axId val="166773888"/>
      </c:lineChart>
      <c:catAx>
        <c:axId val="166768000"/>
        <c:scaling>
          <c:orientation val="minMax"/>
        </c:scaling>
        <c:delete val="0"/>
        <c:axPos val="b"/>
        <c:numFmt formatCode="General" sourceLinked="1"/>
        <c:majorTickMark val="none"/>
        <c:minorTickMark val="none"/>
        <c:tickLblPos val="nextTo"/>
        <c:crossAx val="166773888"/>
        <c:crosses val="autoZero"/>
        <c:auto val="1"/>
        <c:lblAlgn val="ctr"/>
        <c:lblOffset val="100"/>
        <c:noMultiLvlLbl val="0"/>
      </c:catAx>
      <c:valAx>
        <c:axId val="166773888"/>
        <c:scaling>
          <c:orientation val="minMax"/>
        </c:scaling>
        <c:delete val="0"/>
        <c:axPos val="l"/>
        <c:majorGridlines/>
        <c:title>
          <c:tx>
            <c:rich>
              <a:bodyPr/>
              <a:lstStyle/>
              <a:p>
                <a:pPr>
                  <a:defRPr/>
                </a:pPr>
                <a:r>
                  <a:rPr lang="en-US"/>
                  <a:t>Bill Amount</a:t>
                </a:r>
              </a:p>
            </c:rich>
          </c:tx>
          <c:layout/>
          <c:overlay val="0"/>
        </c:title>
        <c:numFmt formatCode="_(* #,##0.00_);_(* \(#,##0.00\);_(* &quot;-&quot;??_);_(@_)" sourceLinked="1"/>
        <c:majorTickMark val="none"/>
        <c:minorTickMark val="none"/>
        <c:tickLblPos val="nextTo"/>
        <c:crossAx val="166768000"/>
        <c:crosses val="autoZero"/>
        <c:crossBetween val="between"/>
        <c:majorUnit val="50000"/>
      </c:valAx>
      <c:dTable>
        <c:showHorzBorder val="1"/>
        <c:showVertBorder val="1"/>
        <c:showOutline val="1"/>
        <c:showKeys val="1"/>
      </c:dTable>
    </c:plotArea>
    <c:plotVisOnly val="1"/>
    <c:dispBlanksAs val="gap"/>
    <c:showDLblsOverMax val="0"/>
  </c:chart>
  <c:printSettings>
    <c:headerFooter/>
    <c:pageMargins b="0.75000000000001066" l="0.70000000000000062" r="0.70000000000000062" t="0.75000000000001066"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El Paso Electric - Tortugas Substation Bills Compared by Fiscal Year</a:t>
            </a:r>
          </a:p>
        </c:rich>
      </c:tx>
      <c:layout>
        <c:manualLayout>
          <c:xMode val="edge"/>
          <c:yMode val="edge"/>
          <c:x val="0.1267765449773324"/>
          <c:y val="0"/>
        </c:manualLayout>
      </c:layout>
      <c:overlay val="0"/>
    </c:title>
    <c:autoTitleDeleted val="0"/>
    <c:plotArea>
      <c:layout/>
      <c:barChart>
        <c:barDir val="col"/>
        <c:grouping val="clustered"/>
        <c:varyColors val="0"/>
        <c:ser>
          <c:idx val="2"/>
          <c:order val="0"/>
          <c:tx>
            <c:strRef>
              <c:f>'FY Comparison'!$K$8:$K$9</c:f>
              <c:strCache>
                <c:ptCount val="2"/>
                <c:pt idx="0">
                  <c:v>FY10</c:v>
                </c:pt>
              </c:strCache>
            </c:strRef>
          </c:tx>
          <c:spPr>
            <a:solidFill>
              <a:srgbClr val="FFFF66"/>
            </a:solidFill>
          </c:spPr>
          <c:invertIfNegative val="0"/>
          <c:dPt>
            <c:idx val="0"/>
            <c:invertIfNegative val="0"/>
            <c:bubble3D val="0"/>
            <c:spPr>
              <a:solidFill>
                <a:srgbClr val="FFFF00"/>
              </a:solidFill>
            </c:spPr>
            <c:extLst>
              <c:ext xmlns:c16="http://schemas.microsoft.com/office/drawing/2014/chart" uri="{C3380CC4-5D6E-409C-BE32-E72D297353CC}">
                <c16:uniqueId val="{00000001-4FD9-4B80-BC2F-7ADCDC3F85F9}"/>
              </c:ext>
            </c:extLst>
          </c:dPt>
          <c:cat>
            <c:strRef>
              <c:f>'FY Comparison'!$A$10:$A$21</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Comparison'!$K$10:$K$21</c:f>
              <c:numCache>
                <c:formatCode>_(* #,##0.00_);_(* \(#,##0.00\);_(* "-"??_);_(@_)</c:formatCode>
                <c:ptCount val="12"/>
                <c:pt idx="0">
                  <c:v>369555.94</c:v>
                </c:pt>
                <c:pt idx="1">
                  <c:v>440712.66</c:v>
                </c:pt>
                <c:pt idx="2">
                  <c:v>351836.87</c:v>
                </c:pt>
                <c:pt idx="3">
                  <c:v>303596.09000000003</c:v>
                </c:pt>
                <c:pt idx="4">
                  <c:v>236643.81</c:v>
                </c:pt>
                <c:pt idx="5">
                  <c:v>219845.27</c:v>
                </c:pt>
                <c:pt idx="6">
                  <c:v>176873.21</c:v>
                </c:pt>
                <c:pt idx="7">
                  <c:v>203559.06</c:v>
                </c:pt>
                <c:pt idx="8">
                  <c:v>209517.74</c:v>
                </c:pt>
                <c:pt idx="9">
                  <c:v>256829.44</c:v>
                </c:pt>
                <c:pt idx="10">
                  <c:v>253534.12</c:v>
                </c:pt>
                <c:pt idx="11">
                  <c:v>367515.55</c:v>
                </c:pt>
              </c:numCache>
            </c:numRef>
          </c:val>
          <c:extLst>
            <c:ext xmlns:c16="http://schemas.microsoft.com/office/drawing/2014/chart" uri="{C3380CC4-5D6E-409C-BE32-E72D297353CC}">
              <c16:uniqueId val="{00000002-4FD9-4B80-BC2F-7ADCDC3F85F9}"/>
            </c:ext>
          </c:extLst>
        </c:ser>
        <c:ser>
          <c:idx val="1"/>
          <c:order val="1"/>
          <c:tx>
            <c:strRef>
              <c:f>'FY Comparison'!$J$8:$J$9</c:f>
              <c:strCache>
                <c:ptCount val="2"/>
                <c:pt idx="0">
                  <c:v>FY11</c:v>
                </c:pt>
              </c:strCache>
            </c:strRef>
          </c:tx>
          <c:spPr>
            <a:solidFill>
              <a:srgbClr val="C95D1A"/>
            </a:solidFill>
          </c:spPr>
          <c:invertIfNegative val="0"/>
          <c:cat>
            <c:strRef>
              <c:f>'FY Comparison'!$A$10:$A$21</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Comparison'!$J$10:$J$21</c:f>
              <c:numCache>
                <c:formatCode>_(* #,##0.00_);_(* \(#,##0.00\);_(* "-"??_);_(@_)</c:formatCode>
                <c:ptCount val="12"/>
                <c:pt idx="0">
                  <c:v>526366.99</c:v>
                </c:pt>
                <c:pt idx="1">
                  <c:v>562270.96</c:v>
                </c:pt>
                <c:pt idx="2">
                  <c:v>553253.39</c:v>
                </c:pt>
                <c:pt idx="3">
                  <c:v>237916.54</c:v>
                </c:pt>
                <c:pt idx="4">
                  <c:v>211594.81</c:v>
                </c:pt>
                <c:pt idx="5">
                  <c:v>161247.19</c:v>
                </c:pt>
                <c:pt idx="6">
                  <c:v>137039.19</c:v>
                </c:pt>
                <c:pt idx="7">
                  <c:v>197465.58</c:v>
                </c:pt>
                <c:pt idx="8">
                  <c:v>225757.19</c:v>
                </c:pt>
                <c:pt idx="9">
                  <c:v>268306.65999999997</c:v>
                </c:pt>
                <c:pt idx="10">
                  <c:v>186881.78</c:v>
                </c:pt>
                <c:pt idx="11">
                  <c:v>419055.41</c:v>
                </c:pt>
              </c:numCache>
            </c:numRef>
          </c:val>
          <c:extLst>
            <c:ext xmlns:c16="http://schemas.microsoft.com/office/drawing/2014/chart" uri="{C3380CC4-5D6E-409C-BE32-E72D297353CC}">
              <c16:uniqueId val="{00000003-4FD9-4B80-BC2F-7ADCDC3F85F9}"/>
            </c:ext>
          </c:extLst>
        </c:ser>
        <c:ser>
          <c:idx val="0"/>
          <c:order val="2"/>
          <c:tx>
            <c:strRef>
              <c:f>'FY Comparison'!$I$8:$I$9</c:f>
              <c:strCache>
                <c:ptCount val="2"/>
                <c:pt idx="0">
                  <c:v>FY12</c:v>
                </c:pt>
              </c:strCache>
            </c:strRef>
          </c:tx>
          <c:spPr>
            <a:solidFill>
              <a:schemeClr val="tx2">
                <a:lumMod val="60000"/>
                <a:lumOff val="40000"/>
              </a:schemeClr>
            </a:solidFill>
            <a:ln>
              <a:solidFill>
                <a:srgbClr val="0066FF"/>
              </a:solidFill>
            </a:ln>
          </c:spPr>
          <c:invertIfNegative val="0"/>
          <c:cat>
            <c:strRef>
              <c:f>'FY Comparison'!$A$10:$A$21</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Comparison'!$I$10:$I$21</c:f>
              <c:numCache>
                <c:formatCode>_(* #,##0.00_);_(* \(#,##0.00\);_(* "-"??_);_(@_)</c:formatCode>
                <c:ptCount val="12"/>
                <c:pt idx="0">
                  <c:v>526676.06999999995</c:v>
                </c:pt>
                <c:pt idx="1">
                  <c:v>518760.58</c:v>
                </c:pt>
                <c:pt idx="2">
                  <c:v>540927.32999999996</c:v>
                </c:pt>
                <c:pt idx="3">
                  <c:v>307853.26</c:v>
                </c:pt>
                <c:pt idx="4">
                  <c:v>191143.84</c:v>
                </c:pt>
                <c:pt idx="5">
                  <c:v>200667.12</c:v>
                </c:pt>
                <c:pt idx="6">
                  <c:v>177649.98</c:v>
                </c:pt>
                <c:pt idx="7">
                  <c:v>210091.84</c:v>
                </c:pt>
                <c:pt idx="8">
                  <c:v>235677.97</c:v>
                </c:pt>
                <c:pt idx="9">
                  <c:v>242141.69</c:v>
                </c:pt>
                <c:pt idx="10">
                  <c:v>213244.9</c:v>
                </c:pt>
                <c:pt idx="11">
                  <c:v>325237.69</c:v>
                </c:pt>
              </c:numCache>
            </c:numRef>
          </c:val>
          <c:extLst>
            <c:ext xmlns:c16="http://schemas.microsoft.com/office/drawing/2014/chart" uri="{C3380CC4-5D6E-409C-BE32-E72D297353CC}">
              <c16:uniqueId val="{00000004-4FD9-4B80-BC2F-7ADCDC3F85F9}"/>
            </c:ext>
          </c:extLst>
        </c:ser>
        <c:ser>
          <c:idx val="3"/>
          <c:order val="3"/>
          <c:tx>
            <c:strRef>
              <c:f>'FY Comparison'!$H$8</c:f>
              <c:strCache>
                <c:ptCount val="1"/>
                <c:pt idx="0">
                  <c:v>FY13</c:v>
                </c:pt>
              </c:strCache>
            </c:strRef>
          </c:tx>
          <c:spPr>
            <a:solidFill>
              <a:srgbClr val="B238C6"/>
            </a:solidFill>
          </c:spPr>
          <c:invertIfNegative val="0"/>
          <c:cat>
            <c:strRef>
              <c:f>'FY Comparison'!$A$10:$A$21</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Comparison'!$H$10:$H$21</c:f>
              <c:numCache>
                <c:formatCode>_(* #,##0.00_);_(* \(#,##0.00\);_(* "-"??_);_(@_)</c:formatCode>
                <c:ptCount val="12"/>
                <c:pt idx="0">
                  <c:v>465248.36</c:v>
                </c:pt>
                <c:pt idx="1">
                  <c:v>472001.39</c:v>
                </c:pt>
                <c:pt idx="2">
                  <c:v>485357.92</c:v>
                </c:pt>
                <c:pt idx="3">
                  <c:v>343798.88</c:v>
                </c:pt>
                <c:pt idx="4">
                  <c:v>191077.36</c:v>
                </c:pt>
                <c:pt idx="5">
                  <c:v>239678.45</c:v>
                </c:pt>
                <c:pt idx="6">
                  <c:v>167002.54</c:v>
                </c:pt>
                <c:pt idx="7">
                  <c:v>209384.85</c:v>
                </c:pt>
                <c:pt idx="8">
                  <c:v>210802.55</c:v>
                </c:pt>
                <c:pt idx="9">
                  <c:v>252361.24</c:v>
                </c:pt>
                <c:pt idx="10">
                  <c:v>232840.24</c:v>
                </c:pt>
                <c:pt idx="11">
                  <c:v>423134.41</c:v>
                </c:pt>
              </c:numCache>
            </c:numRef>
          </c:val>
          <c:extLst>
            <c:ext xmlns:c16="http://schemas.microsoft.com/office/drawing/2014/chart" uri="{C3380CC4-5D6E-409C-BE32-E72D297353CC}">
              <c16:uniqueId val="{00000005-4FD9-4B80-BC2F-7ADCDC3F85F9}"/>
            </c:ext>
          </c:extLst>
        </c:ser>
        <c:ser>
          <c:idx val="4"/>
          <c:order val="4"/>
          <c:tx>
            <c:v>FY14</c:v>
          </c:tx>
          <c:spPr>
            <a:solidFill>
              <a:srgbClr val="00B050"/>
            </a:solidFill>
          </c:spPr>
          <c:invertIfNegative val="0"/>
          <c:cat>
            <c:strRef>
              <c:f>'FY Comparison'!$A$10:$A$21</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Comparison'!$G$10:$G$21</c:f>
              <c:numCache>
                <c:formatCode>_(* #,##0.00_);_(* \(#,##0.00\);_(* "-"??_);_(@_)</c:formatCode>
                <c:ptCount val="12"/>
                <c:pt idx="0">
                  <c:v>573283.62</c:v>
                </c:pt>
                <c:pt idx="1">
                  <c:v>500966.89</c:v>
                </c:pt>
                <c:pt idx="2">
                  <c:v>438550.29</c:v>
                </c:pt>
                <c:pt idx="3">
                  <c:v>270730.38</c:v>
                </c:pt>
                <c:pt idx="4">
                  <c:v>198519.04000000001</c:v>
                </c:pt>
                <c:pt idx="5">
                  <c:v>175945.06</c:v>
                </c:pt>
                <c:pt idx="6">
                  <c:v>157351.84</c:v>
                </c:pt>
                <c:pt idx="7">
                  <c:v>218500.43</c:v>
                </c:pt>
                <c:pt idx="8">
                  <c:v>223299.54</c:v>
                </c:pt>
                <c:pt idx="9">
                  <c:v>348296.94</c:v>
                </c:pt>
                <c:pt idx="10">
                  <c:v>246881.94</c:v>
                </c:pt>
                <c:pt idx="11">
                  <c:v>402792.87</c:v>
                </c:pt>
              </c:numCache>
            </c:numRef>
          </c:val>
          <c:extLst>
            <c:ext xmlns:c16="http://schemas.microsoft.com/office/drawing/2014/chart" uri="{C3380CC4-5D6E-409C-BE32-E72D297353CC}">
              <c16:uniqueId val="{00000006-4FD9-4B80-BC2F-7ADCDC3F85F9}"/>
            </c:ext>
          </c:extLst>
        </c:ser>
        <c:ser>
          <c:idx val="5"/>
          <c:order val="5"/>
          <c:tx>
            <c:v>FY15</c:v>
          </c:tx>
          <c:spPr>
            <a:solidFill>
              <a:srgbClr val="8C0B42"/>
            </a:solidFill>
          </c:spPr>
          <c:invertIfNegative val="0"/>
          <c:cat>
            <c:strRef>
              <c:f>'FY Comparison'!$A$10:$A$21</c:f>
              <c:strCache>
                <c:ptCount val="12"/>
                <c:pt idx="0">
                  <c:v>JULY</c:v>
                </c:pt>
                <c:pt idx="1">
                  <c:v>AUG</c:v>
                </c:pt>
                <c:pt idx="2">
                  <c:v>SEPT</c:v>
                </c:pt>
                <c:pt idx="3">
                  <c:v>OCT</c:v>
                </c:pt>
                <c:pt idx="4">
                  <c:v>NOV</c:v>
                </c:pt>
                <c:pt idx="5">
                  <c:v>DEC</c:v>
                </c:pt>
                <c:pt idx="6">
                  <c:v>JAN</c:v>
                </c:pt>
                <c:pt idx="7">
                  <c:v>FEB</c:v>
                </c:pt>
                <c:pt idx="8">
                  <c:v>MAR</c:v>
                </c:pt>
                <c:pt idx="9">
                  <c:v>APR</c:v>
                </c:pt>
                <c:pt idx="10">
                  <c:v>MAY</c:v>
                </c:pt>
                <c:pt idx="11">
                  <c:v>JUN</c:v>
                </c:pt>
              </c:strCache>
            </c:strRef>
          </c:cat>
          <c:val>
            <c:numRef>
              <c:f>'FY Comparison'!$F$10:$F$21</c:f>
              <c:numCache>
                <c:formatCode>_(* #,##0.00_);_(* \(#,##0.00\);_(* "-"??_);_(@_)</c:formatCode>
                <c:ptCount val="12"/>
                <c:pt idx="0">
                  <c:v>467027.38</c:v>
                </c:pt>
                <c:pt idx="1">
                  <c:v>449159</c:v>
                </c:pt>
                <c:pt idx="2">
                  <c:v>461417.89</c:v>
                </c:pt>
                <c:pt idx="3">
                  <c:v>283506.24</c:v>
                </c:pt>
                <c:pt idx="4">
                  <c:v>182111.63</c:v>
                </c:pt>
                <c:pt idx="5">
                  <c:v>185112.44</c:v>
                </c:pt>
                <c:pt idx="6">
                  <c:v>158897.03</c:v>
                </c:pt>
                <c:pt idx="7">
                  <c:v>194384.01</c:v>
                </c:pt>
                <c:pt idx="8">
                  <c:v>177942.78</c:v>
                </c:pt>
                <c:pt idx="9">
                  <c:v>198450.27</c:v>
                </c:pt>
                <c:pt idx="10">
                  <c:v>177435.12</c:v>
                </c:pt>
                <c:pt idx="11">
                  <c:v>342829.35</c:v>
                </c:pt>
              </c:numCache>
            </c:numRef>
          </c:val>
          <c:extLst>
            <c:ext xmlns:c16="http://schemas.microsoft.com/office/drawing/2014/chart" uri="{C3380CC4-5D6E-409C-BE32-E72D297353CC}">
              <c16:uniqueId val="{00000007-4FD9-4B80-BC2F-7ADCDC3F85F9}"/>
            </c:ext>
          </c:extLst>
        </c:ser>
        <c:ser>
          <c:idx val="6"/>
          <c:order val="6"/>
          <c:tx>
            <c:v>FY16</c:v>
          </c:tx>
          <c:invertIfNegative val="0"/>
          <c:val>
            <c:numRef>
              <c:f>'FY Comparison'!$B$10:$B$21</c:f>
              <c:numCache>
                <c:formatCode>_(* #,##0.00_);_(* \(#,##0.00\);_(* "-"??_);_(@_)</c:formatCode>
                <c:ptCount val="12"/>
                <c:pt idx="0">
                  <c:v>374232.8</c:v>
                </c:pt>
                <c:pt idx="1">
                  <c:v>377601.34</c:v>
                </c:pt>
                <c:pt idx="2">
                  <c:v>327542.09999999998</c:v>
                </c:pt>
                <c:pt idx="3">
                  <c:v>190996.62</c:v>
                </c:pt>
                <c:pt idx="4">
                  <c:v>111703.4</c:v>
                </c:pt>
                <c:pt idx="5">
                  <c:v>131830.89000000001</c:v>
                </c:pt>
                <c:pt idx="6">
                  <c:v>106120.78</c:v>
                </c:pt>
                <c:pt idx="7">
                  <c:v>121543.35</c:v>
                </c:pt>
                <c:pt idx="8">
                  <c:v>140976.01999999999</c:v>
                </c:pt>
                <c:pt idx="9">
                  <c:v>84831.74</c:v>
                </c:pt>
                <c:pt idx="10">
                  <c:v>105426.1</c:v>
                </c:pt>
                <c:pt idx="11">
                  <c:v>224305.93</c:v>
                </c:pt>
              </c:numCache>
            </c:numRef>
          </c:val>
          <c:extLst>
            <c:ext xmlns:c16="http://schemas.microsoft.com/office/drawing/2014/chart" uri="{C3380CC4-5D6E-409C-BE32-E72D297353CC}">
              <c16:uniqueId val="{00000008-4FD9-4B80-BC2F-7ADCDC3F85F9}"/>
            </c:ext>
          </c:extLst>
        </c:ser>
        <c:dLbls>
          <c:showLegendKey val="0"/>
          <c:showVal val="0"/>
          <c:showCatName val="0"/>
          <c:showSerName val="0"/>
          <c:showPercent val="0"/>
          <c:showBubbleSize val="0"/>
        </c:dLbls>
        <c:gapWidth val="150"/>
        <c:axId val="194052864"/>
        <c:axId val="194054400"/>
      </c:barChart>
      <c:catAx>
        <c:axId val="194052864"/>
        <c:scaling>
          <c:orientation val="minMax"/>
        </c:scaling>
        <c:delete val="0"/>
        <c:axPos val="b"/>
        <c:numFmt formatCode="General" sourceLinked="1"/>
        <c:majorTickMark val="none"/>
        <c:minorTickMark val="none"/>
        <c:tickLblPos val="nextTo"/>
        <c:crossAx val="194054400"/>
        <c:crosses val="autoZero"/>
        <c:auto val="1"/>
        <c:lblAlgn val="ctr"/>
        <c:lblOffset val="100"/>
        <c:noMultiLvlLbl val="0"/>
      </c:catAx>
      <c:valAx>
        <c:axId val="194054400"/>
        <c:scaling>
          <c:orientation val="minMax"/>
        </c:scaling>
        <c:delete val="0"/>
        <c:axPos val="l"/>
        <c:majorGridlines/>
        <c:title>
          <c:tx>
            <c:rich>
              <a:bodyPr/>
              <a:lstStyle/>
              <a:p>
                <a:pPr>
                  <a:defRPr/>
                </a:pPr>
                <a:r>
                  <a:rPr lang="en-US"/>
                  <a:t>Bill Amount</a:t>
                </a:r>
              </a:p>
            </c:rich>
          </c:tx>
          <c:layout/>
          <c:overlay val="0"/>
        </c:title>
        <c:numFmt formatCode="_(* #,##0.00_);_(* \(#,##0.00\);_(* &quot;-&quot;??_);_(@_)" sourceLinked="1"/>
        <c:majorTickMark val="none"/>
        <c:minorTickMark val="none"/>
        <c:tickLblPos val="nextTo"/>
        <c:crossAx val="194052864"/>
        <c:crosses val="autoZero"/>
        <c:crossBetween val="between"/>
        <c:majorUnit val="50000"/>
      </c:valAx>
    </c:plotArea>
    <c:plotVisOnly val="1"/>
    <c:dispBlanksAs val="gap"/>
    <c:showDLblsOverMax val="0"/>
  </c:chart>
  <c:printSettings>
    <c:headerFooter/>
    <c:pageMargins b="0.75000000000001066" l="0.70000000000000062" r="0.70000000000000062" t="0.750000000000010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Purchased Total KWH - On &amp; Off Peak (column O)</a:t>
            </a:r>
          </a:p>
        </c:rich>
      </c:tx>
      <c:overlay val="0"/>
    </c:title>
    <c:autoTitleDeleted val="0"/>
    <c:plotArea>
      <c:layout/>
      <c:barChart>
        <c:barDir val="col"/>
        <c:grouping val="clustered"/>
        <c:varyColors val="0"/>
        <c:ser>
          <c:idx val="0"/>
          <c:order val="0"/>
          <c:tx>
            <c:v>FY12 KWH</c:v>
          </c:tx>
          <c:invertIfNegative val="0"/>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Comparison'!$O$160:$O$171</c:f>
              <c:numCache>
                <c:formatCode>#,##0.00</c:formatCode>
                <c:ptCount val="12"/>
                <c:pt idx="0">
                  <c:v>4955466</c:v>
                </c:pt>
                <c:pt idx="1">
                  <c:v>4701120</c:v>
                </c:pt>
                <c:pt idx="2">
                  <c:v>5434197</c:v>
                </c:pt>
                <c:pt idx="3">
                  <c:v>3961264</c:v>
                </c:pt>
                <c:pt idx="4">
                  <c:v>3107539</c:v>
                </c:pt>
                <c:pt idx="5">
                  <c:v>2965682</c:v>
                </c:pt>
                <c:pt idx="6">
                  <c:v>2696385</c:v>
                </c:pt>
                <c:pt idx="7">
                  <c:v>3315028</c:v>
                </c:pt>
                <c:pt idx="8">
                  <c:v>4028474</c:v>
                </c:pt>
                <c:pt idx="9">
                  <c:v>4206595</c:v>
                </c:pt>
                <c:pt idx="10">
                  <c:v>3846677</c:v>
                </c:pt>
                <c:pt idx="11">
                  <c:v>4005665</c:v>
                </c:pt>
              </c:numCache>
            </c:numRef>
          </c:val>
          <c:extLst>
            <c:ext xmlns:c16="http://schemas.microsoft.com/office/drawing/2014/chart" uri="{C3380CC4-5D6E-409C-BE32-E72D297353CC}">
              <c16:uniqueId val="{00000000-BBC0-4A91-B605-A418C1050B30}"/>
            </c:ext>
          </c:extLst>
        </c:ser>
        <c:ser>
          <c:idx val="1"/>
          <c:order val="1"/>
          <c:tx>
            <c:v>FY13 KWH</c:v>
          </c:tx>
          <c:invertIfNegative val="0"/>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Comparison'!$O$140:$O$151</c:f>
              <c:numCache>
                <c:formatCode>#,##0.00</c:formatCode>
                <c:ptCount val="12"/>
                <c:pt idx="0">
                  <c:v>4716787</c:v>
                </c:pt>
                <c:pt idx="1">
                  <c:v>4570131</c:v>
                </c:pt>
                <c:pt idx="2">
                  <c:v>4843539</c:v>
                </c:pt>
                <c:pt idx="3">
                  <c:v>4680081</c:v>
                </c:pt>
                <c:pt idx="4">
                  <c:v>3660453</c:v>
                </c:pt>
                <c:pt idx="5">
                  <c:v>3789364</c:v>
                </c:pt>
                <c:pt idx="6">
                  <c:v>2579575</c:v>
                </c:pt>
                <c:pt idx="7">
                  <c:v>3178669</c:v>
                </c:pt>
                <c:pt idx="8">
                  <c:v>3294129</c:v>
                </c:pt>
                <c:pt idx="9">
                  <c:v>4352645</c:v>
                </c:pt>
                <c:pt idx="10">
                  <c:v>3557325</c:v>
                </c:pt>
                <c:pt idx="11">
                  <c:v>4524867</c:v>
                </c:pt>
              </c:numCache>
            </c:numRef>
          </c:val>
          <c:extLst>
            <c:ext xmlns:c16="http://schemas.microsoft.com/office/drawing/2014/chart" uri="{C3380CC4-5D6E-409C-BE32-E72D297353CC}">
              <c16:uniqueId val="{00000001-BBC0-4A91-B605-A418C1050B30}"/>
            </c:ext>
          </c:extLst>
        </c:ser>
        <c:ser>
          <c:idx val="2"/>
          <c:order val="2"/>
          <c:tx>
            <c:v>FY14 KWH</c:v>
          </c:tx>
          <c:invertIfNegative val="0"/>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Comparison'!$O$120:$O$131</c:f>
              <c:numCache>
                <c:formatCode>#,##0.00</c:formatCode>
                <c:ptCount val="12"/>
                <c:pt idx="0">
                  <c:v>5362522</c:v>
                </c:pt>
                <c:pt idx="1">
                  <c:v>5128464</c:v>
                </c:pt>
                <c:pt idx="2">
                  <c:v>4762429</c:v>
                </c:pt>
                <c:pt idx="3">
                  <c:v>3939925</c:v>
                </c:pt>
                <c:pt idx="4">
                  <c:v>3310702</c:v>
                </c:pt>
                <c:pt idx="5">
                  <c:v>2900695</c:v>
                </c:pt>
                <c:pt idx="6">
                  <c:v>2221331</c:v>
                </c:pt>
                <c:pt idx="7">
                  <c:v>2843068</c:v>
                </c:pt>
                <c:pt idx="8">
                  <c:v>3105115</c:v>
                </c:pt>
                <c:pt idx="9">
                  <c:v>5458274</c:v>
                </c:pt>
                <c:pt idx="10">
                  <c:v>3219387</c:v>
                </c:pt>
                <c:pt idx="11">
                  <c:v>3969745</c:v>
                </c:pt>
              </c:numCache>
            </c:numRef>
          </c:val>
          <c:extLst>
            <c:ext xmlns:c16="http://schemas.microsoft.com/office/drawing/2014/chart" uri="{C3380CC4-5D6E-409C-BE32-E72D297353CC}">
              <c16:uniqueId val="{00000002-BBC0-4A91-B605-A418C1050B30}"/>
            </c:ext>
          </c:extLst>
        </c:ser>
        <c:ser>
          <c:idx val="3"/>
          <c:order val="3"/>
          <c:tx>
            <c:v>FY15 KWH</c:v>
          </c:tx>
          <c:invertIfNegative val="0"/>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Comparison'!$O$99:$O$110</c:f>
              <c:numCache>
                <c:formatCode>#,##0.00</c:formatCode>
                <c:ptCount val="12"/>
                <c:pt idx="0">
                  <c:v>4138865</c:v>
                </c:pt>
                <c:pt idx="1">
                  <c:v>4199804</c:v>
                </c:pt>
                <c:pt idx="2">
                  <c:v>4781534</c:v>
                </c:pt>
                <c:pt idx="3">
                  <c:v>3725561</c:v>
                </c:pt>
                <c:pt idx="4">
                  <c:v>3153893</c:v>
                </c:pt>
                <c:pt idx="5">
                  <c:v>2439500</c:v>
                </c:pt>
                <c:pt idx="6">
                  <c:v>2433860</c:v>
                </c:pt>
                <c:pt idx="7">
                  <c:v>2671292</c:v>
                </c:pt>
                <c:pt idx="8">
                  <c:v>2693684</c:v>
                </c:pt>
                <c:pt idx="9">
                  <c:v>3203749</c:v>
                </c:pt>
                <c:pt idx="10">
                  <c:v>3073155</c:v>
                </c:pt>
                <c:pt idx="11">
                  <c:v>3930148</c:v>
                </c:pt>
              </c:numCache>
            </c:numRef>
          </c:val>
          <c:extLst>
            <c:ext xmlns:c16="http://schemas.microsoft.com/office/drawing/2014/chart" uri="{C3380CC4-5D6E-409C-BE32-E72D297353CC}">
              <c16:uniqueId val="{00000003-BBC0-4A91-B605-A418C1050B30}"/>
            </c:ext>
          </c:extLst>
        </c:ser>
        <c:ser>
          <c:idx val="4"/>
          <c:order val="4"/>
          <c:tx>
            <c:v>FY16 KWH</c:v>
          </c:tx>
          <c:invertIfNegative val="0"/>
          <c:val>
            <c:numRef>
              <c:f>'EPEC KWH Comparison'!$O$77:$O$88</c:f>
              <c:numCache>
                <c:formatCode>#,##0.00</c:formatCode>
                <c:ptCount val="12"/>
                <c:pt idx="0">
                  <c:v>4209169</c:v>
                </c:pt>
                <c:pt idx="1">
                  <c:v>4690772</c:v>
                </c:pt>
                <c:pt idx="2">
                  <c:v>4808147</c:v>
                </c:pt>
                <c:pt idx="3">
                  <c:v>3287538</c:v>
                </c:pt>
                <c:pt idx="4">
                  <c:v>2764959</c:v>
                </c:pt>
                <c:pt idx="5">
                  <c:v>2060240</c:v>
                </c:pt>
                <c:pt idx="6">
                  <c:v>1649302</c:v>
                </c:pt>
                <c:pt idx="7">
                  <c:v>2375140</c:v>
                </c:pt>
                <c:pt idx="8">
                  <c:v>2052879</c:v>
                </c:pt>
                <c:pt idx="9">
                  <c:v>2684667</c:v>
                </c:pt>
                <c:pt idx="10">
                  <c:v>2313159</c:v>
                </c:pt>
                <c:pt idx="11">
                  <c:v>2628500</c:v>
                </c:pt>
              </c:numCache>
            </c:numRef>
          </c:val>
          <c:extLst>
            <c:ext xmlns:c16="http://schemas.microsoft.com/office/drawing/2014/chart" uri="{C3380CC4-5D6E-409C-BE32-E72D297353CC}">
              <c16:uniqueId val="{00000004-BBC0-4A91-B605-A418C1050B30}"/>
            </c:ext>
          </c:extLst>
        </c:ser>
        <c:ser>
          <c:idx val="5"/>
          <c:order val="5"/>
          <c:tx>
            <c:v>FY17 KWH</c:v>
          </c:tx>
          <c:invertIfNegative val="0"/>
          <c:val>
            <c:numRef>
              <c:f>'EPEC KWH Comparison'!$O$55:$O$66</c:f>
              <c:numCache>
                <c:formatCode>#,##0.00</c:formatCode>
                <c:ptCount val="12"/>
                <c:pt idx="0">
                  <c:v>3411956</c:v>
                </c:pt>
                <c:pt idx="1">
                  <c:v>4017272</c:v>
                </c:pt>
                <c:pt idx="2">
                  <c:v>3272822</c:v>
                </c:pt>
                <c:pt idx="3">
                  <c:v>2761898</c:v>
                </c:pt>
                <c:pt idx="4">
                  <c:v>2404781</c:v>
                </c:pt>
                <c:pt idx="5">
                  <c:v>1766228</c:v>
                </c:pt>
                <c:pt idx="6">
                  <c:v>1997094</c:v>
                </c:pt>
                <c:pt idx="7">
                  <c:v>1862994</c:v>
                </c:pt>
                <c:pt idx="8">
                  <c:v>1896632</c:v>
                </c:pt>
                <c:pt idx="9">
                  <c:v>2337942</c:v>
                </c:pt>
                <c:pt idx="10">
                  <c:v>2671749</c:v>
                </c:pt>
                <c:pt idx="11">
                  <c:v>3190214</c:v>
                </c:pt>
              </c:numCache>
            </c:numRef>
          </c:val>
          <c:extLst>
            <c:ext xmlns:c16="http://schemas.microsoft.com/office/drawing/2014/chart" uri="{C3380CC4-5D6E-409C-BE32-E72D297353CC}">
              <c16:uniqueId val="{00000005-BBC0-4A91-B605-A418C1050B30}"/>
            </c:ext>
          </c:extLst>
        </c:ser>
        <c:ser>
          <c:idx val="6"/>
          <c:order val="6"/>
          <c:tx>
            <c:v>FY18 KWH</c:v>
          </c:tx>
          <c:invertIfNegative val="0"/>
          <c:val>
            <c:numRef>
              <c:f>'EPEC KWH Comparison'!$O$32:$O$43</c:f>
              <c:numCache>
                <c:formatCode>#,##0.00</c:formatCode>
                <c:ptCount val="12"/>
                <c:pt idx="0">
                  <c:v>3202224</c:v>
                </c:pt>
                <c:pt idx="1">
                  <c:v>3668255</c:v>
                </c:pt>
                <c:pt idx="2">
                  <c:v>3628549</c:v>
                </c:pt>
                <c:pt idx="3">
                  <c:v>2791409</c:v>
                </c:pt>
                <c:pt idx="4">
                  <c:v>2149452</c:v>
                </c:pt>
                <c:pt idx="5">
                  <c:v>1817462</c:v>
                </c:pt>
                <c:pt idx="6">
                  <c:v>1660548</c:v>
                </c:pt>
                <c:pt idx="7">
                  <c:v>2131896</c:v>
                </c:pt>
                <c:pt idx="8">
                  <c:v>1946066</c:v>
                </c:pt>
                <c:pt idx="9">
                  <c:v>2434880</c:v>
                </c:pt>
                <c:pt idx="10">
                  <c:v>5480315</c:v>
                </c:pt>
                <c:pt idx="11">
                  <c:v>4621621</c:v>
                </c:pt>
              </c:numCache>
            </c:numRef>
          </c:val>
          <c:extLst>
            <c:ext xmlns:c16="http://schemas.microsoft.com/office/drawing/2014/chart" uri="{C3380CC4-5D6E-409C-BE32-E72D297353CC}">
              <c16:uniqueId val="{00000006-BBC0-4A91-B605-A418C1050B30}"/>
            </c:ext>
          </c:extLst>
        </c:ser>
        <c:ser>
          <c:idx val="7"/>
          <c:order val="7"/>
          <c:tx>
            <c:v>FY19 KWH</c:v>
          </c:tx>
          <c:invertIfNegative val="0"/>
          <c:val>
            <c:numRef>
              <c:f>'EPEC KWH Comparison'!$O$7:$O$18</c:f>
              <c:numCache>
                <c:formatCode>#,##0.00</c:formatCode>
                <c:ptCount val="12"/>
                <c:pt idx="0">
                  <c:v>3059225</c:v>
                </c:pt>
                <c:pt idx="1">
                  <c:v>4108776</c:v>
                </c:pt>
                <c:pt idx="2">
                  <c:v>3792513</c:v>
                </c:pt>
                <c:pt idx="3">
                  <c:v>3220612</c:v>
                </c:pt>
                <c:pt idx="4">
                  <c:v>1916180</c:v>
                </c:pt>
                <c:pt idx="5">
                  <c:v>1762389</c:v>
                </c:pt>
                <c:pt idx="6">
                  <c:v>1335102</c:v>
                </c:pt>
                <c:pt idx="7">
                  <c:v>2069182</c:v>
                </c:pt>
                <c:pt idx="8">
                  <c:v>1899160</c:v>
                </c:pt>
                <c:pt idx="9">
                  <c:v>1975753</c:v>
                </c:pt>
                <c:pt idx="10">
                  <c:v>2402994</c:v>
                </c:pt>
                <c:pt idx="11">
                  <c:v>2696064</c:v>
                </c:pt>
              </c:numCache>
            </c:numRef>
          </c:val>
          <c:extLst>
            <c:ext xmlns:c16="http://schemas.microsoft.com/office/drawing/2014/chart" uri="{C3380CC4-5D6E-409C-BE32-E72D297353CC}">
              <c16:uniqueId val="{00000000-0EEE-4CA5-92F2-05039F06C984}"/>
            </c:ext>
          </c:extLst>
        </c:ser>
        <c:dLbls>
          <c:showLegendKey val="0"/>
          <c:showVal val="0"/>
          <c:showCatName val="0"/>
          <c:showSerName val="0"/>
          <c:showPercent val="0"/>
          <c:showBubbleSize val="0"/>
        </c:dLbls>
        <c:gapWidth val="150"/>
        <c:axId val="164948224"/>
        <c:axId val="165040128"/>
      </c:barChart>
      <c:catAx>
        <c:axId val="164948224"/>
        <c:scaling>
          <c:orientation val="minMax"/>
        </c:scaling>
        <c:delete val="0"/>
        <c:axPos val="b"/>
        <c:numFmt formatCode="General" sourceLinked="1"/>
        <c:majorTickMark val="none"/>
        <c:minorTickMark val="none"/>
        <c:tickLblPos val="nextTo"/>
        <c:crossAx val="165040128"/>
        <c:crosses val="autoZero"/>
        <c:auto val="1"/>
        <c:lblAlgn val="ctr"/>
        <c:lblOffset val="100"/>
        <c:noMultiLvlLbl val="0"/>
      </c:catAx>
      <c:valAx>
        <c:axId val="165040128"/>
        <c:scaling>
          <c:orientation val="minMax"/>
        </c:scaling>
        <c:delete val="0"/>
        <c:axPos val="l"/>
        <c:majorGridlines/>
        <c:title>
          <c:tx>
            <c:rich>
              <a:bodyPr/>
              <a:lstStyle/>
              <a:p>
                <a:pPr>
                  <a:defRPr/>
                </a:pPr>
                <a:r>
                  <a:rPr lang="en-US"/>
                  <a:t>KWH</a:t>
                </a:r>
              </a:p>
            </c:rich>
          </c:tx>
          <c:overlay val="0"/>
        </c:title>
        <c:numFmt formatCode="#,##0.00" sourceLinked="1"/>
        <c:majorTickMark val="none"/>
        <c:minorTickMark val="none"/>
        <c:tickLblPos val="nextTo"/>
        <c:crossAx val="164948224"/>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Off Peak KW (column E)</a:t>
            </a:r>
          </a:p>
        </c:rich>
      </c:tx>
      <c:overlay val="0"/>
    </c:title>
    <c:autoTitleDeleted val="0"/>
    <c:plotArea>
      <c:layout/>
      <c:barChart>
        <c:barDir val="col"/>
        <c:grouping val="clustered"/>
        <c:varyColors val="0"/>
        <c:ser>
          <c:idx val="0"/>
          <c:order val="0"/>
          <c:tx>
            <c:v>FY12 Demand KW</c:v>
          </c:tx>
          <c:invertIfNegative val="0"/>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Comparison'!$E$160:$E$171</c:f>
              <c:numCache>
                <c:formatCode>General</c:formatCode>
                <c:ptCount val="12"/>
                <c:pt idx="0">
                  <c:v>11563</c:v>
                </c:pt>
                <c:pt idx="1">
                  <c:v>13323</c:v>
                </c:pt>
                <c:pt idx="2">
                  <c:v>10916</c:v>
                </c:pt>
                <c:pt idx="3">
                  <c:v>9123</c:v>
                </c:pt>
                <c:pt idx="4">
                  <c:v>7558</c:v>
                </c:pt>
                <c:pt idx="5">
                  <c:v>6668</c:v>
                </c:pt>
                <c:pt idx="6">
                  <c:v>9316</c:v>
                </c:pt>
                <c:pt idx="7">
                  <c:v>9140</c:v>
                </c:pt>
                <c:pt idx="8">
                  <c:v>10584</c:v>
                </c:pt>
                <c:pt idx="9">
                  <c:v>11442</c:v>
                </c:pt>
                <c:pt idx="10">
                  <c:v>9372</c:v>
                </c:pt>
                <c:pt idx="11">
                  <c:v>8690</c:v>
                </c:pt>
              </c:numCache>
            </c:numRef>
          </c:val>
          <c:extLst>
            <c:ext xmlns:c16="http://schemas.microsoft.com/office/drawing/2014/chart" uri="{C3380CC4-5D6E-409C-BE32-E72D297353CC}">
              <c16:uniqueId val="{00000000-956F-44B2-8EA7-3B252C3D7831}"/>
            </c:ext>
          </c:extLst>
        </c:ser>
        <c:ser>
          <c:idx val="1"/>
          <c:order val="1"/>
          <c:tx>
            <c:v>FY13 Demand KW</c:v>
          </c:tx>
          <c:invertIfNegative val="0"/>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Comparison'!$E$140:$E$151</c:f>
              <c:numCache>
                <c:formatCode>General</c:formatCode>
                <c:ptCount val="12"/>
                <c:pt idx="0">
                  <c:v>10710</c:v>
                </c:pt>
                <c:pt idx="1">
                  <c:v>10131</c:v>
                </c:pt>
                <c:pt idx="2">
                  <c:v>10006</c:v>
                </c:pt>
                <c:pt idx="3">
                  <c:v>9429</c:v>
                </c:pt>
                <c:pt idx="4">
                  <c:v>9281</c:v>
                </c:pt>
                <c:pt idx="5">
                  <c:v>11528</c:v>
                </c:pt>
                <c:pt idx="6">
                  <c:v>7466</c:v>
                </c:pt>
                <c:pt idx="8">
                  <c:v>8026</c:v>
                </c:pt>
                <c:pt idx="9">
                  <c:v>10282</c:v>
                </c:pt>
                <c:pt idx="10">
                  <c:v>9119</c:v>
                </c:pt>
                <c:pt idx="11">
                  <c:v>9092</c:v>
                </c:pt>
              </c:numCache>
            </c:numRef>
          </c:val>
          <c:extLst>
            <c:ext xmlns:c16="http://schemas.microsoft.com/office/drawing/2014/chart" uri="{C3380CC4-5D6E-409C-BE32-E72D297353CC}">
              <c16:uniqueId val="{00000001-956F-44B2-8EA7-3B252C3D7831}"/>
            </c:ext>
          </c:extLst>
        </c:ser>
        <c:ser>
          <c:idx val="2"/>
          <c:order val="2"/>
          <c:tx>
            <c:v>FY14 Demand KW</c:v>
          </c:tx>
          <c:invertIfNegative val="0"/>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Comparison'!$E$120:$E$131</c:f>
              <c:numCache>
                <c:formatCode>General</c:formatCode>
                <c:ptCount val="12"/>
                <c:pt idx="0">
                  <c:v>12928</c:v>
                </c:pt>
                <c:pt idx="1">
                  <c:v>9282</c:v>
                </c:pt>
                <c:pt idx="2">
                  <c:v>9420</c:v>
                </c:pt>
                <c:pt idx="3">
                  <c:v>9294</c:v>
                </c:pt>
                <c:pt idx="4">
                  <c:v>7435</c:v>
                </c:pt>
                <c:pt idx="5">
                  <c:v>7245</c:v>
                </c:pt>
                <c:pt idx="6">
                  <c:v>6173</c:v>
                </c:pt>
                <c:pt idx="7">
                  <c:v>7238</c:v>
                </c:pt>
                <c:pt idx="8">
                  <c:v>9647</c:v>
                </c:pt>
                <c:pt idx="9">
                  <c:v>10813</c:v>
                </c:pt>
                <c:pt idx="10">
                  <c:v>9088</c:v>
                </c:pt>
                <c:pt idx="11">
                  <c:v>8370</c:v>
                </c:pt>
              </c:numCache>
            </c:numRef>
          </c:val>
          <c:extLst>
            <c:ext xmlns:c16="http://schemas.microsoft.com/office/drawing/2014/chart" uri="{C3380CC4-5D6E-409C-BE32-E72D297353CC}">
              <c16:uniqueId val="{00000002-956F-44B2-8EA7-3B252C3D7831}"/>
            </c:ext>
          </c:extLst>
        </c:ser>
        <c:ser>
          <c:idx val="3"/>
          <c:order val="3"/>
          <c:tx>
            <c:v>FY15 Demand KW</c:v>
          </c:tx>
          <c:invertIfNegative val="0"/>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Comparison'!$E$99:$E$110</c:f>
              <c:numCache>
                <c:formatCode>General</c:formatCode>
                <c:ptCount val="12"/>
                <c:pt idx="0">
                  <c:v>9059</c:v>
                </c:pt>
                <c:pt idx="1">
                  <c:v>8672</c:v>
                </c:pt>
                <c:pt idx="2">
                  <c:v>9043</c:v>
                </c:pt>
                <c:pt idx="3">
                  <c:v>8790</c:v>
                </c:pt>
                <c:pt idx="4">
                  <c:v>9414</c:v>
                </c:pt>
                <c:pt idx="5">
                  <c:v>6699</c:v>
                </c:pt>
                <c:pt idx="6">
                  <c:v>7998</c:v>
                </c:pt>
                <c:pt idx="7">
                  <c:v>9071</c:v>
                </c:pt>
                <c:pt idx="8">
                  <c:v>8134</c:v>
                </c:pt>
                <c:pt idx="9">
                  <c:v>8250</c:v>
                </c:pt>
                <c:pt idx="10">
                  <c:v>8278</c:v>
                </c:pt>
                <c:pt idx="11">
                  <c:v>11035</c:v>
                </c:pt>
              </c:numCache>
            </c:numRef>
          </c:val>
          <c:extLst>
            <c:ext xmlns:c16="http://schemas.microsoft.com/office/drawing/2014/chart" uri="{C3380CC4-5D6E-409C-BE32-E72D297353CC}">
              <c16:uniqueId val="{00000003-956F-44B2-8EA7-3B252C3D7831}"/>
            </c:ext>
          </c:extLst>
        </c:ser>
        <c:ser>
          <c:idx val="4"/>
          <c:order val="4"/>
          <c:tx>
            <c:v>FY16 Demand KW</c:v>
          </c:tx>
          <c:invertIfNegative val="0"/>
          <c:val>
            <c:numRef>
              <c:f>'EPEC KWH Comparison'!$E$77:$E$88</c:f>
              <c:numCache>
                <c:formatCode>General</c:formatCode>
                <c:ptCount val="12"/>
                <c:pt idx="0">
                  <c:v>8946</c:v>
                </c:pt>
                <c:pt idx="1">
                  <c:v>8733</c:v>
                </c:pt>
                <c:pt idx="2">
                  <c:v>10755</c:v>
                </c:pt>
                <c:pt idx="3">
                  <c:v>8020</c:v>
                </c:pt>
                <c:pt idx="4">
                  <c:v>6880</c:v>
                </c:pt>
                <c:pt idx="5">
                  <c:v>5522</c:v>
                </c:pt>
                <c:pt idx="6">
                  <c:v>5637</c:v>
                </c:pt>
                <c:pt idx="7">
                  <c:v>6829</c:v>
                </c:pt>
                <c:pt idx="8">
                  <c:v>6977</c:v>
                </c:pt>
                <c:pt idx="9">
                  <c:v>8308</c:v>
                </c:pt>
                <c:pt idx="10">
                  <c:v>6497</c:v>
                </c:pt>
                <c:pt idx="11">
                  <c:v>5918</c:v>
                </c:pt>
              </c:numCache>
            </c:numRef>
          </c:val>
          <c:extLst>
            <c:ext xmlns:c16="http://schemas.microsoft.com/office/drawing/2014/chart" uri="{C3380CC4-5D6E-409C-BE32-E72D297353CC}">
              <c16:uniqueId val="{00000004-956F-44B2-8EA7-3B252C3D7831}"/>
            </c:ext>
          </c:extLst>
        </c:ser>
        <c:ser>
          <c:idx val="5"/>
          <c:order val="5"/>
          <c:tx>
            <c:v>FY17 Demand KW</c:v>
          </c:tx>
          <c:invertIfNegative val="0"/>
          <c:val>
            <c:numRef>
              <c:f>'EPEC KWH Comparison'!$E$55:$E$66</c:f>
              <c:numCache>
                <c:formatCode>General</c:formatCode>
                <c:ptCount val="12"/>
                <c:pt idx="0">
                  <c:v>6894</c:v>
                </c:pt>
                <c:pt idx="1">
                  <c:v>8242</c:v>
                </c:pt>
                <c:pt idx="2">
                  <c:v>6926</c:v>
                </c:pt>
                <c:pt idx="3">
                  <c:v>7789</c:v>
                </c:pt>
                <c:pt idx="4">
                  <c:v>5545</c:v>
                </c:pt>
                <c:pt idx="5">
                  <c:v>4719</c:v>
                </c:pt>
                <c:pt idx="6">
                  <c:v>7907</c:v>
                </c:pt>
                <c:pt idx="7">
                  <c:v>6483</c:v>
                </c:pt>
                <c:pt idx="8">
                  <c:v>6475</c:v>
                </c:pt>
                <c:pt idx="9">
                  <c:v>6339</c:v>
                </c:pt>
                <c:pt idx="10">
                  <c:v>6880</c:v>
                </c:pt>
                <c:pt idx="11">
                  <c:v>6587</c:v>
                </c:pt>
              </c:numCache>
            </c:numRef>
          </c:val>
          <c:extLst>
            <c:ext xmlns:c16="http://schemas.microsoft.com/office/drawing/2014/chart" uri="{C3380CC4-5D6E-409C-BE32-E72D297353CC}">
              <c16:uniqueId val="{00000005-956F-44B2-8EA7-3B252C3D7831}"/>
            </c:ext>
          </c:extLst>
        </c:ser>
        <c:ser>
          <c:idx val="6"/>
          <c:order val="6"/>
          <c:tx>
            <c:v>FY18 Demand KW</c:v>
          </c:tx>
          <c:invertIfNegative val="0"/>
          <c:val>
            <c:numRef>
              <c:f>'EPEC KWH Comparison'!$E$32:$E$43</c:f>
              <c:numCache>
                <c:formatCode>General</c:formatCode>
                <c:ptCount val="12"/>
                <c:pt idx="0">
                  <c:v>6495</c:v>
                </c:pt>
                <c:pt idx="1">
                  <c:v>6897</c:v>
                </c:pt>
                <c:pt idx="2">
                  <c:v>6741</c:v>
                </c:pt>
                <c:pt idx="3">
                  <c:v>7549</c:v>
                </c:pt>
                <c:pt idx="4">
                  <c:v>6275</c:v>
                </c:pt>
                <c:pt idx="5">
                  <c:v>5309</c:v>
                </c:pt>
                <c:pt idx="6">
                  <c:v>6251</c:v>
                </c:pt>
                <c:pt idx="7">
                  <c:v>5445</c:v>
                </c:pt>
                <c:pt idx="8">
                  <c:v>6585</c:v>
                </c:pt>
                <c:pt idx="9">
                  <c:v>6300</c:v>
                </c:pt>
                <c:pt idx="10">
                  <c:v>10721</c:v>
                </c:pt>
                <c:pt idx="11">
                  <c:v>10860</c:v>
                </c:pt>
              </c:numCache>
            </c:numRef>
          </c:val>
          <c:extLst>
            <c:ext xmlns:c16="http://schemas.microsoft.com/office/drawing/2014/chart" uri="{C3380CC4-5D6E-409C-BE32-E72D297353CC}">
              <c16:uniqueId val="{00000006-956F-44B2-8EA7-3B252C3D7831}"/>
            </c:ext>
          </c:extLst>
        </c:ser>
        <c:ser>
          <c:idx val="7"/>
          <c:order val="7"/>
          <c:tx>
            <c:v>Y19 Demand KW</c:v>
          </c:tx>
          <c:invertIfNegative val="0"/>
          <c:val>
            <c:numRef>
              <c:f>'EPEC KWH Comparison'!$E$7:$E$18</c:f>
              <c:numCache>
                <c:formatCode>General</c:formatCode>
                <c:ptCount val="12"/>
                <c:pt idx="0">
                  <c:v>10067</c:v>
                </c:pt>
                <c:pt idx="1">
                  <c:v>8807</c:v>
                </c:pt>
                <c:pt idx="2">
                  <c:v>8404</c:v>
                </c:pt>
                <c:pt idx="3">
                  <c:v>10461</c:v>
                </c:pt>
                <c:pt idx="4">
                  <c:v>5737</c:v>
                </c:pt>
                <c:pt idx="5">
                  <c:v>8598</c:v>
                </c:pt>
                <c:pt idx="6">
                  <c:v>4643</c:v>
                </c:pt>
                <c:pt idx="7">
                  <c:v>6856</c:v>
                </c:pt>
                <c:pt idx="8">
                  <c:v>8342</c:v>
                </c:pt>
                <c:pt idx="9">
                  <c:v>8495</c:v>
                </c:pt>
                <c:pt idx="10">
                  <c:v>6864</c:v>
                </c:pt>
                <c:pt idx="11">
                  <c:v>6645</c:v>
                </c:pt>
              </c:numCache>
            </c:numRef>
          </c:val>
          <c:extLst>
            <c:ext xmlns:c16="http://schemas.microsoft.com/office/drawing/2014/chart" uri="{C3380CC4-5D6E-409C-BE32-E72D297353CC}">
              <c16:uniqueId val="{00000000-45F5-419E-B903-638DDD773B4F}"/>
            </c:ext>
          </c:extLst>
        </c:ser>
        <c:dLbls>
          <c:showLegendKey val="0"/>
          <c:showVal val="0"/>
          <c:showCatName val="0"/>
          <c:showSerName val="0"/>
          <c:showPercent val="0"/>
          <c:showBubbleSize val="0"/>
        </c:dLbls>
        <c:gapWidth val="150"/>
        <c:axId val="165300480"/>
        <c:axId val="165302272"/>
      </c:barChart>
      <c:catAx>
        <c:axId val="165300480"/>
        <c:scaling>
          <c:orientation val="minMax"/>
        </c:scaling>
        <c:delete val="0"/>
        <c:axPos val="b"/>
        <c:numFmt formatCode="General" sourceLinked="1"/>
        <c:majorTickMark val="none"/>
        <c:minorTickMark val="none"/>
        <c:tickLblPos val="nextTo"/>
        <c:crossAx val="165302272"/>
        <c:crosses val="autoZero"/>
        <c:auto val="1"/>
        <c:lblAlgn val="ctr"/>
        <c:lblOffset val="100"/>
        <c:noMultiLvlLbl val="0"/>
      </c:catAx>
      <c:valAx>
        <c:axId val="165302272"/>
        <c:scaling>
          <c:orientation val="minMax"/>
        </c:scaling>
        <c:delete val="0"/>
        <c:axPos val="l"/>
        <c:majorGridlines/>
        <c:title>
          <c:tx>
            <c:rich>
              <a:bodyPr/>
              <a:lstStyle/>
              <a:p>
                <a:pPr>
                  <a:defRPr/>
                </a:pPr>
                <a:r>
                  <a:rPr lang="en-US"/>
                  <a:t>KW</a:t>
                </a:r>
              </a:p>
            </c:rich>
          </c:tx>
          <c:overlay val="0"/>
        </c:title>
        <c:numFmt formatCode="General" sourceLinked="1"/>
        <c:majorTickMark val="none"/>
        <c:minorTickMark val="none"/>
        <c:tickLblPos val="nextTo"/>
        <c:crossAx val="165300480"/>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Purchased On Peak KWH (column F)</a:t>
            </a:r>
          </a:p>
        </c:rich>
      </c:tx>
      <c:layout/>
      <c:overlay val="0"/>
    </c:title>
    <c:autoTitleDeleted val="0"/>
    <c:plotArea>
      <c:layout>
        <c:manualLayout>
          <c:layoutTarget val="inner"/>
          <c:xMode val="edge"/>
          <c:yMode val="edge"/>
          <c:x val="0.17935786446360177"/>
          <c:y val="0.12438458453926997"/>
          <c:w val="0.81101518127731742"/>
          <c:h val="0.51710049627618748"/>
        </c:manualLayout>
      </c:layout>
      <c:barChart>
        <c:barDir val="col"/>
        <c:grouping val="clustered"/>
        <c:varyColors val="0"/>
        <c:ser>
          <c:idx val="0"/>
          <c:order val="0"/>
          <c:tx>
            <c:v>FY12 OnPeak KWH</c:v>
          </c:tx>
          <c:invertIfNegative val="0"/>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Comparison'!$F$160:$F$171</c:f>
              <c:numCache>
                <c:formatCode>#,##0.00</c:formatCode>
                <c:ptCount val="12"/>
                <c:pt idx="0">
                  <c:v>960173</c:v>
                </c:pt>
                <c:pt idx="1">
                  <c:v>939443</c:v>
                </c:pt>
                <c:pt idx="2">
                  <c:v>1096671</c:v>
                </c:pt>
                <c:pt idx="3">
                  <c:v>182923</c:v>
                </c:pt>
                <c:pt idx="4">
                  <c:v>0</c:v>
                </c:pt>
                <c:pt idx="5">
                  <c:v>0</c:v>
                </c:pt>
                <c:pt idx="6">
                  <c:v>0</c:v>
                </c:pt>
                <c:pt idx="7">
                  <c:v>0</c:v>
                </c:pt>
                <c:pt idx="8">
                  <c:v>0</c:v>
                </c:pt>
                <c:pt idx="9">
                  <c:v>0</c:v>
                </c:pt>
                <c:pt idx="10">
                  <c:v>0</c:v>
                </c:pt>
                <c:pt idx="11">
                  <c:v>568524</c:v>
                </c:pt>
              </c:numCache>
            </c:numRef>
          </c:val>
          <c:extLst>
            <c:ext xmlns:c16="http://schemas.microsoft.com/office/drawing/2014/chart" uri="{C3380CC4-5D6E-409C-BE32-E72D297353CC}">
              <c16:uniqueId val="{00000000-0CEB-40A7-8DCF-05EA71FAE518}"/>
            </c:ext>
          </c:extLst>
        </c:ser>
        <c:ser>
          <c:idx val="1"/>
          <c:order val="1"/>
          <c:tx>
            <c:v>FY13 OnPeak KWH</c:v>
          </c:tx>
          <c:invertIfNegative val="0"/>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Comparison'!$F$140:$F$151</c:f>
              <c:numCache>
                <c:formatCode>#,##0.00</c:formatCode>
                <c:ptCount val="12"/>
                <c:pt idx="0">
                  <c:v>913435</c:v>
                </c:pt>
                <c:pt idx="1">
                  <c:v>939918</c:v>
                </c:pt>
                <c:pt idx="2">
                  <c:v>1002447</c:v>
                </c:pt>
                <c:pt idx="3">
                  <c:v>347065</c:v>
                </c:pt>
                <c:pt idx="4">
                  <c:v>0</c:v>
                </c:pt>
                <c:pt idx="5">
                  <c:v>0</c:v>
                </c:pt>
                <c:pt idx="6">
                  <c:v>0</c:v>
                </c:pt>
                <c:pt idx="7">
                  <c:v>0</c:v>
                </c:pt>
                <c:pt idx="8">
                  <c:v>0</c:v>
                </c:pt>
                <c:pt idx="9">
                  <c:v>0</c:v>
                </c:pt>
                <c:pt idx="10">
                  <c:v>0</c:v>
                </c:pt>
                <c:pt idx="11">
                  <c:v>532516</c:v>
                </c:pt>
              </c:numCache>
            </c:numRef>
          </c:val>
          <c:extLst>
            <c:ext xmlns:c16="http://schemas.microsoft.com/office/drawing/2014/chart" uri="{C3380CC4-5D6E-409C-BE32-E72D297353CC}">
              <c16:uniqueId val="{00000001-0CEB-40A7-8DCF-05EA71FAE518}"/>
            </c:ext>
          </c:extLst>
        </c:ser>
        <c:ser>
          <c:idx val="2"/>
          <c:order val="2"/>
          <c:tx>
            <c:v>FY14 OnPeak KWH</c:v>
          </c:tx>
          <c:invertIfNegative val="0"/>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Comparison'!$F$120:$F$131</c:f>
              <c:numCache>
                <c:formatCode>#,##0.00</c:formatCode>
                <c:ptCount val="12"/>
                <c:pt idx="0">
                  <c:v>887900</c:v>
                </c:pt>
                <c:pt idx="1">
                  <c:v>890837</c:v>
                </c:pt>
                <c:pt idx="2">
                  <c:v>893091</c:v>
                </c:pt>
                <c:pt idx="3">
                  <c:v>200608</c:v>
                </c:pt>
                <c:pt idx="4">
                  <c:v>0</c:v>
                </c:pt>
                <c:pt idx="5">
                  <c:v>0</c:v>
                </c:pt>
                <c:pt idx="6">
                  <c:v>0</c:v>
                </c:pt>
                <c:pt idx="7">
                  <c:v>0</c:v>
                </c:pt>
                <c:pt idx="8">
                  <c:v>0</c:v>
                </c:pt>
                <c:pt idx="9">
                  <c:v>0</c:v>
                </c:pt>
                <c:pt idx="10">
                  <c:v>0</c:v>
                </c:pt>
                <c:pt idx="11">
                  <c:v>485745</c:v>
                </c:pt>
              </c:numCache>
            </c:numRef>
          </c:val>
          <c:extLst>
            <c:ext xmlns:c16="http://schemas.microsoft.com/office/drawing/2014/chart" uri="{C3380CC4-5D6E-409C-BE32-E72D297353CC}">
              <c16:uniqueId val="{00000002-0CEB-40A7-8DCF-05EA71FAE518}"/>
            </c:ext>
          </c:extLst>
        </c:ser>
        <c:ser>
          <c:idx val="3"/>
          <c:order val="3"/>
          <c:tx>
            <c:v>FY15 OnPeak KWH</c:v>
          </c:tx>
          <c:invertIfNegative val="0"/>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Comparison'!$F$99:$F$110</c:f>
              <c:numCache>
                <c:formatCode>#,##0.00</c:formatCode>
                <c:ptCount val="12"/>
                <c:pt idx="0">
                  <c:v>709954</c:v>
                </c:pt>
                <c:pt idx="1">
                  <c:v>735143</c:v>
                </c:pt>
                <c:pt idx="2">
                  <c:v>856056</c:v>
                </c:pt>
                <c:pt idx="3">
                  <c:v>248895</c:v>
                </c:pt>
                <c:pt idx="4">
                  <c:v>0</c:v>
                </c:pt>
                <c:pt idx="5">
                  <c:v>0</c:v>
                </c:pt>
                <c:pt idx="6">
                  <c:v>0</c:v>
                </c:pt>
                <c:pt idx="7">
                  <c:v>0</c:v>
                </c:pt>
                <c:pt idx="8">
                  <c:v>0</c:v>
                </c:pt>
                <c:pt idx="9">
                  <c:v>0</c:v>
                </c:pt>
                <c:pt idx="10">
                  <c:v>0</c:v>
                </c:pt>
                <c:pt idx="11">
                  <c:v>457009</c:v>
                </c:pt>
              </c:numCache>
            </c:numRef>
          </c:val>
          <c:extLst>
            <c:ext xmlns:c16="http://schemas.microsoft.com/office/drawing/2014/chart" uri="{C3380CC4-5D6E-409C-BE32-E72D297353CC}">
              <c16:uniqueId val="{00000003-0CEB-40A7-8DCF-05EA71FAE518}"/>
            </c:ext>
          </c:extLst>
        </c:ser>
        <c:ser>
          <c:idx val="4"/>
          <c:order val="4"/>
          <c:tx>
            <c:v>FY16 OnPeak KWH</c:v>
          </c:tx>
          <c:invertIfNegative val="0"/>
          <c:val>
            <c:numRef>
              <c:f>'EPEC KWH Comparison'!$F$77:$F$88</c:f>
              <c:numCache>
                <c:formatCode>#,##0.00</c:formatCode>
                <c:ptCount val="12"/>
                <c:pt idx="0">
                  <c:v>652297</c:v>
                </c:pt>
                <c:pt idx="1">
                  <c:v>738123</c:v>
                </c:pt>
                <c:pt idx="2">
                  <c:v>771392</c:v>
                </c:pt>
                <c:pt idx="3">
                  <c:v>158594</c:v>
                </c:pt>
                <c:pt idx="4">
                  <c:v>0</c:v>
                </c:pt>
                <c:pt idx="5">
                  <c:v>0</c:v>
                </c:pt>
                <c:pt idx="6">
                  <c:v>0</c:v>
                </c:pt>
                <c:pt idx="7">
                  <c:v>0</c:v>
                </c:pt>
                <c:pt idx="8">
                  <c:v>0</c:v>
                </c:pt>
                <c:pt idx="9">
                  <c:v>0</c:v>
                </c:pt>
                <c:pt idx="10">
                  <c:v>0</c:v>
                </c:pt>
                <c:pt idx="11">
                  <c:v>308504</c:v>
                </c:pt>
              </c:numCache>
            </c:numRef>
          </c:val>
          <c:extLst>
            <c:ext xmlns:c16="http://schemas.microsoft.com/office/drawing/2014/chart" uri="{C3380CC4-5D6E-409C-BE32-E72D297353CC}">
              <c16:uniqueId val="{00000004-0CEB-40A7-8DCF-05EA71FAE518}"/>
            </c:ext>
          </c:extLst>
        </c:ser>
        <c:ser>
          <c:idx val="5"/>
          <c:order val="5"/>
          <c:tx>
            <c:v>FY17 OnPeak KWH</c:v>
          </c:tx>
          <c:invertIfNegative val="0"/>
          <c:val>
            <c:numRef>
              <c:f>'EPEC KWH Comparison'!$F$55:$F$66</c:f>
              <c:numCache>
                <c:formatCode>#,##0.00</c:formatCode>
                <c:ptCount val="12"/>
                <c:pt idx="0">
                  <c:v>587080</c:v>
                </c:pt>
                <c:pt idx="1">
                  <c:v>691198</c:v>
                </c:pt>
                <c:pt idx="2">
                  <c:v>612713</c:v>
                </c:pt>
                <c:pt idx="3">
                  <c:v>216694</c:v>
                </c:pt>
                <c:pt idx="4">
                  <c:v>0</c:v>
                </c:pt>
                <c:pt idx="5">
                  <c:v>0</c:v>
                </c:pt>
                <c:pt idx="6">
                  <c:v>0</c:v>
                </c:pt>
                <c:pt idx="7">
                  <c:v>0</c:v>
                </c:pt>
                <c:pt idx="8">
                  <c:v>0</c:v>
                </c:pt>
                <c:pt idx="9">
                  <c:v>0</c:v>
                </c:pt>
                <c:pt idx="10">
                  <c:v>0</c:v>
                </c:pt>
                <c:pt idx="11">
                  <c:v>446330</c:v>
                </c:pt>
              </c:numCache>
            </c:numRef>
          </c:val>
          <c:extLst>
            <c:ext xmlns:c16="http://schemas.microsoft.com/office/drawing/2014/chart" uri="{C3380CC4-5D6E-409C-BE32-E72D297353CC}">
              <c16:uniqueId val="{00000005-0CEB-40A7-8DCF-05EA71FAE518}"/>
            </c:ext>
          </c:extLst>
        </c:ser>
        <c:ser>
          <c:idx val="6"/>
          <c:order val="6"/>
          <c:tx>
            <c:v>FY18 OnPeak KWH</c:v>
          </c:tx>
          <c:invertIfNegative val="0"/>
          <c:val>
            <c:numRef>
              <c:f>'EPEC KWH Comparison'!$F$32:$F$43</c:f>
              <c:numCache>
                <c:formatCode>#,##0.00</c:formatCode>
                <c:ptCount val="12"/>
                <c:pt idx="0">
                  <c:v>554233</c:v>
                </c:pt>
                <c:pt idx="1">
                  <c:v>697671</c:v>
                </c:pt>
                <c:pt idx="2">
                  <c:v>669210</c:v>
                </c:pt>
                <c:pt idx="3">
                  <c:v>136980</c:v>
                </c:pt>
                <c:pt idx="4">
                  <c:v>0</c:v>
                </c:pt>
                <c:pt idx="5">
                  <c:v>0</c:v>
                </c:pt>
                <c:pt idx="6">
                  <c:v>0</c:v>
                </c:pt>
                <c:pt idx="7">
                  <c:v>0</c:v>
                </c:pt>
                <c:pt idx="8">
                  <c:v>0</c:v>
                </c:pt>
                <c:pt idx="9">
                  <c:v>0</c:v>
                </c:pt>
                <c:pt idx="10">
                  <c:v>0</c:v>
                </c:pt>
                <c:pt idx="11">
                  <c:v>546225</c:v>
                </c:pt>
              </c:numCache>
            </c:numRef>
          </c:val>
          <c:extLst>
            <c:ext xmlns:c16="http://schemas.microsoft.com/office/drawing/2014/chart" uri="{C3380CC4-5D6E-409C-BE32-E72D297353CC}">
              <c16:uniqueId val="{00000006-0CEB-40A7-8DCF-05EA71FAE518}"/>
            </c:ext>
          </c:extLst>
        </c:ser>
        <c:ser>
          <c:idx val="7"/>
          <c:order val="7"/>
          <c:tx>
            <c:v>FY19 OnPeak KWH</c:v>
          </c:tx>
          <c:invertIfNegative val="0"/>
          <c:val>
            <c:numRef>
              <c:f>'EPEC KWH Comparison'!$F$7:$F$18</c:f>
              <c:numCache>
                <c:formatCode>#,##0.00</c:formatCode>
                <c:ptCount val="12"/>
                <c:pt idx="0">
                  <c:v>810713</c:v>
                </c:pt>
                <c:pt idx="1">
                  <c:v>795790</c:v>
                </c:pt>
                <c:pt idx="2">
                  <c:v>749305</c:v>
                </c:pt>
                <c:pt idx="3">
                  <c:v>183700</c:v>
                </c:pt>
                <c:pt idx="4">
                  <c:v>0</c:v>
                </c:pt>
                <c:pt idx="5">
                  <c:v>0</c:v>
                </c:pt>
                <c:pt idx="6">
                  <c:v>0</c:v>
                </c:pt>
                <c:pt idx="7">
                  <c:v>0</c:v>
                </c:pt>
                <c:pt idx="8">
                  <c:v>0</c:v>
                </c:pt>
                <c:pt idx="9">
                  <c:v>0</c:v>
                </c:pt>
                <c:pt idx="10">
                  <c:v>0</c:v>
                </c:pt>
                <c:pt idx="11">
                  <c:v>292973</c:v>
                </c:pt>
              </c:numCache>
            </c:numRef>
          </c:val>
          <c:extLst>
            <c:ext xmlns:c16="http://schemas.microsoft.com/office/drawing/2014/chart" uri="{C3380CC4-5D6E-409C-BE32-E72D297353CC}">
              <c16:uniqueId val="{00000000-D1CE-4E35-92BE-8CD39EF2A575}"/>
            </c:ext>
          </c:extLst>
        </c:ser>
        <c:dLbls>
          <c:showLegendKey val="0"/>
          <c:showVal val="0"/>
          <c:showCatName val="0"/>
          <c:showSerName val="0"/>
          <c:showPercent val="0"/>
          <c:showBubbleSize val="0"/>
        </c:dLbls>
        <c:gapWidth val="150"/>
        <c:axId val="165354112"/>
        <c:axId val="165360000"/>
      </c:barChart>
      <c:catAx>
        <c:axId val="165354112"/>
        <c:scaling>
          <c:orientation val="minMax"/>
        </c:scaling>
        <c:delete val="0"/>
        <c:axPos val="b"/>
        <c:numFmt formatCode="General" sourceLinked="1"/>
        <c:majorTickMark val="none"/>
        <c:minorTickMark val="none"/>
        <c:tickLblPos val="nextTo"/>
        <c:crossAx val="165360000"/>
        <c:crosses val="autoZero"/>
        <c:auto val="1"/>
        <c:lblAlgn val="ctr"/>
        <c:lblOffset val="100"/>
        <c:noMultiLvlLbl val="0"/>
      </c:catAx>
      <c:valAx>
        <c:axId val="165360000"/>
        <c:scaling>
          <c:orientation val="minMax"/>
        </c:scaling>
        <c:delete val="0"/>
        <c:axPos val="l"/>
        <c:majorGridlines/>
        <c:title>
          <c:tx>
            <c:rich>
              <a:bodyPr/>
              <a:lstStyle/>
              <a:p>
                <a:pPr>
                  <a:defRPr/>
                </a:pPr>
                <a:r>
                  <a:rPr lang="en-US"/>
                  <a:t>KWH</a:t>
                </a:r>
              </a:p>
            </c:rich>
          </c:tx>
          <c:layout/>
          <c:overlay val="0"/>
        </c:title>
        <c:numFmt formatCode="#,##0.00" sourceLinked="1"/>
        <c:majorTickMark val="none"/>
        <c:minorTickMark val="none"/>
        <c:tickLblPos val="nextTo"/>
        <c:crossAx val="165354112"/>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On Peak KW (column D)</a:t>
            </a:r>
          </a:p>
        </c:rich>
      </c:tx>
      <c:overlay val="0"/>
    </c:title>
    <c:autoTitleDeleted val="0"/>
    <c:plotArea>
      <c:layout/>
      <c:barChart>
        <c:barDir val="col"/>
        <c:grouping val="clustered"/>
        <c:varyColors val="0"/>
        <c:ser>
          <c:idx val="0"/>
          <c:order val="0"/>
          <c:tx>
            <c:v>FY12 Demand KW</c:v>
          </c:tx>
          <c:invertIfNegative val="0"/>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Comparison'!$D$160:$D$171</c:f>
              <c:numCache>
                <c:formatCode>General</c:formatCode>
                <c:ptCount val="12"/>
                <c:pt idx="0">
                  <c:v>9097</c:v>
                </c:pt>
                <c:pt idx="1">
                  <c:v>10665</c:v>
                </c:pt>
                <c:pt idx="2">
                  <c:v>9607</c:v>
                </c:pt>
                <c:pt idx="3">
                  <c:v>8395</c:v>
                </c:pt>
                <c:pt idx="4">
                  <c:v>0</c:v>
                </c:pt>
                <c:pt idx="5">
                  <c:v>0</c:v>
                </c:pt>
                <c:pt idx="6">
                  <c:v>0</c:v>
                </c:pt>
                <c:pt idx="7">
                  <c:v>0</c:v>
                </c:pt>
                <c:pt idx="8">
                  <c:v>0</c:v>
                </c:pt>
                <c:pt idx="9">
                  <c:v>0</c:v>
                </c:pt>
                <c:pt idx="10">
                  <c:v>0</c:v>
                </c:pt>
                <c:pt idx="11">
                  <c:v>8001</c:v>
                </c:pt>
              </c:numCache>
            </c:numRef>
          </c:val>
          <c:extLst>
            <c:ext xmlns:c16="http://schemas.microsoft.com/office/drawing/2014/chart" uri="{C3380CC4-5D6E-409C-BE32-E72D297353CC}">
              <c16:uniqueId val="{00000000-E108-46ED-9719-9C2F1C00DC35}"/>
            </c:ext>
          </c:extLst>
        </c:ser>
        <c:ser>
          <c:idx val="1"/>
          <c:order val="1"/>
          <c:tx>
            <c:v>FY13 Demand KW</c:v>
          </c:tx>
          <c:invertIfNegative val="0"/>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Comparison'!$D$140:$D$151</c:f>
              <c:numCache>
                <c:formatCode>General</c:formatCode>
                <c:ptCount val="12"/>
                <c:pt idx="0">
                  <c:v>8446</c:v>
                </c:pt>
                <c:pt idx="1">
                  <c:v>8762</c:v>
                </c:pt>
                <c:pt idx="2">
                  <c:v>10094</c:v>
                </c:pt>
                <c:pt idx="3">
                  <c:v>8309</c:v>
                </c:pt>
                <c:pt idx="4">
                  <c:v>0</c:v>
                </c:pt>
                <c:pt idx="5">
                  <c:v>0</c:v>
                </c:pt>
                <c:pt idx="6">
                  <c:v>0</c:v>
                </c:pt>
                <c:pt idx="8">
                  <c:v>0</c:v>
                </c:pt>
                <c:pt idx="9">
                  <c:v>0</c:v>
                </c:pt>
                <c:pt idx="10">
                  <c:v>0</c:v>
                </c:pt>
                <c:pt idx="11">
                  <c:v>7427</c:v>
                </c:pt>
              </c:numCache>
            </c:numRef>
          </c:val>
          <c:extLst>
            <c:ext xmlns:c16="http://schemas.microsoft.com/office/drawing/2014/chart" uri="{C3380CC4-5D6E-409C-BE32-E72D297353CC}">
              <c16:uniqueId val="{00000001-E108-46ED-9719-9C2F1C00DC35}"/>
            </c:ext>
          </c:extLst>
        </c:ser>
        <c:ser>
          <c:idx val="2"/>
          <c:order val="2"/>
          <c:tx>
            <c:v>FY14 Demand KW</c:v>
          </c:tx>
          <c:invertIfNegative val="0"/>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Comparison'!$D$120:$D$131</c:f>
              <c:numCache>
                <c:formatCode>General</c:formatCode>
                <c:ptCount val="12"/>
                <c:pt idx="0">
                  <c:v>10161</c:v>
                </c:pt>
                <c:pt idx="1">
                  <c:v>7536</c:v>
                </c:pt>
                <c:pt idx="2">
                  <c:v>7899</c:v>
                </c:pt>
                <c:pt idx="3">
                  <c:v>8345</c:v>
                </c:pt>
                <c:pt idx="4">
                  <c:v>0</c:v>
                </c:pt>
                <c:pt idx="5">
                  <c:v>0</c:v>
                </c:pt>
                <c:pt idx="6">
                  <c:v>0</c:v>
                </c:pt>
                <c:pt idx="7">
                  <c:v>0</c:v>
                </c:pt>
                <c:pt idx="8">
                  <c:v>0</c:v>
                </c:pt>
                <c:pt idx="9">
                  <c:v>0</c:v>
                </c:pt>
                <c:pt idx="10">
                  <c:v>0</c:v>
                </c:pt>
                <c:pt idx="11">
                  <c:v>6526</c:v>
                </c:pt>
              </c:numCache>
            </c:numRef>
          </c:val>
          <c:extLst>
            <c:ext xmlns:c16="http://schemas.microsoft.com/office/drawing/2014/chart" uri="{C3380CC4-5D6E-409C-BE32-E72D297353CC}">
              <c16:uniqueId val="{00000002-E108-46ED-9719-9C2F1C00DC35}"/>
            </c:ext>
          </c:extLst>
        </c:ser>
        <c:ser>
          <c:idx val="3"/>
          <c:order val="3"/>
          <c:tx>
            <c:v>FY15 Demand KW</c:v>
          </c:tx>
          <c:invertIfNegative val="0"/>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Comparison'!$D$99:$D$110</c:f>
              <c:numCache>
                <c:formatCode>General</c:formatCode>
                <c:ptCount val="12"/>
                <c:pt idx="0">
                  <c:v>6252</c:v>
                </c:pt>
                <c:pt idx="1">
                  <c:v>6970</c:v>
                </c:pt>
                <c:pt idx="2">
                  <c:v>8423</c:v>
                </c:pt>
                <c:pt idx="3">
                  <c:v>8055</c:v>
                </c:pt>
                <c:pt idx="4">
                  <c:v>0</c:v>
                </c:pt>
                <c:pt idx="5">
                  <c:v>0</c:v>
                </c:pt>
                <c:pt idx="6">
                  <c:v>0</c:v>
                </c:pt>
                <c:pt idx="7">
                  <c:v>0</c:v>
                </c:pt>
                <c:pt idx="8">
                  <c:v>0</c:v>
                </c:pt>
                <c:pt idx="9">
                  <c:v>0</c:v>
                </c:pt>
                <c:pt idx="10">
                  <c:v>0</c:v>
                </c:pt>
                <c:pt idx="11">
                  <c:v>9606</c:v>
                </c:pt>
              </c:numCache>
            </c:numRef>
          </c:val>
          <c:extLst>
            <c:ext xmlns:c16="http://schemas.microsoft.com/office/drawing/2014/chart" uri="{C3380CC4-5D6E-409C-BE32-E72D297353CC}">
              <c16:uniqueId val="{00000003-E108-46ED-9719-9C2F1C00DC35}"/>
            </c:ext>
          </c:extLst>
        </c:ser>
        <c:ser>
          <c:idx val="4"/>
          <c:order val="4"/>
          <c:tx>
            <c:v>FY16 Demand KW</c:v>
          </c:tx>
          <c:invertIfNegative val="0"/>
          <c:val>
            <c:numRef>
              <c:f>'EPEC KWH Comparison'!$D$77:$D$88</c:f>
              <c:numCache>
                <c:formatCode>General</c:formatCode>
                <c:ptCount val="12"/>
                <c:pt idx="0">
                  <c:v>5626</c:v>
                </c:pt>
                <c:pt idx="1">
                  <c:v>7080</c:v>
                </c:pt>
                <c:pt idx="2">
                  <c:v>7187</c:v>
                </c:pt>
                <c:pt idx="3">
                  <c:v>5705</c:v>
                </c:pt>
                <c:pt idx="4">
                  <c:v>0</c:v>
                </c:pt>
                <c:pt idx="5">
                  <c:v>0</c:v>
                </c:pt>
                <c:pt idx="6">
                  <c:v>0</c:v>
                </c:pt>
                <c:pt idx="7">
                  <c:v>0</c:v>
                </c:pt>
                <c:pt idx="8">
                  <c:v>0</c:v>
                </c:pt>
                <c:pt idx="9">
                  <c:v>0</c:v>
                </c:pt>
                <c:pt idx="10">
                  <c:v>0</c:v>
                </c:pt>
                <c:pt idx="11">
                  <c:v>5366</c:v>
                </c:pt>
              </c:numCache>
            </c:numRef>
          </c:val>
          <c:extLst>
            <c:ext xmlns:c16="http://schemas.microsoft.com/office/drawing/2014/chart" uri="{C3380CC4-5D6E-409C-BE32-E72D297353CC}">
              <c16:uniqueId val="{00000004-E108-46ED-9719-9C2F1C00DC35}"/>
            </c:ext>
          </c:extLst>
        </c:ser>
        <c:ser>
          <c:idx val="5"/>
          <c:order val="5"/>
          <c:tx>
            <c:v>FY17 Demand KW</c:v>
          </c:tx>
          <c:invertIfNegative val="0"/>
          <c:val>
            <c:numRef>
              <c:f>'EPEC KWH Comparison'!$D$55:$D$66</c:f>
              <c:numCache>
                <c:formatCode>General</c:formatCode>
                <c:ptCount val="12"/>
                <c:pt idx="0">
                  <c:v>6807</c:v>
                </c:pt>
                <c:pt idx="1">
                  <c:v>8039</c:v>
                </c:pt>
                <c:pt idx="2">
                  <c:v>6203</c:v>
                </c:pt>
                <c:pt idx="3">
                  <c:v>5814</c:v>
                </c:pt>
                <c:pt idx="4">
                  <c:v>0</c:v>
                </c:pt>
                <c:pt idx="5">
                  <c:v>0</c:v>
                </c:pt>
                <c:pt idx="6">
                  <c:v>0</c:v>
                </c:pt>
                <c:pt idx="7">
                  <c:v>0</c:v>
                </c:pt>
                <c:pt idx="8">
                  <c:v>0</c:v>
                </c:pt>
                <c:pt idx="9">
                  <c:v>0</c:v>
                </c:pt>
                <c:pt idx="10">
                  <c:v>0</c:v>
                </c:pt>
                <c:pt idx="11">
                  <c:v>6083</c:v>
                </c:pt>
              </c:numCache>
            </c:numRef>
          </c:val>
          <c:extLst>
            <c:ext xmlns:c16="http://schemas.microsoft.com/office/drawing/2014/chart" uri="{C3380CC4-5D6E-409C-BE32-E72D297353CC}">
              <c16:uniqueId val="{00000005-E108-46ED-9719-9C2F1C00DC35}"/>
            </c:ext>
          </c:extLst>
        </c:ser>
        <c:ser>
          <c:idx val="6"/>
          <c:order val="6"/>
          <c:tx>
            <c:v>FY18 Demand KW</c:v>
          </c:tx>
          <c:invertIfNegative val="0"/>
          <c:val>
            <c:numRef>
              <c:f>'EPEC KWH Comparison'!$D$32:$D$43</c:f>
              <c:numCache>
                <c:formatCode>General</c:formatCode>
                <c:ptCount val="12"/>
                <c:pt idx="0">
                  <c:v>5912</c:v>
                </c:pt>
                <c:pt idx="1">
                  <c:v>6502</c:v>
                </c:pt>
                <c:pt idx="2">
                  <c:v>5904</c:v>
                </c:pt>
                <c:pt idx="3">
                  <c:v>5073</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E108-46ED-9719-9C2F1C00DC35}"/>
            </c:ext>
          </c:extLst>
        </c:ser>
        <c:ser>
          <c:idx val="7"/>
          <c:order val="7"/>
          <c:tx>
            <c:v>FY19 Demand KW</c:v>
          </c:tx>
          <c:invertIfNegative val="0"/>
          <c:val>
            <c:numRef>
              <c:f>'EPEC KWH Comparison'!$D$7:$D$18</c:f>
              <c:numCache>
                <c:formatCode>General</c:formatCode>
                <c:ptCount val="12"/>
                <c:pt idx="0">
                  <c:v>0</c:v>
                </c:pt>
                <c:pt idx="1">
                  <c:v>7825</c:v>
                </c:pt>
                <c:pt idx="2">
                  <c:v>8270</c:v>
                </c:pt>
                <c:pt idx="3">
                  <c:v>6039</c:v>
                </c:pt>
                <c:pt idx="4">
                  <c:v>0</c:v>
                </c:pt>
                <c:pt idx="5">
                  <c:v>0</c:v>
                </c:pt>
                <c:pt idx="6">
                  <c:v>0</c:v>
                </c:pt>
                <c:pt idx="7">
                  <c:v>0</c:v>
                </c:pt>
                <c:pt idx="8">
                  <c:v>0</c:v>
                </c:pt>
                <c:pt idx="9">
                  <c:v>0</c:v>
                </c:pt>
                <c:pt idx="10">
                  <c:v>0</c:v>
                </c:pt>
                <c:pt idx="11">
                  <c:v>4164</c:v>
                </c:pt>
              </c:numCache>
            </c:numRef>
          </c:val>
          <c:extLst>
            <c:ext xmlns:c16="http://schemas.microsoft.com/office/drawing/2014/chart" uri="{C3380CC4-5D6E-409C-BE32-E72D297353CC}">
              <c16:uniqueId val="{00000000-75E7-482C-961E-4DF0E63B50B4}"/>
            </c:ext>
          </c:extLst>
        </c:ser>
        <c:dLbls>
          <c:showLegendKey val="0"/>
          <c:showVal val="0"/>
          <c:showCatName val="0"/>
          <c:showSerName val="0"/>
          <c:showPercent val="0"/>
          <c:showBubbleSize val="0"/>
        </c:dLbls>
        <c:gapWidth val="150"/>
        <c:axId val="165386880"/>
        <c:axId val="165396864"/>
      </c:barChart>
      <c:catAx>
        <c:axId val="165386880"/>
        <c:scaling>
          <c:orientation val="minMax"/>
        </c:scaling>
        <c:delete val="0"/>
        <c:axPos val="b"/>
        <c:numFmt formatCode="General" sourceLinked="1"/>
        <c:majorTickMark val="none"/>
        <c:minorTickMark val="none"/>
        <c:tickLblPos val="nextTo"/>
        <c:crossAx val="165396864"/>
        <c:crosses val="autoZero"/>
        <c:auto val="1"/>
        <c:lblAlgn val="ctr"/>
        <c:lblOffset val="100"/>
        <c:noMultiLvlLbl val="0"/>
      </c:catAx>
      <c:valAx>
        <c:axId val="165396864"/>
        <c:scaling>
          <c:orientation val="minMax"/>
        </c:scaling>
        <c:delete val="0"/>
        <c:axPos val="l"/>
        <c:majorGridlines/>
        <c:title>
          <c:tx>
            <c:rich>
              <a:bodyPr/>
              <a:lstStyle/>
              <a:p>
                <a:pPr>
                  <a:defRPr/>
                </a:pPr>
                <a:r>
                  <a:rPr lang="en-US"/>
                  <a:t>KW</a:t>
                </a:r>
              </a:p>
            </c:rich>
          </c:tx>
          <c:overlay val="0"/>
        </c:title>
        <c:numFmt formatCode="General" sourceLinked="1"/>
        <c:majorTickMark val="none"/>
        <c:minorTickMark val="none"/>
        <c:tickLblPos val="nextTo"/>
        <c:crossAx val="165386880"/>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Purchased On Peak KWH (column F)</a:t>
            </a:r>
          </a:p>
        </c:rich>
      </c:tx>
      <c:layout/>
      <c:overlay val="0"/>
    </c:title>
    <c:autoTitleDeleted val="0"/>
    <c:plotArea>
      <c:layout>
        <c:manualLayout>
          <c:layoutTarget val="inner"/>
          <c:xMode val="edge"/>
          <c:yMode val="edge"/>
          <c:x val="0.17935786446360177"/>
          <c:y val="0.12438458453926997"/>
          <c:w val="0.81101518127731742"/>
          <c:h val="0.51710049627618748"/>
        </c:manualLayout>
      </c:layout>
      <c:lineChart>
        <c:grouping val="standard"/>
        <c:varyColors val="0"/>
        <c:ser>
          <c:idx val="0"/>
          <c:order val="0"/>
          <c:tx>
            <c:v>FY12 OnPeak KWH</c:v>
          </c:tx>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Comparison'!$F$160:$F$171</c:f>
              <c:numCache>
                <c:formatCode>#,##0.00</c:formatCode>
                <c:ptCount val="12"/>
                <c:pt idx="0">
                  <c:v>960173</c:v>
                </c:pt>
                <c:pt idx="1">
                  <c:v>939443</c:v>
                </c:pt>
                <c:pt idx="2">
                  <c:v>1096671</c:v>
                </c:pt>
                <c:pt idx="3">
                  <c:v>182923</c:v>
                </c:pt>
                <c:pt idx="4">
                  <c:v>0</c:v>
                </c:pt>
                <c:pt idx="5">
                  <c:v>0</c:v>
                </c:pt>
                <c:pt idx="6">
                  <c:v>0</c:v>
                </c:pt>
                <c:pt idx="7">
                  <c:v>0</c:v>
                </c:pt>
                <c:pt idx="8">
                  <c:v>0</c:v>
                </c:pt>
                <c:pt idx="9">
                  <c:v>0</c:v>
                </c:pt>
                <c:pt idx="10">
                  <c:v>0</c:v>
                </c:pt>
                <c:pt idx="11">
                  <c:v>568524</c:v>
                </c:pt>
              </c:numCache>
            </c:numRef>
          </c:val>
          <c:smooth val="0"/>
          <c:extLst>
            <c:ext xmlns:c16="http://schemas.microsoft.com/office/drawing/2014/chart" uri="{C3380CC4-5D6E-409C-BE32-E72D297353CC}">
              <c16:uniqueId val="{00000000-4B42-4150-B380-5FF6B0E63BB0}"/>
            </c:ext>
          </c:extLst>
        </c:ser>
        <c:ser>
          <c:idx val="1"/>
          <c:order val="1"/>
          <c:tx>
            <c:v>FY13 OnPeak KWH</c:v>
          </c:tx>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Comparison'!$F$140:$F$151</c:f>
              <c:numCache>
                <c:formatCode>#,##0.00</c:formatCode>
                <c:ptCount val="12"/>
                <c:pt idx="0">
                  <c:v>913435</c:v>
                </c:pt>
                <c:pt idx="1">
                  <c:v>939918</c:v>
                </c:pt>
                <c:pt idx="2">
                  <c:v>1002447</c:v>
                </c:pt>
                <c:pt idx="3">
                  <c:v>347065</c:v>
                </c:pt>
                <c:pt idx="4">
                  <c:v>0</c:v>
                </c:pt>
                <c:pt idx="5">
                  <c:v>0</c:v>
                </c:pt>
                <c:pt idx="6">
                  <c:v>0</c:v>
                </c:pt>
                <c:pt idx="7">
                  <c:v>0</c:v>
                </c:pt>
                <c:pt idx="8">
                  <c:v>0</c:v>
                </c:pt>
                <c:pt idx="9">
                  <c:v>0</c:v>
                </c:pt>
                <c:pt idx="10">
                  <c:v>0</c:v>
                </c:pt>
                <c:pt idx="11">
                  <c:v>532516</c:v>
                </c:pt>
              </c:numCache>
            </c:numRef>
          </c:val>
          <c:smooth val="0"/>
          <c:extLst>
            <c:ext xmlns:c16="http://schemas.microsoft.com/office/drawing/2014/chart" uri="{C3380CC4-5D6E-409C-BE32-E72D297353CC}">
              <c16:uniqueId val="{00000001-4B42-4150-B380-5FF6B0E63BB0}"/>
            </c:ext>
          </c:extLst>
        </c:ser>
        <c:ser>
          <c:idx val="2"/>
          <c:order val="2"/>
          <c:tx>
            <c:v>FY14 OnPeak KWH</c:v>
          </c:tx>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Comparison'!$F$120:$F$131</c:f>
              <c:numCache>
                <c:formatCode>#,##0.00</c:formatCode>
                <c:ptCount val="12"/>
                <c:pt idx="0">
                  <c:v>887900</c:v>
                </c:pt>
                <c:pt idx="1">
                  <c:v>890837</c:v>
                </c:pt>
                <c:pt idx="2">
                  <c:v>893091</c:v>
                </c:pt>
                <c:pt idx="3">
                  <c:v>200608</c:v>
                </c:pt>
                <c:pt idx="4">
                  <c:v>0</c:v>
                </c:pt>
                <c:pt idx="5">
                  <c:v>0</c:v>
                </c:pt>
                <c:pt idx="6">
                  <c:v>0</c:v>
                </c:pt>
                <c:pt idx="7">
                  <c:v>0</c:v>
                </c:pt>
                <c:pt idx="8">
                  <c:v>0</c:v>
                </c:pt>
                <c:pt idx="9">
                  <c:v>0</c:v>
                </c:pt>
                <c:pt idx="10">
                  <c:v>0</c:v>
                </c:pt>
                <c:pt idx="11">
                  <c:v>485745</c:v>
                </c:pt>
              </c:numCache>
            </c:numRef>
          </c:val>
          <c:smooth val="0"/>
          <c:extLst>
            <c:ext xmlns:c16="http://schemas.microsoft.com/office/drawing/2014/chart" uri="{C3380CC4-5D6E-409C-BE32-E72D297353CC}">
              <c16:uniqueId val="{00000002-4B42-4150-B380-5FF6B0E63BB0}"/>
            </c:ext>
          </c:extLst>
        </c:ser>
        <c:ser>
          <c:idx val="3"/>
          <c:order val="3"/>
          <c:tx>
            <c:v>FY15 OnPeak KWH</c:v>
          </c:tx>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Comparison'!$F$99:$F$110</c:f>
              <c:numCache>
                <c:formatCode>#,##0.00</c:formatCode>
                <c:ptCount val="12"/>
                <c:pt idx="0">
                  <c:v>709954</c:v>
                </c:pt>
                <c:pt idx="1">
                  <c:v>735143</c:v>
                </c:pt>
                <c:pt idx="2">
                  <c:v>856056</c:v>
                </c:pt>
                <c:pt idx="3">
                  <c:v>248895</c:v>
                </c:pt>
                <c:pt idx="4">
                  <c:v>0</c:v>
                </c:pt>
                <c:pt idx="5">
                  <c:v>0</c:v>
                </c:pt>
                <c:pt idx="6">
                  <c:v>0</c:v>
                </c:pt>
                <c:pt idx="7">
                  <c:v>0</c:v>
                </c:pt>
                <c:pt idx="8">
                  <c:v>0</c:v>
                </c:pt>
                <c:pt idx="9">
                  <c:v>0</c:v>
                </c:pt>
                <c:pt idx="10">
                  <c:v>0</c:v>
                </c:pt>
                <c:pt idx="11">
                  <c:v>457009</c:v>
                </c:pt>
              </c:numCache>
            </c:numRef>
          </c:val>
          <c:smooth val="0"/>
          <c:extLst>
            <c:ext xmlns:c16="http://schemas.microsoft.com/office/drawing/2014/chart" uri="{C3380CC4-5D6E-409C-BE32-E72D297353CC}">
              <c16:uniqueId val="{00000003-4B42-4150-B380-5FF6B0E63BB0}"/>
            </c:ext>
          </c:extLst>
        </c:ser>
        <c:ser>
          <c:idx val="4"/>
          <c:order val="4"/>
          <c:tx>
            <c:v>FY16 OnPeak KWH</c:v>
          </c:tx>
          <c:val>
            <c:numRef>
              <c:f>'EPEC KWH Comparison'!$F$77:$F$88</c:f>
              <c:numCache>
                <c:formatCode>#,##0.00</c:formatCode>
                <c:ptCount val="12"/>
                <c:pt idx="0">
                  <c:v>652297</c:v>
                </c:pt>
                <c:pt idx="1">
                  <c:v>738123</c:v>
                </c:pt>
                <c:pt idx="2">
                  <c:v>771392</c:v>
                </c:pt>
                <c:pt idx="3">
                  <c:v>158594</c:v>
                </c:pt>
                <c:pt idx="4">
                  <c:v>0</c:v>
                </c:pt>
                <c:pt idx="5">
                  <c:v>0</c:v>
                </c:pt>
                <c:pt idx="6">
                  <c:v>0</c:v>
                </c:pt>
                <c:pt idx="7">
                  <c:v>0</c:v>
                </c:pt>
                <c:pt idx="8">
                  <c:v>0</c:v>
                </c:pt>
                <c:pt idx="9">
                  <c:v>0</c:v>
                </c:pt>
                <c:pt idx="10">
                  <c:v>0</c:v>
                </c:pt>
                <c:pt idx="11">
                  <c:v>308504</c:v>
                </c:pt>
              </c:numCache>
            </c:numRef>
          </c:val>
          <c:smooth val="0"/>
          <c:extLst>
            <c:ext xmlns:c16="http://schemas.microsoft.com/office/drawing/2014/chart" uri="{C3380CC4-5D6E-409C-BE32-E72D297353CC}">
              <c16:uniqueId val="{00000004-4B42-4150-B380-5FF6B0E63BB0}"/>
            </c:ext>
          </c:extLst>
        </c:ser>
        <c:ser>
          <c:idx val="5"/>
          <c:order val="5"/>
          <c:tx>
            <c:v>FY17 OnPeak KWH</c:v>
          </c:tx>
          <c:val>
            <c:numRef>
              <c:f>'EPEC KWH Comparison'!$F$55:$F$66</c:f>
              <c:numCache>
                <c:formatCode>#,##0.00</c:formatCode>
                <c:ptCount val="12"/>
                <c:pt idx="0">
                  <c:v>587080</c:v>
                </c:pt>
                <c:pt idx="1">
                  <c:v>691198</c:v>
                </c:pt>
                <c:pt idx="2">
                  <c:v>612713</c:v>
                </c:pt>
                <c:pt idx="3">
                  <c:v>216694</c:v>
                </c:pt>
                <c:pt idx="4">
                  <c:v>0</c:v>
                </c:pt>
                <c:pt idx="5">
                  <c:v>0</c:v>
                </c:pt>
                <c:pt idx="6">
                  <c:v>0</c:v>
                </c:pt>
                <c:pt idx="7">
                  <c:v>0</c:v>
                </c:pt>
                <c:pt idx="8">
                  <c:v>0</c:v>
                </c:pt>
                <c:pt idx="9">
                  <c:v>0</c:v>
                </c:pt>
                <c:pt idx="10">
                  <c:v>0</c:v>
                </c:pt>
                <c:pt idx="11">
                  <c:v>446330</c:v>
                </c:pt>
              </c:numCache>
            </c:numRef>
          </c:val>
          <c:smooth val="0"/>
          <c:extLst>
            <c:ext xmlns:c16="http://schemas.microsoft.com/office/drawing/2014/chart" uri="{C3380CC4-5D6E-409C-BE32-E72D297353CC}">
              <c16:uniqueId val="{00000005-4B42-4150-B380-5FF6B0E63BB0}"/>
            </c:ext>
          </c:extLst>
        </c:ser>
        <c:ser>
          <c:idx val="6"/>
          <c:order val="6"/>
          <c:tx>
            <c:v>FY18 OnPeak KWH</c:v>
          </c:tx>
          <c:val>
            <c:numRef>
              <c:f>'EPEC KWH Comparison'!$F$32:$F$43</c:f>
              <c:numCache>
                <c:formatCode>#,##0.00</c:formatCode>
                <c:ptCount val="12"/>
                <c:pt idx="0">
                  <c:v>554233</c:v>
                </c:pt>
                <c:pt idx="1">
                  <c:v>697671</c:v>
                </c:pt>
                <c:pt idx="2">
                  <c:v>669210</c:v>
                </c:pt>
                <c:pt idx="3">
                  <c:v>136980</c:v>
                </c:pt>
                <c:pt idx="4">
                  <c:v>0</c:v>
                </c:pt>
                <c:pt idx="5">
                  <c:v>0</c:v>
                </c:pt>
                <c:pt idx="6">
                  <c:v>0</c:v>
                </c:pt>
                <c:pt idx="7">
                  <c:v>0</c:v>
                </c:pt>
                <c:pt idx="8">
                  <c:v>0</c:v>
                </c:pt>
                <c:pt idx="9">
                  <c:v>0</c:v>
                </c:pt>
                <c:pt idx="10">
                  <c:v>0</c:v>
                </c:pt>
                <c:pt idx="11">
                  <c:v>546225</c:v>
                </c:pt>
              </c:numCache>
            </c:numRef>
          </c:val>
          <c:smooth val="0"/>
          <c:extLst>
            <c:ext xmlns:c16="http://schemas.microsoft.com/office/drawing/2014/chart" uri="{C3380CC4-5D6E-409C-BE32-E72D297353CC}">
              <c16:uniqueId val="{00000006-4B42-4150-B380-5FF6B0E63BB0}"/>
            </c:ext>
          </c:extLst>
        </c:ser>
        <c:ser>
          <c:idx val="7"/>
          <c:order val="7"/>
          <c:tx>
            <c:v>FY19 OnPeak KWH</c:v>
          </c:tx>
          <c:val>
            <c:numRef>
              <c:f>'EPEC KWH Comparison'!$F$7:$F$18</c:f>
              <c:numCache>
                <c:formatCode>#,##0.00</c:formatCode>
                <c:ptCount val="12"/>
                <c:pt idx="0">
                  <c:v>810713</c:v>
                </c:pt>
                <c:pt idx="1">
                  <c:v>795790</c:v>
                </c:pt>
                <c:pt idx="2">
                  <c:v>749305</c:v>
                </c:pt>
                <c:pt idx="3">
                  <c:v>183700</c:v>
                </c:pt>
                <c:pt idx="4">
                  <c:v>0</c:v>
                </c:pt>
                <c:pt idx="5">
                  <c:v>0</c:v>
                </c:pt>
                <c:pt idx="6">
                  <c:v>0</c:v>
                </c:pt>
                <c:pt idx="7">
                  <c:v>0</c:v>
                </c:pt>
                <c:pt idx="8">
                  <c:v>0</c:v>
                </c:pt>
                <c:pt idx="9">
                  <c:v>0</c:v>
                </c:pt>
                <c:pt idx="10">
                  <c:v>0</c:v>
                </c:pt>
                <c:pt idx="11">
                  <c:v>292973</c:v>
                </c:pt>
              </c:numCache>
            </c:numRef>
          </c:val>
          <c:smooth val="0"/>
          <c:extLst>
            <c:ext xmlns:c16="http://schemas.microsoft.com/office/drawing/2014/chart" uri="{C3380CC4-5D6E-409C-BE32-E72D297353CC}">
              <c16:uniqueId val="{00000000-60E4-4DBB-BE57-DC1C109C17DA}"/>
            </c:ext>
          </c:extLst>
        </c:ser>
        <c:dLbls>
          <c:showLegendKey val="0"/>
          <c:showVal val="0"/>
          <c:showCatName val="0"/>
          <c:showSerName val="0"/>
          <c:showPercent val="0"/>
          <c:showBubbleSize val="0"/>
        </c:dLbls>
        <c:marker val="1"/>
        <c:smooth val="0"/>
        <c:axId val="165488896"/>
        <c:axId val="165498880"/>
      </c:lineChart>
      <c:catAx>
        <c:axId val="165488896"/>
        <c:scaling>
          <c:orientation val="minMax"/>
        </c:scaling>
        <c:delete val="0"/>
        <c:axPos val="b"/>
        <c:numFmt formatCode="General" sourceLinked="1"/>
        <c:majorTickMark val="none"/>
        <c:minorTickMark val="none"/>
        <c:tickLblPos val="nextTo"/>
        <c:crossAx val="165498880"/>
        <c:crosses val="autoZero"/>
        <c:auto val="1"/>
        <c:lblAlgn val="ctr"/>
        <c:lblOffset val="100"/>
        <c:noMultiLvlLbl val="0"/>
      </c:catAx>
      <c:valAx>
        <c:axId val="165498880"/>
        <c:scaling>
          <c:orientation val="minMax"/>
        </c:scaling>
        <c:delete val="0"/>
        <c:axPos val="l"/>
        <c:majorGridlines/>
        <c:title>
          <c:tx>
            <c:rich>
              <a:bodyPr/>
              <a:lstStyle/>
              <a:p>
                <a:pPr>
                  <a:defRPr/>
                </a:pPr>
                <a:r>
                  <a:rPr lang="en-US"/>
                  <a:t>KWH</a:t>
                </a:r>
              </a:p>
            </c:rich>
          </c:tx>
          <c:layout/>
          <c:overlay val="0"/>
        </c:title>
        <c:numFmt formatCode="#,##0.00" sourceLinked="1"/>
        <c:majorTickMark val="none"/>
        <c:minorTickMark val="none"/>
        <c:tickLblPos val="nextTo"/>
        <c:crossAx val="165488896"/>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Purchased Off Peak KWH (column I)</a:t>
            </a:r>
          </a:p>
        </c:rich>
      </c:tx>
      <c:overlay val="0"/>
    </c:title>
    <c:autoTitleDeleted val="0"/>
    <c:plotArea>
      <c:layout>
        <c:manualLayout>
          <c:layoutTarget val="inner"/>
          <c:xMode val="edge"/>
          <c:yMode val="edge"/>
          <c:x val="0.16658849498435072"/>
          <c:y val="0.18268845983098528"/>
          <c:w val="0.80650929304875218"/>
          <c:h val="0.45063021604881559"/>
        </c:manualLayout>
      </c:layout>
      <c:lineChart>
        <c:grouping val="standard"/>
        <c:varyColors val="0"/>
        <c:ser>
          <c:idx val="0"/>
          <c:order val="0"/>
          <c:tx>
            <c:v>FY12 OffPeak KWH</c:v>
          </c:tx>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Comparison'!$I$160:$I$171</c:f>
              <c:numCache>
                <c:formatCode>#,##0.00</c:formatCode>
                <c:ptCount val="12"/>
                <c:pt idx="0">
                  <c:v>3995293</c:v>
                </c:pt>
                <c:pt idx="1">
                  <c:v>3761677</c:v>
                </c:pt>
                <c:pt idx="2">
                  <c:v>4337526</c:v>
                </c:pt>
                <c:pt idx="3">
                  <c:v>3778341</c:v>
                </c:pt>
                <c:pt idx="4">
                  <c:v>3107539</c:v>
                </c:pt>
                <c:pt idx="5">
                  <c:v>2965682</c:v>
                </c:pt>
                <c:pt idx="6">
                  <c:v>2696385</c:v>
                </c:pt>
                <c:pt idx="7">
                  <c:v>3315028</c:v>
                </c:pt>
                <c:pt idx="8">
                  <c:v>4028474</c:v>
                </c:pt>
                <c:pt idx="9">
                  <c:v>4206595</c:v>
                </c:pt>
                <c:pt idx="10">
                  <c:v>3846677</c:v>
                </c:pt>
                <c:pt idx="11">
                  <c:v>3437141</c:v>
                </c:pt>
              </c:numCache>
            </c:numRef>
          </c:val>
          <c:smooth val="0"/>
          <c:extLst>
            <c:ext xmlns:c16="http://schemas.microsoft.com/office/drawing/2014/chart" uri="{C3380CC4-5D6E-409C-BE32-E72D297353CC}">
              <c16:uniqueId val="{00000000-A6C7-43D7-932D-8F392F8FF149}"/>
            </c:ext>
          </c:extLst>
        </c:ser>
        <c:ser>
          <c:idx val="1"/>
          <c:order val="1"/>
          <c:tx>
            <c:v>FY13 OffPeak KWH</c:v>
          </c:tx>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Comparison'!$I$140:$I$151</c:f>
              <c:numCache>
                <c:formatCode>#,##0.00</c:formatCode>
                <c:ptCount val="12"/>
                <c:pt idx="0">
                  <c:v>3803352</c:v>
                </c:pt>
                <c:pt idx="1">
                  <c:v>3630213</c:v>
                </c:pt>
                <c:pt idx="2">
                  <c:v>3841092</c:v>
                </c:pt>
                <c:pt idx="3">
                  <c:v>4333016</c:v>
                </c:pt>
                <c:pt idx="4">
                  <c:v>3660453</c:v>
                </c:pt>
                <c:pt idx="5">
                  <c:v>3789364</c:v>
                </c:pt>
                <c:pt idx="6">
                  <c:v>2579575</c:v>
                </c:pt>
                <c:pt idx="7">
                  <c:v>3178669</c:v>
                </c:pt>
                <c:pt idx="8">
                  <c:v>3294129</c:v>
                </c:pt>
                <c:pt idx="9">
                  <c:v>4352645</c:v>
                </c:pt>
                <c:pt idx="10">
                  <c:v>3557325</c:v>
                </c:pt>
                <c:pt idx="11">
                  <c:v>3992351</c:v>
                </c:pt>
              </c:numCache>
            </c:numRef>
          </c:val>
          <c:smooth val="0"/>
          <c:extLst>
            <c:ext xmlns:c16="http://schemas.microsoft.com/office/drawing/2014/chart" uri="{C3380CC4-5D6E-409C-BE32-E72D297353CC}">
              <c16:uniqueId val="{00000001-A6C7-43D7-932D-8F392F8FF149}"/>
            </c:ext>
          </c:extLst>
        </c:ser>
        <c:ser>
          <c:idx val="2"/>
          <c:order val="2"/>
          <c:tx>
            <c:v>FY14 OffPeak KWH</c:v>
          </c:tx>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Comparison'!$I$120:$I$131</c:f>
              <c:numCache>
                <c:formatCode>#,##0.00</c:formatCode>
                <c:ptCount val="12"/>
                <c:pt idx="0">
                  <c:v>4474622</c:v>
                </c:pt>
                <c:pt idx="1">
                  <c:v>4237627</c:v>
                </c:pt>
                <c:pt idx="2">
                  <c:v>3869338</c:v>
                </c:pt>
                <c:pt idx="3">
                  <c:v>3739317</c:v>
                </c:pt>
                <c:pt idx="4">
                  <c:v>3310702</c:v>
                </c:pt>
                <c:pt idx="5">
                  <c:v>2900695</c:v>
                </c:pt>
                <c:pt idx="6">
                  <c:v>2221331</c:v>
                </c:pt>
                <c:pt idx="7">
                  <c:v>2843068</c:v>
                </c:pt>
                <c:pt idx="8">
                  <c:v>3105115</c:v>
                </c:pt>
                <c:pt idx="9">
                  <c:v>5458274</c:v>
                </c:pt>
                <c:pt idx="10">
                  <c:v>3219387</c:v>
                </c:pt>
                <c:pt idx="11">
                  <c:v>3484000</c:v>
                </c:pt>
              </c:numCache>
            </c:numRef>
          </c:val>
          <c:smooth val="0"/>
          <c:extLst>
            <c:ext xmlns:c16="http://schemas.microsoft.com/office/drawing/2014/chart" uri="{C3380CC4-5D6E-409C-BE32-E72D297353CC}">
              <c16:uniqueId val="{00000002-A6C7-43D7-932D-8F392F8FF149}"/>
            </c:ext>
          </c:extLst>
        </c:ser>
        <c:ser>
          <c:idx val="3"/>
          <c:order val="3"/>
          <c:tx>
            <c:v>FY15 Off Peak KWH</c:v>
          </c:tx>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Comparison'!$I$99:$I$110</c:f>
              <c:numCache>
                <c:formatCode>#,##0.00</c:formatCode>
                <c:ptCount val="12"/>
                <c:pt idx="0">
                  <c:v>3428911</c:v>
                </c:pt>
                <c:pt idx="1">
                  <c:v>3464661</c:v>
                </c:pt>
                <c:pt idx="2">
                  <c:v>3925478</c:v>
                </c:pt>
                <c:pt idx="3">
                  <c:v>3476666</c:v>
                </c:pt>
                <c:pt idx="4">
                  <c:v>3153893</c:v>
                </c:pt>
                <c:pt idx="5">
                  <c:v>2439500</c:v>
                </c:pt>
                <c:pt idx="6">
                  <c:v>2433860</c:v>
                </c:pt>
                <c:pt idx="7">
                  <c:v>2671292</c:v>
                </c:pt>
                <c:pt idx="8">
                  <c:v>2693684</c:v>
                </c:pt>
                <c:pt idx="9">
                  <c:v>3203749</c:v>
                </c:pt>
                <c:pt idx="10">
                  <c:v>3073155</c:v>
                </c:pt>
                <c:pt idx="11">
                  <c:v>3473139</c:v>
                </c:pt>
              </c:numCache>
            </c:numRef>
          </c:val>
          <c:smooth val="0"/>
          <c:extLst>
            <c:ext xmlns:c16="http://schemas.microsoft.com/office/drawing/2014/chart" uri="{C3380CC4-5D6E-409C-BE32-E72D297353CC}">
              <c16:uniqueId val="{00000003-A6C7-43D7-932D-8F392F8FF149}"/>
            </c:ext>
          </c:extLst>
        </c:ser>
        <c:ser>
          <c:idx val="4"/>
          <c:order val="4"/>
          <c:tx>
            <c:v>FY16 Off Peak KWH</c:v>
          </c:tx>
          <c:val>
            <c:numRef>
              <c:f>'EPEC KWH Comparison'!$I$77:$I$88</c:f>
              <c:numCache>
                <c:formatCode>#,##0.00</c:formatCode>
                <c:ptCount val="12"/>
                <c:pt idx="0">
                  <c:v>3556872</c:v>
                </c:pt>
                <c:pt idx="1">
                  <c:v>3952649</c:v>
                </c:pt>
                <c:pt idx="2">
                  <c:v>4036755</c:v>
                </c:pt>
                <c:pt idx="3">
                  <c:v>3128944</c:v>
                </c:pt>
                <c:pt idx="4">
                  <c:v>2764959</c:v>
                </c:pt>
                <c:pt idx="5">
                  <c:v>2060240</c:v>
                </c:pt>
                <c:pt idx="6">
                  <c:v>1649302</c:v>
                </c:pt>
                <c:pt idx="7">
                  <c:v>2375140</c:v>
                </c:pt>
                <c:pt idx="8">
                  <c:v>2052879</c:v>
                </c:pt>
                <c:pt idx="9">
                  <c:v>2684667</c:v>
                </c:pt>
                <c:pt idx="10">
                  <c:v>2313159</c:v>
                </c:pt>
                <c:pt idx="11">
                  <c:v>2319996</c:v>
                </c:pt>
              </c:numCache>
            </c:numRef>
          </c:val>
          <c:smooth val="0"/>
          <c:extLst>
            <c:ext xmlns:c16="http://schemas.microsoft.com/office/drawing/2014/chart" uri="{C3380CC4-5D6E-409C-BE32-E72D297353CC}">
              <c16:uniqueId val="{00000004-A6C7-43D7-932D-8F392F8FF149}"/>
            </c:ext>
          </c:extLst>
        </c:ser>
        <c:ser>
          <c:idx val="5"/>
          <c:order val="5"/>
          <c:tx>
            <c:v>FY17 Off Peak KWH</c:v>
          </c:tx>
          <c:val>
            <c:numRef>
              <c:f>'EPEC KWH Comparison'!$I$55:$I$66</c:f>
              <c:numCache>
                <c:formatCode>#,##0.00</c:formatCode>
                <c:ptCount val="12"/>
                <c:pt idx="0">
                  <c:v>2824876</c:v>
                </c:pt>
                <c:pt idx="1">
                  <c:v>3326074</c:v>
                </c:pt>
                <c:pt idx="2">
                  <c:v>2660109</c:v>
                </c:pt>
                <c:pt idx="3">
                  <c:v>2545204</c:v>
                </c:pt>
                <c:pt idx="4">
                  <c:v>2404781</c:v>
                </c:pt>
                <c:pt idx="5">
                  <c:v>1766228</c:v>
                </c:pt>
                <c:pt idx="6">
                  <c:v>1997094</c:v>
                </c:pt>
                <c:pt idx="7">
                  <c:v>1862994</c:v>
                </c:pt>
                <c:pt idx="8">
                  <c:v>1896632</c:v>
                </c:pt>
                <c:pt idx="9">
                  <c:v>2337942</c:v>
                </c:pt>
                <c:pt idx="10">
                  <c:v>2671749</c:v>
                </c:pt>
                <c:pt idx="11">
                  <c:v>2743884</c:v>
                </c:pt>
              </c:numCache>
            </c:numRef>
          </c:val>
          <c:smooth val="0"/>
          <c:extLst>
            <c:ext xmlns:c16="http://schemas.microsoft.com/office/drawing/2014/chart" uri="{C3380CC4-5D6E-409C-BE32-E72D297353CC}">
              <c16:uniqueId val="{00000005-A6C7-43D7-932D-8F392F8FF149}"/>
            </c:ext>
          </c:extLst>
        </c:ser>
        <c:ser>
          <c:idx val="6"/>
          <c:order val="6"/>
          <c:tx>
            <c:v>FY18 Off Peak KWH</c:v>
          </c:tx>
          <c:val>
            <c:numRef>
              <c:f>'EPEC KWH Comparison'!$I$32:$I$43</c:f>
              <c:numCache>
                <c:formatCode>#,##0.00</c:formatCode>
                <c:ptCount val="12"/>
                <c:pt idx="0">
                  <c:v>2647991</c:v>
                </c:pt>
                <c:pt idx="1">
                  <c:v>2970584</c:v>
                </c:pt>
                <c:pt idx="2">
                  <c:v>2959339</c:v>
                </c:pt>
                <c:pt idx="3">
                  <c:v>2654429</c:v>
                </c:pt>
                <c:pt idx="4">
                  <c:v>2149452</c:v>
                </c:pt>
                <c:pt idx="5">
                  <c:v>1817462</c:v>
                </c:pt>
                <c:pt idx="6">
                  <c:v>1660548</c:v>
                </c:pt>
                <c:pt idx="7">
                  <c:v>2131896</c:v>
                </c:pt>
                <c:pt idx="8">
                  <c:v>1946066</c:v>
                </c:pt>
                <c:pt idx="9">
                  <c:v>2434880</c:v>
                </c:pt>
                <c:pt idx="10">
                  <c:v>5480315</c:v>
                </c:pt>
                <c:pt idx="11">
                  <c:v>4075396</c:v>
                </c:pt>
              </c:numCache>
            </c:numRef>
          </c:val>
          <c:smooth val="0"/>
          <c:extLst>
            <c:ext xmlns:c16="http://schemas.microsoft.com/office/drawing/2014/chart" uri="{C3380CC4-5D6E-409C-BE32-E72D297353CC}">
              <c16:uniqueId val="{00000006-A6C7-43D7-932D-8F392F8FF149}"/>
            </c:ext>
          </c:extLst>
        </c:ser>
        <c:ser>
          <c:idx val="7"/>
          <c:order val="7"/>
          <c:tx>
            <c:v>FY19 OffPeak KWH</c:v>
          </c:tx>
          <c:val>
            <c:numRef>
              <c:f>'EPEC KWH Comparison'!$I$7:$I$18</c:f>
              <c:numCache>
                <c:formatCode>#,##0.00</c:formatCode>
                <c:ptCount val="12"/>
                <c:pt idx="0">
                  <c:v>2248512</c:v>
                </c:pt>
                <c:pt idx="1">
                  <c:v>3312986</c:v>
                </c:pt>
                <c:pt idx="2">
                  <c:v>3043208</c:v>
                </c:pt>
                <c:pt idx="3">
                  <c:v>3036912</c:v>
                </c:pt>
                <c:pt idx="4">
                  <c:v>1916180</c:v>
                </c:pt>
                <c:pt idx="5">
                  <c:v>1762389</c:v>
                </c:pt>
                <c:pt idx="6">
                  <c:v>1335102</c:v>
                </c:pt>
                <c:pt idx="7">
                  <c:v>2069182</c:v>
                </c:pt>
                <c:pt idx="8">
                  <c:v>1899160</c:v>
                </c:pt>
                <c:pt idx="9">
                  <c:v>1975753</c:v>
                </c:pt>
                <c:pt idx="10">
                  <c:v>2402994</c:v>
                </c:pt>
                <c:pt idx="11">
                  <c:v>2403091</c:v>
                </c:pt>
              </c:numCache>
            </c:numRef>
          </c:val>
          <c:smooth val="0"/>
          <c:extLst>
            <c:ext xmlns:c16="http://schemas.microsoft.com/office/drawing/2014/chart" uri="{C3380CC4-5D6E-409C-BE32-E72D297353CC}">
              <c16:uniqueId val="{00000000-020A-4941-BA10-179ED914E409}"/>
            </c:ext>
          </c:extLst>
        </c:ser>
        <c:dLbls>
          <c:showLegendKey val="0"/>
          <c:showVal val="0"/>
          <c:showCatName val="0"/>
          <c:showSerName val="0"/>
          <c:showPercent val="0"/>
          <c:showBubbleSize val="0"/>
        </c:dLbls>
        <c:marker val="1"/>
        <c:smooth val="0"/>
        <c:axId val="165800192"/>
        <c:axId val="165801984"/>
      </c:lineChart>
      <c:catAx>
        <c:axId val="165800192"/>
        <c:scaling>
          <c:orientation val="minMax"/>
        </c:scaling>
        <c:delete val="0"/>
        <c:axPos val="b"/>
        <c:numFmt formatCode="General" sourceLinked="1"/>
        <c:majorTickMark val="none"/>
        <c:minorTickMark val="none"/>
        <c:tickLblPos val="nextTo"/>
        <c:crossAx val="165801984"/>
        <c:crosses val="autoZero"/>
        <c:auto val="1"/>
        <c:lblAlgn val="ctr"/>
        <c:lblOffset val="100"/>
        <c:noMultiLvlLbl val="0"/>
      </c:catAx>
      <c:valAx>
        <c:axId val="165801984"/>
        <c:scaling>
          <c:orientation val="minMax"/>
        </c:scaling>
        <c:delete val="0"/>
        <c:axPos val="l"/>
        <c:majorGridlines/>
        <c:title>
          <c:tx>
            <c:rich>
              <a:bodyPr/>
              <a:lstStyle/>
              <a:p>
                <a:pPr>
                  <a:defRPr/>
                </a:pPr>
                <a:r>
                  <a:rPr lang="en-US"/>
                  <a:t>KWH</a:t>
                </a:r>
              </a:p>
            </c:rich>
          </c:tx>
          <c:overlay val="0"/>
        </c:title>
        <c:numFmt formatCode="#,##0.00" sourceLinked="1"/>
        <c:majorTickMark val="none"/>
        <c:minorTickMark val="none"/>
        <c:tickLblPos val="nextTo"/>
        <c:crossAx val="165800192"/>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Purchased Demand KW (column L)</a:t>
            </a:r>
          </a:p>
        </c:rich>
      </c:tx>
      <c:overlay val="0"/>
    </c:title>
    <c:autoTitleDeleted val="0"/>
    <c:plotArea>
      <c:layout/>
      <c:lineChart>
        <c:grouping val="standard"/>
        <c:varyColors val="0"/>
        <c:ser>
          <c:idx val="0"/>
          <c:order val="0"/>
          <c:tx>
            <c:v>FY12 Demand KW</c:v>
          </c:tx>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Comparison'!$L$160:$L$171</c:f>
              <c:numCache>
                <c:formatCode>#,##0.00</c:formatCode>
                <c:ptCount val="12"/>
                <c:pt idx="0">
                  <c:v>11563</c:v>
                </c:pt>
                <c:pt idx="1">
                  <c:v>13323</c:v>
                </c:pt>
                <c:pt idx="2">
                  <c:v>10916</c:v>
                </c:pt>
                <c:pt idx="3">
                  <c:v>9123</c:v>
                </c:pt>
                <c:pt idx="4">
                  <c:v>9000</c:v>
                </c:pt>
                <c:pt idx="5">
                  <c:v>9000</c:v>
                </c:pt>
                <c:pt idx="6">
                  <c:v>9316</c:v>
                </c:pt>
                <c:pt idx="7">
                  <c:v>9140</c:v>
                </c:pt>
                <c:pt idx="8">
                  <c:v>10584</c:v>
                </c:pt>
                <c:pt idx="9">
                  <c:v>11442</c:v>
                </c:pt>
                <c:pt idx="10">
                  <c:v>9372</c:v>
                </c:pt>
                <c:pt idx="11">
                  <c:v>9000</c:v>
                </c:pt>
              </c:numCache>
            </c:numRef>
          </c:val>
          <c:smooth val="0"/>
          <c:extLst>
            <c:ext xmlns:c16="http://schemas.microsoft.com/office/drawing/2014/chart" uri="{C3380CC4-5D6E-409C-BE32-E72D297353CC}">
              <c16:uniqueId val="{00000000-7298-41ED-897B-12F48F7A55EC}"/>
            </c:ext>
          </c:extLst>
        </c:ser>
        <c:ser>
          <c:idx val="1"/>
          <c:order val="1"/>
          <c:tx>
            <c:v>FY13 Demand KW</c:v>
          </c:tx>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Comparison'!$L$140:$L$151</c:f>
              <c:numCache>
                <c:formatCode>#,##0.00</c:formatCode>
                <c:ptCount val="12"/>
                <c:pt idx="0">
                  <c:v>10710</c:v>
                </c:pt>
                <c:pt idx="1">
                  <c:v>10131</c:v>
                </c:pt>
                <c:pt idx="2">
                  <c:v>10094</c:v>
                </c:pt>
                <c:pt idx="3">
                  <c:v>9429</c:v>
                </c:pt>
                <c:pt idx="4">
                  <c:v>9281</c:v>
                </c:pt>
                <c:pt idx="5">
                  <c:v>11528</c:v>
                </c:pt>
                <c:pt idx="6">
                  <c:v>9000</c:v>
                </c:pt>
                <c:pt idx="7">
                  <c:v>9000</c:v>
                </c:pt>
                <c:pt idx="8">
                  <c:v>9000</c:v>
                </c:pt>
                <c:pt idx="9">
                  <c:v>10282</c:v>
                </c:pt>
                <c:pt idx="10">
                  <c:v>9119</c:v>
                </c:pt>
                <c:pt idx="11">
                  <c:v>9092</c:v>
                </c:pt>
              </c:numCache>
            </c:numRef>
          </c:val>
          <c:smooth val="0"/>
          <c:extLst>
            <c:ext xmlns:c16="http://schemas.microsoft.com/office/drawing/2014/chart" uri="{C3380CC4-5D6E-409C-BE32-E72D297353CC}">
              <c16:uniqueId val="{00000001-7298-41ED-897B-12F48F7A55EC}"/>
            </c:ext>
          </c:extLst>
        </c:ser>
        <c:ser>
          <c:idx val="2"/>
          <c:order val="2"/>
          <c:tx>
            <c:v>FY14 Demand KW</c:v>
          </c:tx>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Comparison'!$L$120:$L$131</c:f>
              <c:numCache>
                <c:formatCode>#,##0.00</c:formatCode>
                <c:ptCount val="12"/>
                <c:pt idx="0">
                  <c:v>12928</c:v>
                </c:pt>
                <c:pt idx="1">
                  <c:v>9282</c:v>
                </c:pt>
                <c:pt idx="2">
                  <c:v>9420</c:v>
                </c:pt>
                <c:pt idx="3">
                  <c:v>9294</c:v>
                </c:pt>
                <c:pt idx="4">
                  <c:v>9000</c:v>
                </c:pt>
                <c:pt idx="5">
                  <c:v>9000</c:v>
                </c:pt>
                <c:pt idx="6">
                  <c:v>9000</c:v>
                </c:pt>
                <c:pt idx="7">
                  <c:v>9000</c:v>
                </c:pt>
                <c:pt idx="8">
                  <c:v>9647</c:v>
                </c:pt>
                <c:pt idx="9">
                  <c:v>10813</c:v>
                </c:pt>
                <c:pt idx="10">
                  <c:v>9088</c:v>
                </c:pt>
                <c:pt idx="11">
                  <c:v>9000</c:v>
                </c:pt>
              </c:numCache>
            </c:numRef>
          </c:val>
          <c:smooth val="0"/>
          <c:extLst>
            <c:ext xmlns:c16="http://schemas.microsoft.com/office/drawing/2014/chart" uri="{C3380CC4-5D6E-409C-BE32-E72D297353CC}">
              <c16:uniqueId val="{00000002-7298-41ED-897B-12F48F7A55EC}"/>
            </c:ext>
          </c:extLst>
        </c:ser>
        <c:ser>
          <c:idx val="3"/>
          <c:order val="3"/>
          <c:tx>
            <c:v>FY15 Demand KW</c:v>
          </c:tx>
          <c:cat>
            <c:strRef>
              <c:f>'EPEC KWH Comparison'!$A$99:$A$110</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'EPEC KWH Comparison'!$L$99:$L$110</c:f>
              <c:numCache>
                <c:formatCode>#,##0.00</c:formatCode>
                <c:ptCount val="12"/>
                <c:pt idx="0">
                  <c:v>9059</c:v>
                </c:pt>
                <c:pt idx="1">
                  <c:v>9000</c:v>
                </c:pt>
                <c:pt idx="2">
                  <c:v>9043</c:v>
                </c:pt>
                <c:pt idx="3">
                  <c:v>9000</c:v>
                </c:pt>
                <c:pt idx="4">
                  <c:v>9414</c:v>
                </c:pt>
                <c:pt idx="5">
                  <c:v>9000</c:v>
                </c:pt>
                <c:pt idx="6">
                  <c:v>9000</c:v>
                </c:pt>
                <c:pt idx="7">
                  <c:v>9071</c:v>
                </c:pt>
                <c:pt idx="8">
                  <c:v>9000</c:v>
                </c:pt>
                <c:pt idx="9">
                  <c:v>9000</c:v>
                </c:pt>
                <c:pt idx="10">
                  <c:v>9000</c:v>
                </c:pt>
                <c:pt idx="11">
                  <c:v>11035</c:v>
                </c:pt>
              </c:numCache>
            </c:numRef>
          </c:val>
          <c:smooth val="0"/>
          <c:extLst>
            <c:ext xmlns:c16="http://schemas.microsoft.com/office/drawing/2014/chart" uri="{C3380CC4-5D6E-409C-BE32-E72D297353CC}">
              <c16:uniqueId val="{00000003-7298-41ED-897B-12F48F7A55EC}"/>
            </c:ext>
          </c:extLst>
        </c:ser>
        <c:ser>
          <c:idx val="4"/>
          <c:order val="4"/>
          <c:tx>
            <c:v>FY16 Demand KW</c:v>
          </c:tx>
          <c:val>
            <c:numRef>
              <c:f>'EPEC KWH Comparison'!$L$77:$L$88</c:f>
              <c:numCache>
                <c:formatCode>#,##0.00</c:formatCode>
                <c:ptCount val="12"/>
                <c:pt idx="0">
                  <c:v>9000</c:v>
                </c:pt>
                <c:pt idx="1">
                  <c:v>9000</c:v>
                </c:pt>
                <c:pt idx="2">
                  <c:v>10755</c:v>
                </c:pt>
                <c:pt idx="3">
                  <c:v>9000</c:v>
                </c:pt>
                <c:pt idx="4">
                  <c:v>9000</c:v>
                </c:pt>
                <c:pt idx="5">
                  <c:v>9000</c:v>
                </c:pt>
                <c:pt idx="6">
                  <c:v>9000</c:v>
                </c:pt>
                <c:pt idx="7">
                  <c:v>9000</c:v>
                </c:pt>
                <c:pt idx="8">
                  <c:v>9000</c:v>
                </c:pt>
                <c:pt idx="9">
                  <c:v>9000</c:v>
                </c:pt>
                <c:pt idx="10">
                  <c:v>9000</c:v>
                </c:pt>
                <c:pt idx="11">
                  <c:v>9000</c:v>
                </c:pt>
              </c:numCache>
            </c:numRef>
          </c:val>
          <c:smooth val="0"/>
          <c:extLst>
            <c:ext xmlns:c16="http://schemas.microsoft.com/office/drawing/2014/chart" uri="{C3380CC4-5D6E-409C-BE32-E72D297353CC}">
              <c16:uniqueId val="{00000004-7298-41ED-897B-12F48F7A55EC}"/>
            </c:ext>
          </c:extLst>
        </c:ser>
        <c:ser>
          <c:idx val="5"/>
          <c:order val="5"/>
          <c:tx>
            <c:v>FY17 Demand KW</c:v>
          </c:tx>
          <c:val>
            <c:numRef>
              <c:f>'EPEC KWH Comparison'!$L$55:$L$66</c:f>
              <c:numCache>
                <c:formatCode>#,##0.00</c:formatCode>
                <c:ptCount val="12"/>
                <c:pt idx="0">
                  <c:v>6991</c:v>
                </c:pt>
                <c:pt idx="1">
                  <c:v>8242</c:v>
                </c:pt>
                <c:pt idx="2">
                  <c:v>6926</c:v>
                </c:pt>
                <c:pt idx="3">
                  <c:v>7789</c:v>
                </c:pt>
                <c:pt idx="4">
                  <c:v>6000</c:v>
                </c:pt>
                <c:pt idx="5">
                  <c:v>6000</c:v>
                </c:pt>
                <c:pt idx="6">
                  <c:v>7907</c:v>
                </c:pt>
                <c:pt idx="7">
                  <c:v>6483</c:v>
                </c:pt>
                <c:pt idx="8">
                  <c:v>6476</c:v>
                </c:pt>
                <c:pt idx="9">
                  <c:v>6339</c:v>
                </c:pt>
                <c:pt idx="10">
                  <c:v>6880</c:v>
                </c:pt>
                <c:pt idx="11">
                  <c:v>6587</c:v>
                </c:pt>
              </c:numCache>
            </c:numRef>
          </c:val>
          <c:smooth val="0"/>
          <c:extLst>
            <c:ext xmlns:c16="http://schemas.microsoft.com/office/drawing/2014/chart" uri="{C3380CC4-5D6E-409C-BE32-E72D297353CC}">
              <c16:uniqueId val="{00000005-7298-41ED-897B-12F48F7A55EC}"/>
            </c:ext>
          </c:extLst>
        </c:ser>
        <c:ser>
          <c:idx val="6"/>
          <c:order val="6"/>
          <c:tx>
            <c:v>FY18 Demand KW</c:v>
          </c:tx>
          <c:val>
            <c:numRef>
              <c:f>'EPEC KWH Comparison'!$L$32:$L$43</c:f>
              <c:numCache>
                <c:formatCode>#,##0.00</c:formatCode>
                <c:ptCount val="12"/>
                <c:pt idx="0">
                  <c:v>6495</c:v>
                </c:pt>
                <c:pt idx="1">
                  <c:v>6897</c:v>
                </c:pt>
                <c:pt idx="2">
                  <c:v>6741</c:v>
                </c:pt>
                <c:pt idx="3">
                  <c:v>7549</c:v>
                </c:pt>
                <c:pt idx="4">
                  <c:v>6275</c:v>
                </c:pt>
                <c:pt idx="5">
                  <c:v>6000</c:v>
                </c:pt>
                <c:pt idx="6">
                  <c:v>6251</c:v>
                </c:pt>
                <c:pt idx="7">
                  <c:v>6000</c:v>
                </c:pt>
                <c:pt idx="8">
                  <c:v>6585</c:v>
                </c:pt>
                <c:pt idx="9">
                  <c:v>6300</c:v>
                </c:pt>
                <c:pt idx="10">
                  <c:v>10721</c:v>
                </c:pt>
                <c:pt idx="11">
                  <c:v>10860</c:v>
                </c:pt>
              </c:numCache>
            </c:numRef>
          </c:val>
          <c:smooth val="0"/>
          <c:extLst>
            <c:ext xmlns:c16="http://schemas.microsoft.com/office/drawing/2014/chart" uri="{C3380CC4-5D6E-409C-BE32-E72D297353CC}">
              <c16:uniqueId val="{00000006-7298-41ED-897B-12F48F7A55EC}"/>
            </c:ext>
          </c:extLst>
        </c:ser>
        <c:dLbls>
          <c:showLegendKey val="0"/>
          <c:showVal val="0"/>
          <c:showCatName val="0"/>
          <c:showSerName val="0"/>
          <c:showPercent val="0"/>
          <c:showBubbleSize val="0"/>
        </c:dLbls>
        <c:marker val="1"/>
        <c:smooth val="0"/>
        <c:axId val="165977088"/>
        <c:axId val="165978880"/>
      </c:lineChart>
      <c:catAx>
        <c:axId val="165977088"/>
        <c:scaling>
          <c:orientation val="minMax"/>
        </c:scaling>
        <c:delete val="0"/>
        <c:axPos val="b"/>
        <c:numFmt formatCode="General" sourceLinked="1"/>
        <c:majorTickMark val="none"/>
        <c:minorTickMark val="none"/>
        <c:tickLblPos val="nextTo"/>
        <c:crossAx val="165978880"/>
        <c:crosses val="autoZero"/>
        <c:auto val="1"/>
        <c:lblAlgn val="ctr"/>
        <c:lblOffset val="100"/>
        <c:noMultiLvlLbl val="0"/>
      </c:catAx>
      <c:valAx>
        <c:axId val="165978880"/>
        <c:scaling>
          <c:orientation val="minMax"/>
        </c:scaling>
        <c:delete val="0"/>
        <c:axPos val="l"/>
        <c:majorGridlines/>
        <c:title>
          <c:tx>
            <c:rich>
              <a:bodyPr/>
              <a:lstStyle/>
              <a:p>
                <a:pPr>
                  <a:defRPr/>
                </a:pPr>
                <a:r>
                  <a:rPr lang="en-US"/>
                  <a:t>KW</a:t>
                </a:r>
              </a:p>
            </c:rich>
          </c:tx>
          <c:overlay val="0"/>
        </c:title>
        <c:numFmt formatCode="#,##0.00" sourceLinked="1"/>
        <c:majorTickMark val="none"/>
        <c:minorTickMark val="none"/>
        <c:tickLblPos val="nextTo"/>
        <c:crossAx val="165977088"/>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6.xml"/><Relationship Id="rId7" Type="http://schemas.openxmlformats.org/officeDocument/2006/relationships/chart" Target="../charts/chart20.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xdr:from>
      <xdr:col>28</xdr:col>
      <xdr:colOff>47170</xdr:colOff>
      <xdr:row>129</xdr:row>
      <xdr:rowOff>4535</xdr:rowOff>
    </xdr:from>
    <xdr:to>
      <xdr:col>45</xdr:col>
      <xdr:colOff>463550</xdr:colOff>
      <xdr:row>156</xdr:row>
      <xdr:rowOff>120650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36013</xdr:colOff>
      <xdr:row>69</xdr:row>
      <xdr:rowOff>258084</xdr:rowOff>
    </xdr:from>
    <xdr:to>
      <xdr:col>45</xdr:col>
      <xdr:colOff>244475</xdr:colOff>
      <xdr:row>96</xdr:row>
      <xdr:rowOff>263525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52284</xdr:colOff>
      <xdr:row>158</xdr:row>
      <xdr:rowOff>242533</xdr:rowOff>
    </xdr:from>
    <xdr:to>
      <xdr:col>45</xdr:col>
      <xdr:colOff>282575</xdr:colOff>
      <xdr:row>190</xdr:row>
      <xdr:rowOff>73025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xdr:col>
      <xdr:colOff>30541</xdr:colOff>
      <xdr:row>97</xdr:row>
      <xdr:rowOff>311147</xdr:rowOff>
    </xdr:from>
    <xdr:to>
      <xdr:col>45</xdr:col>
      <xdr:colOff>447675</xdr:colOff>
      <xdr:row>125</xdr:row>
      <xdr:rowOff>79375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28</xdr:col>
      <xdr:colOff>45506</xdr:colOff>
      <xdr:row>5</xdr:row>
      <xdr:rowOff>14287</xdr:rowOff>
    </xdr:from>
    <xdr:to>
      <xdr:col>45</xdr:col>
      <xdr:colOff>374650</xdr:colOff>
      <xdr:row>30</xdr:row>
      <xdr:rowOff>727075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63500</xdr:colOff>
      <xdr:row>37</xdr:row>
      <xdr:rowOff>121706</xdr:rowOff>
    </xdr:from>
    <xdr:to>
      <xdr:col>45</xdr:col>
      <xdr:colOff>314325</xdr:colOff>
      <xdr:row>64</xdr:row>
      <xdr:rowOff>101600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425903</xdr:colOff>
      <xdr:row>5</xdr:row>
      <xdr:rowOff>15420</xdr:rowOff>
    </xdr:from>
    <xdr:to>
      <xdr:col>64</xdr:col>
      <xdr:colOff>422275</xdr:colOff>
      <xdr:row>30</xdr:row>
      <xdr:rowOff>768350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47</xdr:col>
      <xdr:colOff>293460</xdr:colOff>
      <xdr:row>69</xdr:row>
      <xdr:rowOff>282576</xdr:rowOff>
    </xdr:from>
    <xdr:to>
      <xdr:col>64</xdr:col>
      <xdr:colOff>298449</xdr:colOff>
      <xdr:row>96</xdr:row>
      <xdr:rowOff>320676</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47</xdr:col>
      <xdr:colOff>278946</xdr:colOff>
      <xdr:row>129</xdr:row>
      <xdr:rowOff>31749</xdr:rowOff>
    </xdr:from>
    <xdr:to>
      <xdr:col>64</xdr:col>
      <xdr:colOff>260350</xdr:colOff>
      <xdr:row>156</xdr:row>
      <xdr:rowOff>146050</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47</xdr:col>
      <xdr:colOff>310697</xdr:colOff>
      <xdr:row>158</xdr:row>
      <xdr:rowOff>256719</xdr:rowOff>
    </xdr:from>
    <xdr:to>
      <xdr:col>64</xdr:col>
      <xdr:colOff>295275</xdr:colOff>
      <xdr:row>190</xdr:row>
      <xdr:rowOff>57149</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21801</xdr:colOff>
      <xdr:row>44</xdr:row>
      <xdr:rowOff>169154</xdr:rowOff>
    </xdr:from>
    <xdr:to>
      <xdr:col>42</xdr:col>
      <xdr:colOff>0</xdr:colOff>
      <xdr:row>81</xdr:row>
      <xdr:rowOff>15875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44</xdr:col>
      <xdr:colOff>55334</xdr:colOff>
      <xdr:row>45</xdr:row>
      <xdr:rowOff>0</xdr:rowOff>
    </xdr:from>
    <xdr:to>
      <xdr:col>62</xdr:col>
      <xdr:colOff>598713</xdr:colOff>
      <xdr:row>81</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33865</xdr:colOff>
      <xdr:row>4</xdr:row>
      <xdr:rowOff>169330</xdr:rowOff>
    </xdr:from>
    <xdr:to>
      <xdr:col>42</xdr:col>
      <xdr:colOff>15875</xdr:colOff>
      <xdr:row>41</xdr:row>
      <xdr:rowOff>40821</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822436</xdr:colOff>
      <xdr:row>40</xdr:row>
      <xdr:rowOff>148188</xdr:rowOff>
    </xdr:from>
    <xdr:to>
      <xdr:col>35</xdr:col>
      <xdr:colOff>0</xdr:colOff>
      <xdr:row>76</xdr:row>
      <xdr:rowOff>38100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772661</xdr:colOff>
      <xdr:row>81</xdr:row>
      <xdr:rowOff>11727</xdr:rowOff>
    </xdr:from>
    <xdr:to>
      <xdr:col>34</xdr:col>
      <xdr:colOff>619125</xdr:colOff>
      <xdr:row>109</xdr:row>
      <xdr:rowOff>58057</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626193</xdr:colOff>
      <xdr:row>112</xdr:row>
      <xdr:rowOff>28897</xdr:rowOff>
    </xdr:from>
    <xdr:to>
      <xdr:col>53</xdr:col>
      <xdr:colOff>473226</xdr:colOff>
      <xdr:row>138</xdr:row>
      <xdr:rowOff>179161</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779689</xdr:colOff>
      <xdr:row>112</xdr:row>
      <xdr:rowOff>58721</xdr:rowOff>
    </xdr:from>
    <xdr:to>
      <xdr:col>35</xdr:col>
      <xdr:colOff>19050</xdr:colOff>
      <xdr:row>139</xdr:row>
      <xdr:rowOff>25400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37</xdr:col>
      <xdr:colOff>4988</xdr:colOff>
      <xdr:row>40</xdr:row>
      <xdr:rowOff>155596</xdr:rowOff>
    </xdr:from>
    <xdr:to>
      <xdr:col>57</xdr:col>
      <xdr:colOff>19050</xdr:colOff>
      <xdr:row>76</xdr:row>
      <xdr:rowOff>44818</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10885</xdr:colOff>
      <xdr:row>5</xdr:row>
      <xdr:rowOff>0</xdr:rowOff>
    </xdr:from>
    <xdr:to>
      <xdr:col>35</xdr:col>
      <xdr:colOff>9524</xdr:colOff>
      <xdr:row>38</xdr:row>
      <xdr:rowOff>25399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37</xdr:col>
      <xdr:colOff>9525</xdr:colOff>
      <xdr:row>4</xdr:row>
      <xdr:rowOff>19049</xdr:rowOff>
    </xdr:from>
    <xdr:to>
      <xdr:col>56</xdr:col>
      <xdr:colOff>619125</xdr:colOff>
      <xdr:row>37</xdr:row>
      <xdr:rowOff>19835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17</xdr:col>
      <xdr:colOff>177800</xdr:colOff>
      <xdr:row>24</xdr:row>
      <xdr:rowOff>69374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M59"/>
  <sheetViews>
    <sheetView zoomScale="90" zoomScaleNormal="90" workbookViewId="0">
      <pane xSplit="1" ySplit="6" topLeftCell="E7" activePane="bottomRight" state="frozen"/>
      <selection pane="topRight" activeCell="B1" sqref="B1"/>
      <selection pane="bottomLeft" activeCell="A7" sqref="A7"/>
      <selection pane="bottomRight" activeCell="L23" sqref="L23:M24"/>
    </sheetView>
  </sheetViews>
  <sheetFormatPr defaultColWidth="8.85546875" defaultRowHeight="15" x14ac:dyDescent="0.25"/>
  <cols>
    <col min="1" max="1" width="37.7109375" style="264" customWidth="1"/>
    <col min="2" max="8" width="20" style="37" customWidth="1"/>
    <col min="9" max="9" width="10" style="264" customWidth="1"/>
    <col min="10" max="11" width="13.28515625" style="264" bestFit="1" customWidth="1"/>
    <col min="12" max="12" width="19.28515625" style="264" customWidth="1"/>
    <col min="13" max="13" width="13.28515625" style="264" bestFit="1" customWidth="1"/>
    <col min="14" max="16384" width="8.85546875" style="264"/>
  </cols>
  <sheetData>
    <row r="1" spans="1:11" x14ac:dyDescent="0.25">
      <c r="A1" s="1" t="s">
        <v>227</v>
      </c>
    </row>
    <row r="2" spans="1:11" x14ac:dyDescent="0.25">
      <c r="A2" s="1" t="s">
        <v>278</v>
      </c>
    </row>
    <row r="3" spans="1:11" x14ac:dyDescent="0.25">
      <c r="A3" s="1" t="s">
        <v>228</v>
      </c>
    </row>
    <row r="4" spans="1:11" s="448" customFormat="1" ht="18" customHeight="1" x14ac:dyDescent="0.25">
      <c r="A4" s="1"/>
      <c r="B4" s="37"/>
      <c r="C4" s="37"/>
      <c r="D4" s="37"/>
      <c r="E4" s="37"/>
      <c r="F4" s="37"/>
      <c r="G4" s="37"/>
      <c r="H4" s="37"/>
    </row>
    <row r="5" spans="1:11" ht="10.15" customHeight="1" x14ac:dyDescent="0.25"/>
    <row r="6" spans="1:11" ht="26.25" x14ac:dyDescent="0.25">
      <c r="A6" s="329" t="s">
        <v>229</v>
      </c>
      <c r="B6" s="330" t="s">
        <v>48</v>
      </c>
      <c r="C6" s="330" t="s">
        <v>85</v>
      </c>
      <c r="D6" s="330" t="s">
        <v>91</v>
      </c>
      <c r="E6" s="330" t="s">
        <v>186</v>
      </c>
      <c r="F6" s="331" t="s">
        <v>252</v>
      </c>
      <c r="G6" s="331" t="s">
        <v>248</v>
      </c>
      <c r="H6" s="331" t="s">
        <v>261</v>
      </c>
      <c r="I6" s="538" t="s">
        <v>277</v>
      </c>
      <c r="J6" s="182"/>
    </row>
    <row r="7" spans="1:11" x14ac:dyDescent="0.25">
      <c r="A7" s="214" t="s">
        <v>230</v>
      </c>
      <c r="B7" s="489">
        <v>3690072.27</v>
      </c>
      <c r="C7" s="216">
        <f>+'FY Comparison'!H23</f>
        <v>3692688.1900000004</v>
      </c>
      <c r="D7" s="216">
        <f>+'FY Comparison'!G23</f>
        <v>3755118.8400000003</v>
      </c>
      <c r="E7" s="216">
        <f>+'FY Comparison'!F23</f>
        <v>3278273.14</v>
      </c>
      <c r="F7" s="441">
        <f>+'FY Comparison'!E23</f>
        <v>2822421.59</v>
      </c>
      <c r="G7" s="441">
        <v>2516366.31</v>
      </c>
      <c r="H7" s="441">
        <v>2521084.14</v>
      </c>
      <c r="I7" s="336"/>
    </row>
    <row r="8" spans="1:11" s="448" customFormat="1" x14ac:dyDescent="0.25">
      <c r="A8" s="487"/>
      <c r="B8" s="489"/>
      <c r="C8" s="489"/>
      <c r="D8" s="489"/>
      <c r="E8" s="489"/>
      <c r="F8" s="549">
        <f>+B7-F7</f>
        <v>867650.68000000017</v>
      </c>
      <c r="G8" s="549">
        <f>+B7-G7</f>
        <v>1173705.96</v>
      </c>
      <c r="H8" s="549">
        <f>+C7-H7</f>
        <v>1171604.0500000003</v>
      </c>
      <c r="I8" s="336"/>
    </row>
    <row r="9" spans="1:11" s="448" customFormat="1" x14ac:dyDescent="0.25">
      <c r="A9" s="487"/>
      <c r="B9" s="489"/>
      <c r="C9" s="489"/>
      <c r="D9" s="489"/>
      <c r="E9" s="489"/>
      <c r="F9" s="550">
        <f>(B7-F7)/F7</f>
        <v>0.30741356396724567</v>
      </c>
      <c r="G9" s="550">
        <f>(B7-G7)/G7</f>
        <v>0.46642889603779503</v>
      </c>
      <c r="H9" s="550">
        <f>(C7-H7)/H7</f>
        <v>0.46472231188602864</v>
      </c>
      <c r="I9" s="336" t="s">
        <v>291</v>
      </c>
    </row>
    <row r="10" spans="1:11" s="448" customFormat="1" x14ac:dyDescent="0.25">
      <c r="A10" s="545" t="s">
        <v>280</v>
      </c>
      <c r="B10" s="540">
        <v>47224092</v>
      </c>
      <c r="C10" s="540">
        <v>47747565</v>
      </c>
      <c r="D10" s="540">
        <v>46221657</v>
      </c>
      <c r="E10" s="540">
        <v>40445045</v>
      </c>
      <c r="F10" s="541">
        <v>35524472</v>
      </c>
      <c r="G10" s="541">
        <v>31591582</v>
      </c>
      <c r="H10" s="541">
        <v>35532677</v>
      </c>
      <c r="I10" s="336"/>
      <c r="K10" s="250"/>
    </row>
    <row r="11" spans="1:11" s="448" customFormat="1" x14ac:dyDescent="0.25">
      <c r="A11" s="487"/>
      <c r="B11" s="489"/>
      <c r="C11" s="543"/>
      <c r="D11" s="489"/>
      <c r="E11" s="489"/>
      <c r="F11" s="544">
        <f>(B10-F10)/F10</f>
        <v>0.32933972952504403</v>
      </c>
      <c r="G11" s="544">
        <f>(B10-G10)/G10</f>
        <v>0.49483150289846201</v>
      </c>
      <c r="H11" s="544">
        <f>(C10-H10)/H10</f>
        <v>0.34376492376299145</v>
      </c>
      <c r="I11" s="336" t="s">
        <v>291</v>
      </c>
    </row>
    <row r="12" spans="1:11" x14ac:dyDescent="0.25">
      <c r="A12" s="214" t="s">
        <v>231</v>
      </c>
      <c r="B12" s="489">
        <v>3033515.14</v>
      </c>
      <c r="C12" s="216">
        <f>+'FY Comparison'!H49</f>
        <v>2502118.4000000004</v>
      </c>
      <c r="D12" s="216">
        <f>+'FY Comparison'!G49</f>
        <v>2751871.9200000004</v>
      </c>
      <c r="E12" s="216">
        <f>+'FY Comparison'!F49</f>
        <v>2467307.9900000002</v>
      </c>
      <c r="F12" s="441">
        <f>+'FY Comparison'!E49</f>
        <v>1872041.5199999998</v>
      </c>
      <c r="G12" s="441">
        <v>2281877.27</v>
      </c>
      <c r="H12" s="441">
        <v>1865793.16</v>
      </c>
      <c r="I12" s="336"/>
    </row>
    <row r="13" spans="1:11" s="448" customFormat="1" x14ac:dyDescent="0.25">
      <c r="A13" s="487"/>
      <c r="B13" s="489"/>
      <c r="C13" s="489"/>
      <c r="D13" s="489"/>
      <c r="E13" s="489"/>
      <c r="F13" s="549">
        <f>+B12-F12</f>
        <v>1161473.6200000003</v>
      </c>
      <c r="G13" s="549">
        <f>+B12-G12</f>
        <v>751637.87000000011</v>
      </c>
      <c r="H13" s="549">
        <f>+B12-H12</f>
        <v>1167721.9800000002</v>
      </c>
      <c r="I13" s="336"/>
    </row>
    <row r="14" spans="1:11" s="448" customFormat="1" x14ac:dyDescent="0.25">
      <c r="A14" s="487"/>
      <c r="B14" s="489"/>
      <c r="C14" s="489"/>
      <c r="D14" s="489"/>
      <c r="E14" s="489"/>
      <c r="F14" s="550">
        <f>(B12-F12)/F12</f>
        <v>0.62043154897547381</v>
      </c>
      <c r="G14" s="550">
        <f>(B12-G12)/G12</f>
        <v>0.32939452085431398</v>
      </c>
      <c r="H14" s="550">
        <f>(B12-H12)/H12</f>
        <v>0.62585821678111431</v>
      </c>
      <c r="I14" s="336" t="s">
        <v>291</v>
      </c>
    </row>
    <row r="15" spans="1:11" s="448" customFormat="1" x14ac:dyDescent="0.25">
      <c r="A15" s="545" t="s">
        <v>281</v>
      </c>
      <c r="B15" s="540">
        <v>590760</v>
      </c>
      <c r="C15" s="540">
        <v>548792</v>
      </c>
      <c r="D15" s="540">
        <v>530087</v>
      </c>
      <c r="E15" s="540">
        <v>553144</v>
      </c>
      <c r="F15" s="541">
        <v>582528</v>
      </c>
      <c r="G15" s="541">
        <v>584057</v>
      </c>
      <c r="H15" s="541">
        <v>490498</v>
      </c>
      <c r="I15" s="336"/>
    </row>
    <row r="16" spans="1:11" s="448" customFormat="1" x14ac:dyDescent="0.25">
      <c r="A16" s="487"/>
      <c r="B16" s="489"/>
      <c r="C16" s="489"/>
      <c r="D16" s="489"/>
      <c r="E16" s="489"/>
      <c r="F16" s="544">
        <f>(B15-F15)/F15</f>
        <v>1.4131509558338827E-2</v>
      </c>
      <c r="G16" s="544">
        <f>(B15-G15)/G15</f>
        <v>1.1476619576513936E-2</v>
      </c>
      <c r="H16" s="544">
        <f>(B15-H15)/H15</f>
        <v>0.20440858066699558</v>
      </c>
      <c r="I16" s="336" t="s">
        <v>291</v>
      </c>
    </row>
    <row r="17" spans="1:13" x14ac:dyDescent="0.25">
      <c r="A17" s="214" t="s">
        <v>232</v>
      </c>
      <c r="B17" s="489">
        <v>301025.68</v>
      </c>
      <c r="C17" s="216">
        <f>+'FY Comparison'!H75</f>
        <v>277142.73000000004</v>
      </c>
      <c r="D17" s="216">
        <f>+'FY Comparison'!G75</f>
        <v>293386.34000000003</v>
      </c>
      <c r="E17" s="216">
        <f>+'FY Comparison'!F75</f>
        <v>244774.23</v>
      </c>
      <c r="F17" s="441">
        <f>+'FY Comparison'!E75</f>
        <v>178542.21999999997</v>
      </c>
      <c r="G17" s="441">
        <v>203263.98</v>
      </c>
      <c r="H17" s="441">
        <v>168109.58</v>
      </c>
      <c r="I17" s="336"/>
    </row>
    <row r="18" spans="1:13" ht="13.9" customHeight="1" x14ac:dyDescent="0.25">
      <c r="A18" s="214"/>
      <c r="B18" s="489"/>
      <c r="C18" s="216"/>
      <c r="D18" s="216"/>
      <c r="E18" s="216"/>
      <c r="F18" s="544">
        <f>(B17-F17)/F17</f>
        <v>0.68601958685178244</v>
      </c>
      <c r="G18" s="544">
        <f>(B17-G17)/G17</f>
        <v>0.48095929244325519</v>
      </c>
      <c r="H18" s="544">
        <f>(B17-H17)/H17</f>
        <v>0.79065155001874388</v>
      </c>
      <c r="I18" s="336" t="s">
        <v>291</v>
      </c>
    </row>
    <row r="19" spans="1:13" s="448" customFormat="1" ht="13.9" customHeight="1" x14ac:dyDescent="0.25">
      <c r="A19" s="545" t="s">
        <v>282</v>
      </c>
      <c r="B19" s="540">
        <v>50475</v>
      </c>
      <c r="C19" s="540">
        <v>51790</v>
      </c>
      <c r="D19" s="540">
        <v>46992</v>
      </c>
      <c r="E19" s="540">
        <v>45558</v>
      </c>
      <c r="F19" s="541">
        <v>43873</v>
      </c>
      <c r="G19" s="541">
        <v>40024</v>
      </c>
      <c r="H19" s="541">
        <v>36692</v>
      </c>
    </row>
    <row r="20" spans="1:13" s="448" customFormat="1" ht="13.9" customHeight="1" x14ac:dyDescent="0.25">
      <c r="A20" s="487"/>
      <c r="B20" s="489"/>
      <c r="C20" s="489"/>
      <c r="D20" s="489"/>
      <c r="E20" s="489"/>
      <c r="F20" s="544">
        <f>(B19-F19)/F19</f>
        <v>0.15047979395072139</v>
      </c>
      <c r="G20" s="544">
        <f>(B19-G19)/G19</f>
        <v>0.26111832900259846</v>
      </c>
      <c r="H20" s="544">
        <f>(B19-H19)/H19</f>
        <v>0.3756404665867219</v>
      </c>
      <c r="I20" s="336" t="s">
        <v>291</v>
      </c>
    </row>
    <row r="21" spans="1:13" x14ac:dyDescent="0.25">
      <c r="A21" s="332" t="s">
        <v>233</v>
      </c>
      <c r="B21" s="333">
        <v>6551448.3600000003</v>
      </c>
      <c r="C21" s="333">
        <v>5966057.1200000001</v>
      </c>
      <c r="D21" s="333">
        <v>5812745.9100000001</v>
      </c>
      <c r="E21" s="333">
        <v>5653292.8700000001</v>
      </c>
      <c r="F21" s="442">
        <v>5315429.83</v>
      </c>
      <c r="G21" s="442">
        <v>5203500.3899999997</v>
      </c>
      <c r="H21" s="442"/>
      <c r="I21" s="182"/>
    </row>
    <row r="22" spans="1:13" x14ac:dyDescent="0.25">
      <c r="A22" s="332" t="s">
        <v>244</v>
      </c>
      <c r="B22" s="338">
        <v>84779092</v>
      </c>
      <c r="C22" s="338">
        <v>84664554</v>
      </c>
      <c r="D22" s="338">
        <v>81440473.099999994</v>
      </c>
      <c r="E22" s="338">
        <v>77516468.5</v>
      </c>
      <c r="F22" s="443">
        <v>73123744</v>
      </c>
      <c r="G22" s="443">
        <v>68520302</v>
      </c>
      <c r="H22" s="443">
        <v>68080344</v>
      </c>
      <c r="I22" s="447"/>
    </row>
    <row r="23" spans="1:13" s="448" customFormat="1" x14ac:dyDescent="0.25">
      <c r="A23" s="567" t="s">
        <v>299</v>
      </c>
      <c r="B23" s="568"/>
      <c r="C23" s="568"/>
      <c r="D23" s="568"/>
      <c r="E23" s="568">
        <v>470584</v>
      </c>
      <c r="F23" s="568">
        <v>475757</v>
      </c>
      <c r="G23" s="568">
        <v>472206</v>
      </c>
      <c r="H23" s="568">
        <f>20733+397704</f>
        <v>418437</v>
      </c>
      <c r="I23" s="447"/>
      <c r="L23" s="570"/>
    </row>
    <row r="24" spans="1:13" s="448" customFormat="1" x14ac:dyDescent="0.25">
      <c r="A24" s="567" t="s">
        <v>298</v>
      </c>
      <c r="B24" s="569"/>
      <c r="C24" s="569"/>
      <c r="D24" s="569"/>
      <c r="E24" s="569">
        <f>+E23*5.3465</f>
        <v>2515977.3559999997</v>
      </c>
      <c r="F24" s="569">
        <f>+F23*5.3577</f>
        <v>2548963.2789000003</v>
      </c>
      <c r="G24" s="569">
        <f>+G23*4.5731</f>
        <v>2159445.2586000003</v>
      </c>
      <c r="H24" s="569">
        <f>+H23*3.3204</f>
        <v>1389378.2148</v>
      </c>
      <c r="I24" s="447"/>
      <c r="L24" s="291"/>
      <c r="M24" s="473"/>
    </row>
    <row r="25" spans="1:13" x14ac:dyDescent="0.25">
      <c r="A25" s="537" t="s">
        <v>234</v>
      </c>
      <c r="B25" s="489">
        <v>4200064.07</v>
      </c>
      <c r="C25" s="216">
        <v>3860895.38</v>
      </c>
      <c r="D25" s="216">
        <v>3752059.09</v>
      </c>
      <c r="E25" s="216">
        <v>3584723.31</v>
      </c>
      <c r="F25" s="441">
        <v>3372277.78</v>
      </c>
      <c r="G25" s="441">
        <v>3241667.75</v>
      </c>
      <c r="H25" s="441">
        <v>3109344.75</v>
      </c>
      <c r="I25" s="447">
        <f>+G25/G21</f>
        <v>0.62297828520005172</v>
      </c>
      <c r="J25" s="435"/>
      <c r="K25" s="435"/>
    </row>
    <row r="26" spans="1:13" s="448" customFormat="1" x14ac:dyDescent="0.25">
      <c r="A26" s="537"/>
      <c r="B26" s="489"/>
      <c r="C26" s="489"/>
      <c r="D26" s="489"/>
      <c r="E26" s="549">
        <f>+B25-E25</f>
        <v>615340.76000000024</v>
      </c>
      <c r="F26" s="549">
        <f>+B25-F25</f>
        <v>827786.2900000005</v>
      </c>
      <c r="G26" s="549">
        <f>+B25-G25</f>
        <v>958396.3200000003</v>
      </c>
      <c r="H26" s="549">
        <f>+B25-H25</f>
        <v>1090719.3200000003</v>
      </c>
      <c r="I26" s="447"/>
      <c r="J26" s="435"/>
      <c r="K26" s="435"/>
    </row>
    <row r="27" spans="1:13" s="448" customFormat="1" x14ac:dyDescent="0.25">
      <c r="A27" s="537"/>
      <c r="B27" s="489"/>
      <c r="C27" s="489"/>
      <c r="D27" s="489"/>
      <c r="E27" s="550">
        <f>(B25-E25)/E25</f>
        <v>0.17165641718663086</v>
      </c>
      <c r="F27" s="550">
        <f>(B25-F25)/F25</f>
        <v>0.24546800234232202</v>
      </c>
      <c r="G27" s="550">
        <f>(B25-G25)/G25</f>
        <v>0.29564915158254584</v>
      </c>
      <c r="H27" s="550">
        <f>(B25-H25)/H25</f>
        <v>0.3507875156011569</v>
      </c>
      <c r="I27" s="336" t="s">
        <v>291</v>
      </c>
    </row>
    <row r="28" spans="1:13" s="536" customFormat="1" x14ac:dyDescent="0.25">
      <c r="A28" s="539" t="s">
        <v>270</v>
      </c>
      <c r="B28" s="540">
        <v>44774568.661399998</v>
      </c>
      <c r="C28" s="540">
        <v>44732409.093900003</v>
      </c>
      <c r="D28" s="540">
        <v>42000895.131399997</v>
      </c>
      <c r="E28" s="540">
        <v>38711915.002099998</v>
      </c>
      <c r="F28" s="541">
        <v>36300085.3389</v>
      </c>
      <c r="G28" s="541">
        <v>34744563.301899999</v>
      </c>
      <c r="H28" s="541">
        <v>34395405.742799997</v>
      </c>
      <c r="I28" s="535"/>
    </row>
    <row r="29" spans="1:13" s="536" customFormat="1" x14ac:dyDescent="0.25">
      <c r="A29" s="546"/>
      <c r="B29" s="547"/>
      <c r="C29" s="547"/>
      <c r="D29" s="547"/>
      <c r="E29" s="547"/>
      <c r="F29" s="548">
        <f>(B28-F28)/F28</f>
        <v>0.23345629199991297</v>
      </c>
      <c r="G29" s="548">
        <f>(B28-G28)/G28</f>
        <v>0.2886784119963744</v>
      </c>
      <c r="H29" s="548">
        <f>(B28-H28)/H28</f>
        <v>0.30176015355692304</v>
      </c>
      <c r="I29" s="336" t="s">
        <v>291</v>
      </c>
    </row>
    <row r="30" spans="1:13" x14ac:dyDescent="0.25">
      <c r="A30" s="537" t="s">
        <v>240</v>
      </c>
      <c r="B30" s="489">
        <v>2351384.29</v>
      </c>
      <c r="C30" s="216">
        <v>2105161.7400000002</v>
      </c>
      <c r="D30" s="216">
        <v>2060686.82</v>
      </c>
      <c r="E30" s="216">
        <v>2068569.56</v>
      </c>
      <c r="F30" s="441">
        <v>1943152.06</v>
      </c>
      <c r="G30" s="441">
        <v>1961832.64</v>
      </c>
      <c r="H30" s="441">
        <v>1835941.38</v>
      </c>
      <c r="I30" s="447">
        <f>+G30/G21</f>
        <v>0.37702171479994834</v>
      </c>
    </row>
    <row r="31" spans="1:13" s="536" customFormat="1" x14ac:dyDescent="0.25">
      <c r="A31" s="539" t="s">
        <v>269</v>
      </c>
      <c r="B31" s="540">
        <v>24950434.445700001</v>
      </c>
      <c r="C31" s="540">
        <v>24401199.432500001</v>
      </c>
      <c r="D31" s="540">
        <v>22959325.593800001</v>
      </c>
      <c r="E31" s="540">
        <v>22338764.8607</v>
      </c>
      <c r="F31" s="541">
        <v>20916598.398800001</v>
      </c>
      <c r="G31" s="541">
        <v>21027144.639400002</v>
      </c>
      <c r="H31" s="541">
        <v>20309086.5152</v>
      </c>
      <c r="I31" s="535"/>
    </row>
    <row r="32" spans="1:13" x14ac:dyDescent="0.25">
      <c r="A32" s="334"/>
      <c r="B32" s="489"/>
      <c r="C32" s="216"/>
      <c r="D32" s="216"/>
      <c r="E32" s="216"/>
      <c r="F32" s="441"/>
      <c r="G32" s="441"/>
      <c r="H32" s="441"/>
    </row>
    <row r="33" spans="1:9" x14ac:dyDescent="0.25">
      <c r="A33" s="335" t="s">
        <v>279</v>
      </c>
      <c r="B33" s="333">
        <v>386769.53</v>
      </c>
      <c r="C33" s="333">
        <v>319915.59999999998</v>
      </c>
      <c r="D33" s="333">
        <v>337388.99</v>
      </c>
      <c r="E33" s="333">
        <v>372318.37</v>
      </c>
      <c r="F33" s="442">
        <v>356232.23</v>
      </c>
      <c r="G33" s="442">
        <v>268099.06</v>
      </c>
      <c r="H33" s="442">
        <v>216521.33</v>
      </c>
      <c r="I33" s="182"/>
    </row>
    <row r="34" spans="1:9" x14ac:dyDescent="0.25">
      <c r="A34" s="335" t="s">
        <v>245</v>
      </c>
      <c r="B34" s="338">
        <v>49168.288200000003</v>
      </c>
      <c r="C34" s="338">
        <v>50548.762799999997</v>
      </c>
      <c r="D34" s="338">
        <v>45845.395199999999</v>
      </c>
      <c r="E34" s="338">
        <v>45443.447999999997</v>
      </c>
      <c r="F34" s="443">
        <v>42802.508800000003</v>
      </c>
      <c r="G34" s="443">
        <v>38742.087599999999</v>
      </c>
      <c r="H34" s="443">
        <v>39516.2284</v>
      </c>
      <c r="I34" s="182"/>
    </row>
    <row r="35" spans="1:9" x14ac:dyDescent="0.25">
      <c r="A35" s="537" t="s">
        <v>235</v>
      </c>
      <c r="B35" s="489">
        <v>198159.95</v>
      </c>
      <c r="C35" s="216">
        <v>199016.54</v>
      </c>
      <c r="D35" s="216">
        <v>197718.01</v>
      </c>
      <c r="E35" s="216">
        <v>227549.17</v>
      </c>
      <c r="F35" s="441">
        <v>228572.73</v>
      </c>
      <c r="G35" s="441">
        <v>163481.21</v>
      </c>
      <c r="H35" s="441">
        <v>136193.75</v>
      </c>
      <c r="I35" s="447">
        <f>+G35/G33</f>
        <v>0.60977912417895086</v>
      </c>
    </row>
    <row r="36" spans="1:9" s="536" customFormat="1" x14ac:dyDescent="0.25">
      <c r="A36" s="539" t="s">
        <v>271</v>
      </c>
      <c r="B36" s="540">
        <v>25130.920699999999</v>
      </c>
      <c r="C36" s="540">
        <v>31618.144700000001</v>
      </c>
      <c r="D36" s="540">
        <v>26544.564699999999</v>
      </c>
      <c r="E36" s="540">
        <v>27773.593000000001</v>
      </c>
      <c r="F36" s="541">
        <v>27463.777099999999</v>
      </c>
      <c r="G36" s="541">
        <v>23624.119200000001</v>
      </c>
      <c r="H36" s="541">
        <v>24856.044900000001</v>
      </c>
      <c r="I36" s="535"/>
    </row>
    <row r="37" spans="1:9" x14ac:dyDescent="0.25">
      <c r="A37" s="537" t="s">
        <v>236</v>
      </c>
      <c r="B37" s="489">
        <v>188609.58</v>
      </c>
      <c r="C37" s="216">
        <v>120599.06</v>
      </c>
      <c r="D37" s="216">
        <v>139670.98000000001</v>
      </c>
      <c r="E37" s="216">
        <v>144769.20000000001</v>
      </c>
      <c r="F37" s="441">
        <v>127659.5</v>
      </c>
      <c r="G37" s="441">
        <v>104617.85</v>
      </c>
      <c r="H37" s="441">
        <v>80327.58</v>
      </c>
      <c r="I37" s="447">
        <f>+G37/G33</f>
        <v>0.39022087582104914</v>
      </c>
    </row>
    <row r="38" spans="1:9" s="536" customFormat="1" x14ac:dyDescent="0.25">
      <c r="A38" s="539" t="s">
        <v>272</v>
      </c>
      <c r="B38" s="540">
        <v>23915.6682</v>
      </c>
      <c r="C38" s="540">
        <v>18930.6181</v>
      </c>
      <c r="D38" s="540">
        <v>19322.130499999999</v>
      </c>
      <c r="E38" s="540">
        <v>17669.855</v>
      </c>
      <c r="F38" s="541">
        <v>15338.7219</v>
      </c>
      <c r="G38" s="541">
        <v>15117.9684</v>
      </c>
      <c r="H38" s="541">
        <v>14660.183499999999</v>
      </c>
      <c r="I38" s="535"/>
    </row>
    <row r="39" spans="1:9" x14ac:dyDescent="0.25">
      <c r="A39" s="334"/>
      <c r="B39" s="489"/>
      <c r="C39" s="216"/>
      <c r="D39" s="216"/>
      <c r="E39" s="216"/>
      <c r="F39" s="441"/>
      <c r="G39" s="441"/>
      <c r="H39" s="441"/>
    </row>
    <row r="40" spans="1:9" x14ac:dyDescent="0.25">
      <c r="A40" s="335" t="s">
        <v>237</v>
      </c>
      <c r="B40" s="333">
        <v>3646027.39</v>
      </c>
      <c r="C40" s="333">
        <v>3902038.06</v>
      </c>
      <c r="D40" s="333">
        <v>4366849.17</v>
      </c>
      <c r="E40" s="333">
        <v>4047600.16</v>
      </c>
      <c r="F40" s="442">
        <v>3930392.92</v>
      </c>
      <c r="G40" s="442">
        <v>4120155.32</v>
      </c>
      <c r="H40" s="442">
        <v>3551777.51</v>
      </c>
      <c r="I40" s="182"/>
    </row>
    <row r="41" spans="1:9" x14ac:dyDescent="0.25">
      <c r="A41" s="335" t="s">
        <v>246</v>
      </c>
      <c r="B41" s="338">
        <v>20279068</v>
      </c>
      <c r="C41" s="338">
        <v>20657733.699999999</v>
      </c>
      <c r="D41" s="338">
        <v>19602632.100000001</v>
      </c>
      <c r="E41" s="338">
        <v>17807303.5</v>
      </c>
      <c r="F41" s="443">
        <v>17238565.300000001</v>
      </c>
      <c r="G41" s="443">
        <v>17145881</v>
      </c>
      <c r="H41" s="443">
        <v>17157820.5</v>
      </c>
      <c r="I41" s="182"/>
    </row>
    <row r="42" spans="1:9" s="448" customFormat="1" x14ac:dyDescent="0.25">
      <c r="A42" s="567" t="s">
        <v>298</v>
      </c>
      <c r="B42" s="569"/>
      <c r="C42" s="569"/>
      <c r="D42" s="569"/>
      <c r="E42" s="569">
        <v>1177828.43</v>
      </c>
      <c r="F42" s="569">
        <v>1037636.44</v>
      </c>
      <c r="G42" s="569">
        <v>867837.59</v>
      </c>
      <c r="H42" s="569">
        <v>902402.11</v>
      </c>
      <c r="I42" s="182"/>
    </row>
    <row r="43" spans="1:9" s="267" customFormat="1" x14ac:dyDescent="0.25">
      <c r="A43" s="334" t="s">
        <v>238</v>
      </c>
      <c r="B43" s="499">
        <v>2996087.76</v>
      </c>
      <c r="C43" s="227">
        <v>3171431.68</v>
      </c>
      <c r="D43" s="227">
        <v>3513088.36</v>
      </c>
      <c r="E43" s="227">
        <v>3112917.07</v>
      </c>
      <c r="F43" s="444">
        <v>3049641.96</v>
      </c>
      <c r="G43" s="444">
        <v>3111142.91</v>
      </c>
      <c r="H43" s="444">
        <v>2668831.21</v>
      </c>
      <c r="I43" s="447">
        <f>+G43/G40</f>
        <v>0.75510330761025779</v>
      </c>
    </row>
    <row r="44" spans="1:9" s="267" customFormat="1" x14ac:dyDescent="0.25">
      <c r="A44" s="542" t="s">
        <v>273</v>
      </c>
      <c r="B44" s="540">
        <v>16662668.1647</v>
      </c>
      <c r="C44" s="540">
        <v>16780829.841899998</v>
      </c>
      <c r="D44" s="540">
        <v>15827676.4789</v>
      </c>
      <c r="E44" s="540">
        <v>13695191.5055</v>
      </c>
      <c r="F44" s="541">
        <v>13375622.482100001</v>
      </c>
      <c r="G44" s="541">
        <v>12946911.322799999</v>
      </c>
      <c r="H44" s="541">
        <v>12903158.4943</v>
      </c>
      <c r="I44" s="447"/>
    </row>
    <row r="45" spans="1:9" s="267" customFormat="1" x14ac:dyDescent="0.25">
      <c r="A45" s="334" t="s">
        <v>239</v>
      </c>
      <c r="B45" s="499">
        <v>649939.63</v>
      </c>
      <c r="C45" s="227">
        <v>730606.38</v>
      </c>
      <c r="D45" s="227">
        <v>853760.81</v>
      </c>
      <c r="E45" s="227">
        <v>934683.09</v>
      </c>
      <c r="F45" s="444">
        <v>880750.96</v>
      </c>
      <c r="G45" s="444">
        <v>1009012.41</v>
      </c>
      <c r="H45" s="444">
        <v>882946.3</v>
      </c>
      <c r="I45" s="447">
        <f>+G45/G40</f>
        <v>0.24489669238974227</v>
      </c>
    </row>
    <row r="46" spans="1:9" s="267" customFormat="1" x14ac:dyDescent="0.25">
      <c r="A46" s="542" t="s">
        <v>274</v>
      </c>
      <c r="B46" s="540">
        <v>3616399.8352999999</v>
      </c>
      <c r="C46" s="540">
        <v>3876903.8580999998</v>
      </c>
      <c r="D46" s="540">
        <v>3819629.4111000001</v>
      </c>
      <c r="E46" s="540">
        <v>4112111.9945999999</v>
      </c>
      <c r="F46" s="541">
        <v>3862942.8179000001</v>
      </c>
      <c r="G46" s="541">
        <v>4198969.6771999998</v>
      </c>
      <c r="H46" s="541">
        <v>4254662.0056999996</v>
      </c>
      <c r="I46" s="447"/>
    </row>
    <row r="47" spans="1:9" s="267" customFormat="1" x14ac:dyDescent="0.25">
      <c r="A47" s="337"/>
      <c r="B47" s="499"/>
      <c r="C47" s="227"/>
      <c r="D47" s="227"/>
      <c r="E47" s="227"/>
      <c r="F47" s="444"/>
      <c r="G47" s="444"/>
      <c r="H47" s="444"/>
    </row>
    <row r="48" spans="1:9" x14ac:dyDescent="0.25">
      <c r="A48" s="335" t="s">
        <v>241</v>
      </c>
      <c r="B48" s="333">
        <v>1188417.53</v>
      </c>
      <c r="C48" s="333">
        <v>1014764.7</v>
      </c>
      <c r="D48" s="333">
        <v>1218518.28</v>
      </c>
      <c r="E48" s="333">
        <v>1134238.8400000001</v>
      </c>
      <c r="F48" s="442">
        <v>1149600.98</v>
      </c>
      <c r="G48" s="442">
        <v>1226508.05</v>
      </c>
      <c r="H48" s="442">
        <v>1320119.8</v>
      </c>
      <c r="I48" s="182"/>
    </row>
    <row r="49" spans="1:9" x14ac:dyDescent="0.25">
      <c r="A49" s="335" t="s">
        <v>247</v>
      </c>
      <c r="B49" s="338">
        <v>270772</v>
      </c>
      <c r="C49" s="338">
        <v>233277</v>
      </c>
      <c r="D49" s="338">
        <v>226853</v>
      </c>
      <c r="E49" s="338">
        <v>209246</v>
      </c>
      <c r="F49" s="443">
        <v>206826</v>
      </c>
      <c r="G49" s="443">
        <v>217829</v>
      </c>
      <c r="H49" s="443">
        <v>231979</v>
      </c>
      <c r="I49" s="182"/>
    </row>
    <row r="50" spans="1:9" s="448" customFormat="1" x14ac:dyDescent="0.25">
      <c r="A50" s="567" t="s">
        <v>298</v>
      </c>
      <c r="B50" s="569"/>
      <c r="C50" s="569"/>
      <c r="D50" s="569"/>
      <c r="E50" s="569">
        <v>496210.98</v>
      </c>
      <c r="F50" s="569">
        <v>618805.56000000006</v>
      </c>
      <c r="G50" s="569">
        <v>606644.97</v>
      </c>
      <c r="H50" s="569">
        <v>460274.71</v>
      </c>
      <c r="I50" s="182"/>
    </row>
    <row r="51" spans="1:9" x14ac:dyDescent="0.25">
      <c r="A51" s="334" t="s">
        <v>242</v>
      </c>
      <c r="B51" s="489">
        <v>902017.6</v>
      </c>
      <c r="C51" s="216">
        <v>778133.6</v>
      </c>
      <c r="D51" s="216">
        <v>1014738.63</v>
      </c>
      <c r="E51" s="216">
        <v>917195.04</v>
      </c>
      <c r="F51" s="441">
        <v>944692.83</v>
      </c>
      <c r="G51" s="441">
        <v>1002737.32</v>
      </c>
      <c r="H51" s="441">
        <v>1148407.77</v>
      </c>
      <c r="I51" s="447">
        <f>+G51/G48</f>
        <v>0.81755461776219074</v>
      </c>
    </row>
    <row r="52" spans="1:9" s="448" customFormat="1" x14ac:dyDescent="0.25">
      <c r="A52" s="542" t="s">
        <v>275</v>
      </c>
      <c r="B52" s="540">
        <v>153621.4999</v>
      </c>
      <c r="C52" s="540">
        <v>154451.59169999999</v>
      </c>
      <c r="D52" s="540">
        <v>189516.35490000001</v>
      </c>
      <c r="E52" s="540">
        <v>169205.43400000001</v>
      </c>
      <c r="F52" s="541">
        <v>169960.73240000001</v>
      </c>
      <c r="G52" s="541">
        <v>178087.10800000001</v>
      </c>
      <c r="H52" s="541">
        <v>201582.7438</v>
      </c>
      <c r="I52" s="447"/>
    </row>
    <row r="53" spans="1:9" x14ac:dyDescent="0.25">
      <c r="A53" s="334" t="s">
        <v>243</v>
      </c>
      <c r="B53" s="489">
        <v>286399.93</v>
      </c>
      <c r="C53" s="216">
        <v>236631.1</v>
      </c>
      <c r="D53" s="216">
        <v>203779.65</v>
      </c>
      <c r="E53" s="216">
        <v>217043.8</v>
      </c>
      <c r="F53" s="441">
        <v>204908.15</v>
      </c>
      <c r="G53" s="441">
        <v>223770.73</v>
      </c>
      <c r="H53" s="441">
        <v>171712.03</v>
      </c>
      <c r="I53" s="447">
        <f>+G53/G48</f>
        <v>0.18244538223780921</v>
      </c>
    </row>
    <row r="54" spans="1:9" s="448" customFormat="1" x14ac:dyDescent="0.25">
      <c r="A54" s="542" t="s">
        <v>276</v>
      </c>
      <c r="B54" s="540">
        <v>48654.500099999997</v>
      </c>
      <c r="C54" s="540">
        <v>46564.408300000003</v>
      </c>
      <c r="D54" s="540">
        <v>37336.645100000002</v>
      </c>
      <c r="E54" s="540">
        <v>40040.565999999999</v>
      </c>
      <c r="F54" s="541">
        <v>36865.267599999999</v>
      </c>
      <c r="G54" s="541">
        <v>39741.891499999998</v>
      </c>
      <c r="H54" s="541">
        <v>30396.256300000001</v>
      </c>
      <c r="I54" s="447"/>
    </row>
    <row r="55" spans="1:9" x14ac:dyDescent="0.25">
      <c r="A55" s="334"/>
      <c r="B55" s="489"/>
      <c r="C55" s="216"/>
      <c r="D55" s="216"/>
      <c r="E55" s="216"/>
      <c r="F55" s="216"/>
      <c r="G55" s="489"/>
      <c r="H55" s="489"/>
    </row>
    <row r="59" spans="1:9" x14ac:dyDescent="0.25">
      <c r="B59" s="448"/>
      <c r="C59" s="264"/>
      <c r="D59" s="264"/>
      <c r="E59" s="264"/>
      <c r="F59" s="264"/>
      <c r="G59" s="448"/>
      <c r="H59" s="448"/>
      <c r="I59" s="37"/>
    </row>
  </sheetData>
  <sheetProtection algorithmName="SHA-512" hashValue="mC7YYwjCSE2yq7vAMiGQ6AAsDXeqEEa+3yJjIdBsoXRB3PaVJuipGwWGVkfDEHSWNdC+rpocYL1efWCWueHEmA==" saltValue="1ctI0aWk9/czBadX6vGmZw==" spinCount="100000" sheet="1" objects="1" scenarios="1"/>
  <pageMargins left="0.7" right="0.7" top="0.51" bottom="0.75" header="0.3" footer="0.3"/>
  <pageSetup scale="64" orientation="landscape" r:id="rId1"/>
  <headerFooter>
    <oddFooter>&amp;R&amp;9&amp;Z&amp;F</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HP46"/>
  <sheetViews>
    <sheetView topLeftCell="A4" zoomScale="80" zoomScaleNormal="80" workbookViewId="0">
      <selection activeCell="O28" sqref="O28"/>
    </sheetView>
  </sheetViews>
  <sheetFormatPr defaultRowHeight="15" x14ac:dyDescent="0.25"/>
  <cols>
    <col min="1" max="1" width="13" style="448" customWidth="1"/>
    <col min="2" max="2" width="15" style="448" bestFit="1" customWidth="1"/>
    <col min="3" max="3" width="13" style="448" customWidth="1"/>
    <col min="4" max="6" width="15.5703125" style="448" customWidth="1"/>
    <col min="7" max="11" width="13" style="448" customWidth="1"/>
    <col min="12" max="12" width="15.5703125" style="448" customWidth="1"/>
    <col min="13" max="13" width="17.140625" style="448" customWidth="1"/>
    <col min="14" max="14" width="19.85546875" style="448" customWidth="1"/>
    <col min="15" max="15" width="13" style="448" customWidth="1"/>
    <col min="16" max="16" width="17.28515625" style="448" customWidth="1"/>
    <col min="17" max="20" width="13" style="448" customWidth="1"/>
    <col min="21" max="21" width="14" style="448" customWidth="1"/>
    <col min="22" max="16384" width="9.140625" style="448"/>
  </cols>
  <sheetData>
    <row r="1" spans="1:224" x14ac:dyDescent="0.25">
      <c r="A1" s="1" t="s">
        <v>0</v>
      </c>
    </row>
    <row r="2" spans="1:224" x14ac:dyDescent="0.25">
      <c r="A2" s="1" t="s">
        <v>1</v>
      </c>
    </row>
    <row r="3" spans="1:224" x14ac:dyDescent="0.25">
      <c r="A3" s="1" t="s">
        <v>49</v>
      </c>
    </row>
    <row r="4" spans="1:224" x14ac:dyDescent="0.25">
      <c r="A4" s="1" t="s">
        <v>290</v>
      </c>
    </row>
    <row r="6" spans="1:224" x14ac:dyDescent="0.25">
      <c r="A6" s="138"/>
      <c r="B6" s="42" t="s">
        <v>3</v>
      </c>
      <c r="C6" s="42"/>
      <c r="D6" s="42"/>
      <c r="E6" s="42"/>
      <c r="F6" s="42"/>
      <c r="G6" s="42"/>
      <c r="H6" s="42"/>
      <c r="I6" s="42"/>
      <c r="J6" s="42"/>
      <c r="K6" s="42"/>
      <c r="L6" s="42"/>
      <c r="M6" s="42"/>
    </row>
    <row r="7" spans="1:224" s="7" customFormat="1" ht="30" x14ac:dyDescent="0.25">
      <c r="A7" s="571" t="s">
        <v>4</v>
      </c>
      <c r="B7" s="572" t="s">
        <v>50</v>
      </c>
      <c r="C7" s="572" t="s">
        <v>51</v>
      </c>
      <c r="D7" s="572" t="s">
        <v>53</v>
      </c>
      <c r="E7" s="580" t="s">
        <v>267</v>
      </c>
      <c r="F7" s="580" t="s">
        <v>268</v>
      </c>
      <c r="G7" s="595" t="s">
        <v>52</v>
      </c>
      <c r="H7" s="596"/>
      <c r="I7" s="597"/>
      <c r="J7" s="572" t="s">
        <v>54</v>
      </c>
      <c r="K7" s="572" t="s">
        <v>72</v>
      </c>
      <c r="L7" s="572" t="s">
        <v>216</v>
      </c>
      <c r="M7" s="44"/>
      <c r="N7" s="448"/>
      <c r="O7" s="448"/>
      <c r="P7" s="448"/>
      <c r="Q7" s="448"/>
      <c r="R7" s="448"/>
      <c r="S7" s="448"/>
      <c r="T7" s="448"/>
      <c r="U7" s="448"/>
      <c r="V7" s="448"/>
      <c r="W7" s="448"/>
      <c r="X7" s="448"/>
      <c r="Y7" s="448"/>
      <c r="Z7" s="448"/>
      <c r="AA7" s="448"/>
      <c r="AB7" s="448"/>
      <c r="AC7" s="448"/>
      <c r="AD7" s="448"/>
      <c r="AE7" s="448"/>
      <c r="AF7" s="448"/>
      <c r="AG7" s="448"/>
      <c r="AH7" s="448"/>
      <c r="AI7" s="448"/>
      <c r="AJ7" s="448"/>
      <c r="AK7" s="448"/>
      <c r="AL7" s="448"/>
      <c r="AM7" s="448"/>
      <c r="AN7" s="448"/>
      <c r="AO7" s="448"/>
      <c r="AP7" s="448"/>
      <c r="AQ7" s="448"/>
      <c r="AR7" s="448"/>
      <c r="AS7" s="448"/>
      <c r="AT7" s="448"/>
      <c r="AU7" s="448"/>
      <c r="AV7" s="448"/>
      <c r="AW7" s="448"/>
      <c r="AX7" s="448"/>
      <c r="AY7" s="448"/>
      <c r="AZ7" s="448"/>
      <c r="BA7" s="448"/>
      <c r="BB7" s="448"/>
      <c r="BC7" s="448"/>
      <c r="BD7" s="448"/>
      <c r="BE7" s="448"/>
      <c r="BF7" s="448"/>
      <c r="BG7" s="448"/>
      <c r="BH7" s="448"/>
      <c r="BI7" s="448"/>
      <c r="BJ7" s="448"/>
      <c r="BK7" s="448"/>
      <c r="BL7" s="448"/>
      <c r="BM7" s="448"/>
      <c r="BN7" s="448"/>
      <c r="BO7" s="448"/>
      <c r="BP7" s="448"/>
      <c r="BQ7" s="448"/>
      <c r="BR7" s="448"/>
      <c r="BS7" s="448"/>
      <c r="BT7" s="448"/>
      <c r="BU7" s="448"/>
      <c r="BV7" s="448"/>
      <c r="BW7" s="448"/>
      <c r="BX7" s="448"/>
      <c r="BY7" s="448"/>
      <c r="BZ7" s="448"/>
      <c r="CA7" s="448"/>
      <c r="CB7" s="448"/>
      <c r="CC7" s="448"/>
      <c r="CD7" s="448"/>
      <c r="CE7" s="448"/>
      <c r="CF7" s="448"/>
      <c r="CG7" s="448"/>
      <c r="CH7" s="448"/>
      <c r="CI7" s="448"/>
      <c r="CJ7" s="448"/>
      <c r="CK7" s="448"/>
      <c r="CL7" s="448"/>
      <c r="CM7" s="448"/>
      <c r="CN7" s="448"/>
      <c r="CO7" s="448"/>
      <c r="CP7" s="448"/>
      <c r="CQ7" s="448"/>
      <c r="CR7" s="448"/>
      <c r="CS7" s="448"/>
      <c r="CT7" s="448"/>
      <c r="CU7" s="448"/>
      <c r="CV7" s="448"/>
      <c r="CW7" s="448"/>
      <c r="CX7" s="448"/>
      <c r="CY7" s="448"/>
      <c r="CZ7" s="448"/>
      <c r="DA7" s="448"/>
      <c r="DB7" s="448"/>
      <c r="DC7" s="448"/>
      <c r="DD7" s="448"/>
      <c r="DE7" s="448"/>
      <c r="DF7" s="448"/>
      <c r="DG7" s="448"/>
      <c r="DH7" s="448"/>
      <c r="DI7" s="448"/>
      <c r="DJ7" s="448"/>
      <c r="DK7" s="448"/>
      <c r="DL7" s="448"/>
      <c r="DM7" s="448"/>
      <c r="DN7" s="448"/>
      <c r="DO7" s="448"/>
      <c r="DP7" s="448"/>
      <c r="DQ7" s="448"/>
      <c r="DR7" s="448"/>
      <c r="DS7" s="448"/>
      <c r="DT7" s="448"/>
      <c r="DU7" s="448"/>
      <c r="DV7" s="448"/>
      <c r="DW7" s="448"/>
      <c r="DX7" s="448"/>
      <c r="DY7" s="448"/>
      <c r="DZ7" s="448"/>
      <c r="EA7" s="448"/>
      <c r="EB7" s="448"/>
      <c r="EC7" s="448"/>
      <c r="ED7" s="448"/>
      <c r="EE7" s="448"/>
      <c r="EF7" s="448"/>
      <c r="EG7" s="448"/>
      <c r="EH7" s="448"/>
      <c r="EI7" s="448"/>
      <c r="EJ7" s="448"/>
      <c r="EK7" s="448"/>
      <c r="EL7" s="448"/>
      <c r="EM7" s="448"/>
      <c r="EN7" s="448"/>
      <c r="EO7" s="448"/>
      <c r="EP7" s="448"/>
      <c r="EQ7" s="448"/>
      <c r="ER7" s="448"/>
      <c r="ES7" s="448"/>
      <c r="ET7" s="448"/>
      <c r="EU7" s="448"/>
      <c r="EV7" s="448"/>
      <c r="EW7" s="448"/>
      <c r="EX7" s="448"/>
      <c r="EY7" s="448"/>
      <c r="EZ7" s="448"/>
      <c r="FA7" s="448"/>
      <c r="FB7" s="448"/>
      <c r="FC7" s="448"/>
      <c r="FD7" s="448"/>
      <c r="FE7" s="448"/>
      <c r="FF7" s="448"/>
      <c r="FG7" s="448"/>
      <c r="FH7" s="448"/>
      <c r="FI7" s="448"/>
      <c r="FJ7" s="448"/>
      <c r="FK7" s="448"/>
      <c r="FL7" s="448"/>
      <c r="FM7" s="448"/>
      <c r="FN7" s="448"/>
      <c r="FO7" s="448"/>
      <c r="FP7" s="448"/>
      <c r="FQ7" s="448"/>
      <c r="FR7" s="448"/>
      <c r="FS7" s="448"/>
      <c r="FT7" s="448"/>
      <c r="FU7" s="448"/>
      <c r="FV7" s="448"/>
      <c r="FW7" s="448"/>
      <c r="FX7" s="448"/>
      <c r="FY7" s="448"/>
      <c r="FZ7" s="448"/>
      <c r="GA7" s="448"/>
      <c r="GB7" s="448"/>
      <c r="GC7" s="448"/>
      <c r="GD7" s="448"/>
      <c r="GE7" s="448"/>
      <c r="GF7" s="448"/>
      <c r="GG7" s="448"/>
      <c r="GH7" s="448"/>
      <c r="GI7" s="448"/>
      <c r="GJ7" s="448"/>
      <c r="GK7" s="448"/>
      <c r="GL7" s="448"/>
      <c r="GM7" s="448"/>
      <c r="GN7" s="448"/>
      <c r="GO7" s="448"/>
      <c r="GP7" s="448"/>
      <c r="GQ7" s="448"/>
      <c r="GR7" s="448"/>
      <c r="GS7" s="448"/>
      <c r="GT7" s="448"/>
      <c r="GU7" s="448"/>
      <c r="GV7" s="448"/>
      <c r="GW7" s="448"/>
      <c r="GX7" s="448"/>
      <c r="GY7" s="448"/>
      <c r="GZ7" s="448"/>
      <c r="HA7" s="448"/>
      <c r="HB7" s="448"/>
      <c r="HC7" s="448"/>
      <c r="HD7" s="448"/>
      <c r="HE7" s="448"/>
      <c r="HF7" s="448"/>
      <c r="HG7" s="448"/>
      <c r="HH7" s="448"/>
      <c r="HI7" s="448"/>
      <c r="HJ7" s="448"/>
      <c r="HK7" s="448"/>
      <c r="HL7" s="448"/>
      <c r="HM7" s="448"/>
      <c r="HN7" s="448"/>
      <c r="HO7" s="448"/>
      <c r="HP7" s="448"/>
    </row>
    <row r="8" spans="1:224" x14ac:dyDescent="0.25">
      <c r="A8" s="140" t="s">
        <v>6</v>
      </c>
      <c r="B8" s="45" t="s">
        <v>55</v>
      </c>
      <c r="C8" s="452" t="s">
        <v>294</v>
      </c>
      <c r="D8" s="452" t="s">
        <v>59</v>
      </c>
      <c r="E8" s="452" t="s">
        <v>293</v>
      </c>
      <c r="F8" s="452" t="s">
        <v>292</v>
      </c>
      <c r="G8" s="452" t="s">
        <v>56</v>
      </c>
      <c r="H8" s="452" t="s">
        <v>57</v>
      </c>
      <c r="I8" s="452" t="s">
        <v>58</v>
      </c>
      <c r="J8" s="452"/>
      <c r="K8" s="452"/>
      <c r="L8" s="452" t="s">
        <v>218</v>
      </c>
      <c r="M8" s="579"/>
    </row>
    <row r="9" spans="1:224" ht="42.6" customHeight="1" x14ac:dyDescent="0.25">
      <c r="A9" s="140" t="s">
        <v>11</v>
      </c>
      <c r="B9" s="47"/>
      <c r="C9" s="47"/>
      <c r="D9" s="47"/>
      <c r="E9" s="47"/>
      <c r="F9" s="47"/>
      <c r="G9" s="47"/>
      <c r="H9" s="47"/>
      <c r="I9" s="47"/>
      <c r="J9" s="311" t="s">
        <v>67</v>
      </c>
      <c r="K9" s="310" t="s">
        <v>73</v>
      </c>
      <c r="L9" s="310" t="s">
        <v>217</v>
      </c>
      <c r="M9" s="48"/>
    </row>
    <row r="10" spans="1:224" x14ac:dyDescent="0.25">
      <c r="A10" s="140" t="s">
        <v>27</v>
      </c>
      <c r="B10" s="49">
        <v>120423</v>
      </c>
      <c r="C10" s="49">
        <v>120423</v>
      </c>
      <c r="D10" s="49">
        <v>120423</v>
      </c>
      <c r="E10" s="49">
        <v>120423</v>
      </c>
      <c r="F10" s="49">
        <v>120423</v>
      </c>
      <c r="G10" s="49">
        <v>120423</v>
      </c>
      <c r="H10" s="49">
        <v>100863</v>
      </c>
      <c r="I10" s="49">
        <v>120425</v>
      </c>
      <c r="J10" s="49">
        <v>100863</v>
      </c>
      <c r="K10" s="47"/>
      <c r="L10" s="49">
        <v>100863</v>
      </c>
      <c r="M10" s="48"/>
    </row>
    <row r="11" spans="1:224" x14ac:dyDescent="0.25">
      <c r="A11" s="140" t="s">
        <v>28</v>
      </c>
      <c r="B11" s="49">
        <v>755200</v>
      </c>
      <c r="C11" s="49">
        <v>755200</v>
      </c>
      <c r="D11" s="49">
        <v>755200</v>
      </c>
      <c r="E11" s="49">
        <v>755200</v>
      </c>
      <c r="F11" s="49">
        <v>755200</v>
      </c>
      <c r="G11" s="49">
        <v>755200</v>
      </c>
      <c r="H11" s="49">
        <v>755300</v>
      </c>
      <c r="I11" s="49">
        <v>755400</v>
      </c>
      <c r="J11" s="49">
        <v>755300</v>
      </c>
      <c r="K11" s="47"/>
      <c r="L11" s="49">
        <v>755200</v>
      </c>
      <c r="M11" s="48"/>
    </row>
    <row r="12" spans="1:224" s="17" customFormat="1" ht="19.5" customHeight="1" x14ac:dyDescent="0.25">
      <c r="A12" s="50" t="s">
        <v>29</v>
      </c>
      <c r="B12" s="47"/>
      <c r="C12" s="47"/>
      <c r="D12" s="47"/>
      <c r="E12" s="47"/>
      <c r="F12" s="47"/>
      <c r="G12" s="47"/>
      <c r="H12" s="47"/>
      <c r="I12" s="47"/>
      <c r="J12" s="47"/>
      <c r="K12" s="47"/>
      <c r="L12" s="47"/>
      <c r="M12" s="48" t="s">
        <v>30</v>
      </c>
      <c r="N12" s="448"/>
      <c r="O12" s="448"/>
      <c r="P12" s="448"/>
      <c r="Q12" s="448"/>
      <c r="R12" s="448"/>
      <c r="S12" s="448"/>
      <c r="T12" s="448"/>
      <c r="U12" s="448"/>
      <c r="V12" s="448"/>
      <c r="W12" s="448"/>
      <c r="X12" s="448"/>
      <c r="Y12" s="448"/>
      <c r="Z12" s="448"/>
      <c r="AA12" s="448"/>
      <c r="AB12" s="448"/>
      <c r="AC12" s="448"/>
      <c r="AD12" s="448"/>
      <c r="AE12" s="448"/>
      <c r="AF12" s="448"/>
      <c r="AG12" s="448"/>
      <c r="AH12" s="448"/>
      <c r="AI12" s="448"/>
      <c r="AJ12" s="448"/>
      <c r="AK12" s="448"/>
      <c r="AL12" s="448"/>
      <c r="AM12" s="448"/>
      <c r="AN12" s="448"/>
      <c r="AO12" s="448"/>
      <c r="AP12" s="448"/>
      <c r="AQ12" s="448"/>
      <c r="AR12" s="448"/>
      <c r="AS12" s="448"/>
      <c r="AT12" s="448"/>
      <c r="AU12" s="448"/>
      <c r="AV12" s="448"/>
      <c r="AW12" s="448"/>
      <c r="AX12" s="448"/>
      <c r="AY12" s="448"/>
      <c r="AZ12" s="448"/>
      <c r="BA12" s="448"/>
      <c r="BB12" s="448"/>
      <c r="BC12" s="448"/>
      <c r="BD12" s="448"/>
      <c r="BE12" s="448"/>
      <c r="BF12" s="448"/>
      <c r="BG12" s="448"/>
      <c r="BH12" s="448"/>
      <c r="BI12" s="448"/>
      <c r="BJ12" s="448"/>
      <c r="BK12" s="448"/>
      <c r="BL12" s="448"/>
      <c r="BM12" s="448"/>
      <c r="BN12" s="448"/>
      <c r="BO12" s="448"/>
      <c r="BP12" s="448"/>
      <c r="BQ12" s="448"/>
      <c r="BR12" s="448"/>
      <c r="BS12" s="448"/>
      <c r="BT12" s="448"/>
      <c r="BU12" s="448"/>
      <c r="BV12" s="448"/>
      <c r="BW12" s="448"/>
      <c r="BX12" s="448"/>
      <c r="BY12" s="448"/>
      <c r="BZ12" s="448"/>
      <c r="CA12" s="448"/>
      <c r="CB12" s="448"/>
      <c r="CC12" s="448"/>
      <c r="CD12" s="448"/>
      <c r="CE12" s="448"/>
      <c r="CF12" s="448"/>
      <c r="CG12" s="448"/>
      <c r="CH12" s="448"/>
      <c r="CI12" s="448"/>
      <c r="CJ12" s="448"/>
      <c r="CK12" s="448"/>
      <c r="CL12" s="448"/>
      <c r="CM12" s="448"/>
      <c r="CN12" s="448"/>
      <c r="CO12" s="448"/>
      <c r="CP12" s="448"/>
      <c r="CQ12" s="448"/>
      <c r="CR12" s="448"/>
      <c r="CS12" s="448"/>
      <c r="CT12" s="448"/>
      <c r="CU12" s="448"/>
      <c r="CV12" s="448"/>
      <c r="CW12" s="448"/>
      <c r="CX12" s="448"/>
      <c r="CY12" s="448"/>
      <c r="CZ12" s="448"/>
      <c r="DA12" s="448"/>
      <c r="DB12" s="448"/>
      <c r="DC12" s="448"/>
      <c r="DD12" s="448"/>
      <c r="DE12" s="448"/>
      <c r="DF12" s="448"/>
      <c r="DG12" s="448"/>
      <c r="DH12" s="448"/>
      <c r="DI12" s="448"/>
      <c r="DJ12" s="448"/>
      <c r="DK12" s="448"/>
      <c r="DL12" s="448"/>
      <c r="DM12" s="448"/>
      <c r="DN12" s="448"/>
      <c r="DO12" s="448"/>
      <c r="DP12" s="448"/>
      <c r="DQ12" s="448"/>
      <c r="DR12" s="448"/>
      <c r="DS12" s="448"/>
      <c r="DT12" s="448"/>
      <c r="DU12" s="448"/>
      <c r="DV12" s="448"/>
      <c r="DW12" s="448"/>
      <c r="DX12" s="448"/>
      <c r="DY12" s="448"/>
      <c r="DZ12" s="448"/>
      <c r="EA12" s="448"/>
      <c r="EB12" s="448"/>
      <c r="EC12" s="448"/>
      <c r="ED12" s="448"/>
      <c r="EE12" s="448"/>
      <c r="EF12" s="448"/>
      <c r="EG12" s="448"/>
      <c r="EH12" s="448"/>
      <c r="EI12" s="448"/>
      <c r="EJ12" s="448"/>
      <c r="EK12" s="448"/>
      <c r="EL12" s="448"/>
      <c r="EM12" s="448"/>
      <c r="EN12" s="448"/>
      <c r="EO12" s="448"/>
      <c r="EP12" s="448"/>
      <c r="EQ12" s="448"/>
      <c r="ER12" s="448"/>
      <c r="ES12" s="448"/>
      <c r="ET12" s="448"/>
      <c r="EU12" s="448"/>
      <c r="EV12" s="448"/>
      <c r="EW12" s="448"/>
      <c r="EX12" s="448"/>
      <c r="EY12" s="448"/>
      <c r="EZ12" s="448"/>
      <c r="FA12" s="448"/>
      <c r="FB12" s="448"/>
      <c r="FC12" s="448"/>
      <c r="FD12" s="448"/>
      <c r="FE12" s="448"/>
      <c r="FF12" s="448"/>
      <c r="FG12" s="448"/>
      <c r="FH12" s="448"/>
      <c r="FI12" s="448"/>
      <c r="FJ12" s="448"/>
      <c r="FK12" s="448"/>
      <c r="FL12" s="448"/>
      <c r="FM12" s="448"/>
      <c r="FN12" s="448"/>
      <c r="FO12" s="448"/>
      <c r="FP12" s="448"/>
      <c r="FQ12" s="448"/>
      <c r="FR12" s="448"/>
      <c r="FS12" s="448"/>
      <c r="FT12" s="448"/>
      <c r="FU12" s="448"/>
      <c r="FV12" s="448"/>
      <c r="FW12" s="448"/>
      <c r="FX12" s="448"/>
      <c r="FY12" s="448"/>
      <c r="FZ12" s="448"/>
      <c r="GA12" s="448"/>
      <c r="GB12" s="448"/>
      <c r="GC12" s="448"/>
      <c r="GD12" s="448"/>
      <c r="GE12" s="448"/>
      <c r="GF12" s="448"/>
      <c r="GG12" s="448"/>
      <c r="GH12" s="448"/>
      <c r="GI12" s="448"/>
      <c r="GJ12" s="448"/>
      <c r="GK12" s="448"/>
      <c r="GL12" s="448"/>
      <c r="GM12" s="448"/>
      <c r="GN12" s="448"/>
      <c r="GO12" s="448"/>
      <c r="GP12" s="448"/>
      <c r="GQ12" s="448"/>
      <c r="GR12" s="448"/>
      <c r="GS12" s="448"/>
      <c r="GT12" s="448"/>
      <c r="GU12" s="448"/>
      <c r="GV12" s="448"/>
      <c r="GW12" s="448"/>
      <c r="GX12" s="448"/>
      <c r="GY12" s="448"/>
      <c r="GZ12" s="448"/>
      <c r="HA12" s="448"/>
      <c r="HB12" s="448"/>
      <c r="HC12" s="448"/>
      <c r="HD12" s="448"/>
      <c r="HE12" s="448"/>
      <c r="HF12" s="448"/>
      <c r="HG12" s="448"/>
      <c r="HH12" s="448"/>
      <c r="HI12" s="448"/>
      <c r="HJ12" s="448"/>
      <c r="HK12" s="448"/>
      <c r="HL12" s="448"/>
      <c r="HM12" s="448"/>
      <c r="HN12" s="448"/>
      <c r="HO12" s="448"/>
      <c r="HP12" s="448"/>
    </row>
    <row r="13" spans="1:224" ht="19.5" customHeight="1" x14ac:dyDescent="0.25">
      <c r="A13" s="450" t="s">
        <v>31</v>
      </c>
      <c r="B13" s="149">
        <v>114976.58</v>
      </c>
      <c r="C13" s="149">
        <v>17442</v>
      </c>
      <c r="D13" s="149">
        <v>1064.28</v>
      </c>
      <c r="E13" s="149">
        <v>1064.28</v>
      </c>
      <c r="F13" s="149">
        <v>1064.28</v>
      </c>
      <c r="G13" s="149">
        <v>4225.7</v>
      </c>
      <c r="H13" s="149">
        <v>2173.1799999999998</v>
      </c>
      <c r="I13" s="149">
        <v>29649.26</v>
      </c>
      <c r="J13" s="149"/>
      <c r="K13" s="149"/>
      <c r="L13" s="149">
        <v>16.739999999999998</v>
      </c>
      <c r="M13" s="266">
        <f t="shared" ref="M13:M24" si="0">SUM(B13:L13)</f>
        <v>171676.30000000002</v>
      </c>
    </row>
    <row r="14" spans="1:224" ht="19.5" customHeight="1" x14ac:dyDescent="0.25">
      <c r="A14" s="450" t="s">
        <v>32</v>
      </c>
      <c r="B14" s="149">
        <v>131040.21</v>
      </c>
      <c r="C14" s="149">
        <v>38903.980000000003</v>
      </c>
      <c r="D14" s="149">
        <v>1064.28</v>
      </c>
      <c r="E14" s="149">
        <v>1064.28</v>
      </c>
      <c r="F14" s="149">
        <v>1064.28</v>
      </c>
      <c r="G14" s="149">
        <v>4715.03</v>
      </c>
      <c r="H14" s="149">
        <v>1866.98</v>
      </c>
      <c r="I14" s="149">
        <v>28956.35</v>
      </c>
      <c r="J14" s="149"/>
      <c r="K14" s="149"/>
      <c r="L14" s="149">
        <v>16.739999999999998</v>
      </c>
      <c r="M14" s="266">
        <f t="shared" si="0"/>
        <v>208692.13</v>
      </c>
    </row>
    <row r="15" spans="1:224" ht="19.5" customHeight="1" x14ac:dyDescent="0.25">
      <c r="A15" s="450" t="s">
        <v>33</v>
      </c>
      <c r="B15" s="149">
        <v>135732.57</v>
      </c>
      <c r="C15" s="149">
        <v>24458.15</v>
      </c>
      <c r="D15" s="149">
        <v>1064.28</v>
      </c>
      <c r="E15" s="149">
        <v>1064.28</v>
      </c>
      <c r="F15" s="149">
        <v>1064.28</v>
      </c>
      <c r="G15" s="149">
        <v>5403.2</v>
      </c>
      <c r="H15" s="149">
        <v>1550.79</v>
      </c>
      <c r="I15" s="149">
        <v>39099.800000000003</v>
      </c>
      <c r="J15" s="149"/>
      <c r="K15" s="149"/>
      <c r="L15" s="149">
        <v>16.739999999999998</v>
      </c>
      <c r="M15" s="266">
        <f t="shared" si="0"/>
        <v>209454.09000000003</v>
      </c>
    </row>
    <row r="16" spans="1:224" ht="19.5" customHeight="1" x14ac:dyDescent="0.25">
      <c r="A16" s="450" t="s">
        <v>34</v>
      </c>
      <c r="B16" s="149">
        <v>98060.78</v>
      </c>
      <c r="C16" s="149">
        <v>13540.41</v>
      </c>
      <c r="D16" s="149">
        <v>1064.28</v>
      </c>
      <c r="E16" s="149">
        <v>7602.2</v>
      </c>
      <c r="F16" s="149">
        <v>6452.97</v>
      </c>
      <c r="G16" s="149">
        <v>8881.11</v>
      </c>
      <c r="H16" s="149">
        <v>984.67</v>
      </c>
      <c r="I16" s="149">
        <v>32961.03</v>
      </c>
      <c r="J16" s="149"/>
      <c r="K16" s="149"/>
      <c r="L16" s="149">
        <v>152.19</v>
      </c>
      <c r="M16" s="266">
        <f t="shared" si="0"/>
        <v>169699.64</v>
      </c>
    </row>
    <row r="17" spans="1:224" ht="19.5" customHeight="1" x14ac:dyDescent="0.25">
      <c r="A17" s="450" t="s">
        <v>35</v>
      </c>
      <c r="B17" s="149">
        <v>147931.04999999999</v>
      </c>
      <c r="C17" s="149">
        <v>14152.8</v>
      </c>
      <c r="D17" s="149">
        <v>1064.28</v>
      </c>
      <c r="E17" s="149">
        <v>15818.5</v>
      </c>
      <c r="F17" s="149">
        <v>7740.05</v>
      </c>
      <c r="G17" s="149">
        <v>21042.02</v>
      </c>
      <c r="H17" s="149">
        <v>665.97</v>
      </c>
      <c r="I17" s="149">
        <v>35137.26</v>
      </c>
      <c r="J17" s="149"/>
      <c r="K17" s="149"/>
      <c r="L17" s="149">
        <v>242.93</v>
      </c>
      <c r="M17" s="266">
        <f t="shared" si="0"/>
        <v>243794.85999999996</v>
      </c>
    </row>
    <row r="18" spans="1:224" ht="19.5" customHeight="1" x14ac:dyDescent="0.25">
      <c r="A18" s="208" t="s">
        <v>36</v>
      </c>
      <c r="B18" s="162">
        <v>138119.74</v>
      </c>
      <c r="C18" s="162">
        <v>15669.81</v>
      </c>
      <c r="D18" s="162">
        <v>1064.28</v>
      </c>
      <c r="E18" s="162">
        <v>21943.77</v>
      </c>
      <c r="F18" s="162">
        <v>13084.6</v>
      </c>
      <c r="G18" s="162">
        <v>24541.61</v>
      </c>
      <c r="H18" s="162">
        <v>341.88</v>
      </c>
      <c r="I18" s="162">
        <v>30347.45</v>
      </c>
      <c r="J18" s="162"/>
      <c r="K18" s="162"/>
      <c r="L18" s="162">
        <v>281.20999999999998</v>
      </c>
      <c r="M18" s="266">
        <f t="shared" si="0"/>
        <v>245394.35</v>
      </c>
    </row>
    <row r="19" spans="1:224" ht="19.5" customHeight="1" x14ac:dyDescent="0.25">
      <c r="A19" s="208" t="s">
        <v>37</v>
      </c>
      <c r="B19" s="162">
        <v>186771.77</v>
      </c>
      <c r="C19" s="162">
        <v>21512.76</v>
      </c>
      <c r="D19" s="162">
        <v>1064.28</v>
      </c>
      <c r="E19" s="162">
        <v>39619.01</v>
      </c>
      <c r="F19" s="162">
        <v>7327.78</v>
      </c>
      <c r="G19" s="162">
        <v>46735.76</v>
      </c>
      <c r="H19" s="162">
        <v>650.80999999999995</v>
      </c>
      <c r="I19" s="162">
        <v>22580.47</v>
      </c>
      <c r="J19" s="162"/>
      <c r="K19" s="162"/>
      <c r="L19" s="162">
        <v>399.16</v>
      </c>
      <c r="M19" s="266">
        <f t="shared" si="0"/>
        <v>326661.8</v>
      </c>
    </row>
    <row r="20" spans="1:224" ht="19.5" customHeight="1" x14ac:dyDescent="0.25">
      <c r="A20" s="208" t="s">
        <v>38</v>
      </c>
      <c r="B20" s="162">
        <v>157859.85</v>
      </c>
      <c r="C20" s="162">
        <v>18921.36</v>
      </c>
      <c r="D20" s="162">
        <v>1064.28</v>
      </c>
      <c r="E20" s="162">
        <v>25589.13</v>
      </c>
      <c r="F20" s="162">
        <v>7911.53</v>
      </c>
      <c r="G20" s="162">
        <v>35212.26</v>
      </c>
      <c r="H20" s="162">
        <v>820.84</v>
      </c>
      <c r="I20" s="162">
        <v>26872.34</v>
      </c>
      <c r="J20" s="162"/>
      <c r="K20" s="162"/>
      <c r="L20" s="162">
        <v>286.26</v>
      </c>
      <c r="M20" s="266">
        <f t="shared" si="0"/>
        <v>274537.85000000003</v>
      </c>
    </row>
    <row r="21" spans="1:224" ht="19.5" customHeight="1" x14ac:dyDescent="0.25">
      <c r="A21" s="208" t="s">
        <v>39</v>
      </c>
      <c r="B21" s="150">
        <v>118984.77</v>
      </c>
      <c r="C21" s="150">
        <v>12533.54</v>
      </c>
      <c r="D21" s="150">
        <v>1083.69</v>
      </c>
      <c r="E21" s="150">
        <v>16951.75</v>
      </c>
      <c r="F21" s="150">
        <v>1575.32</v>
      </c>
      <c r="G21" s="150">
        <v>21539.68</v>
      </c>
      <c r="H21" s="150">
        <v>902.26</v>
      </c>
      <c r="I21" s="150">
        <v>27776.02</v>
      </c>
      <c r="J21" s="150"/>
      <c r="K21" s="150"/>
      <c r="L21" s="150">
        <v>211.46</v>
      </c>
      <c r="M21" s="266">
        <f t="shared" si="0"/>
        <v>201558.49</v>
      </c>
    </row>
    <row r="22" spans="1:224" ht="19.5" customHeight="1" x14ac:dyDescent="0.25">
      <c r="A22" s="208" t="s">
        <v>40</v>
      </c>
      <c r="B22" s="25">
        <v>108046.42</v>
      </c>
      <c r="C22" s="25">
        <v>13006</v>
      </c>
      <c r="D22" s="25">
        <v>1064.28</v>
      </c>
      <c r="E22" s="25">
        <v>12446.22</v>
      </c>
      <c r="F22" s="25">
        <v>6288.78</v>
      </c>
      <c r="G22" s="25">
        <v>7408.56</v>
      </c>
      <c r="H22" s="25">
        <v>828.02</v>
      </c>
      <c r="I22" s="25">
        <v>30073.45</v>
      </c>
      <c r="J22" s="25"/>
      <c r="K22" s="25"/>
      <c r="L22" s="25">
        <v>65.010000000000005</v>
      </c>
      <c r="M22" s="266">
        <f t="shared" si="0"/>
        <v>179226.74</v>
      </c>
    </row>
    <row r="23" spans="1:224" ht="19.5" customHeight="1" x14ac:dyDescent="0.25">
      <c r="A23" s="208" t="s">
        <v>41</v>
      </c>
      <c r="B23" s="152">
        <v>85505.49</v>
      </c>
      <c r="C23" s="152">
        <v>14229.3</v>
      </c>
      <c r="D23" s="152">
        <v>1064.28</v>
      </c>
      <c r="E23" s="152">
        <v>7978.14</v>
      </c>
      <c r="F23" s="152">
        <v>2445.12</v>
      </c>
      <c r="G23" s="152">
        <v>5150.91</v>
      </c>
      <c r="H23" s="152">
        <v>1127.3699999999999</v>
      </c>
      <c r="I23" s="152">
        <v>46634.42</v>
      </c>
      <c r="J23" s="152"/>
      <c r="K23" s="152"/>
      <c r="L23" s="152">
        <v>16.739999999999998</v>
      </c>
      <c r="M23" s="266">
        <f t="shared" si="0"/>
        <v>164151.76999999999</v>
      </c>
    </row>
    <row r="24" spans="1:224" ht="19.5" customHeight="1" x14ac:dyDescent="0.25">
      <c r="A24" s="208" t="s">
        <v>42</v>
      </c>
      <c r="B24" s="38">
        <v>115875.11</v>
      </c>
      <c r="C24" s="38">
        <v>11828.39</v>
      </c>
      <c r="D24" s="38">
        <v>1064.28</v>
      </c>
      <c r="E24" s="38">
        <v>1556.29</v>
      </c>
      <c r="F24" s="38">
        <v>1064.28</v>
      </c>
      <c r="G24" s="38">
        <v>3916.4</v>
      </c>
      <c r="H24" s="38">
        <v>1271.06</v>
      </c>
      <c r="I24" s="38">
        <v>45711.38</v>
      </c>
      <c r="J24" s="574"/>
      <c r="K24" s="574"/>
      <c r="L24" s="38">
        <v>16.739999999999998</v>
      </c>
      <c r="M24" s="266">
        <f t="shared" si="0"/>
        <v>182303.93</v>
      </c>
    </row>
    <row r="25" spans="1:224" ht="19.5" customHeight="1" x14ac:dyDescent="0.25">
      <c r="A25" s="450"/>
      <c r="B25" s="149"/>
      <c r="C25" s="149"/>
      <c r="D25" s="149"/>
      <c r="E25" s="149"/>
      <c r="F25" s="149"/>
      <c r="G25" s="149"/>
      <c r="H25" s="149"/>
      <c r="I25" s="149"/>
      <c r="J25" s="149"/>
      <c r="K25" s="149"/>
      <c r="L25" s="149"/>
      <c r="M25" s="266"/>
    </row>
    <row r="26" spans="1:224" ht="19.5" customHeight="1" x14ac:dyDescent="0.25">
      <c r="A26" s="153" t="s">
        <v>43</v>
      </c>
      <c r="B26" s="434">
        <f t="shared" ref="B26:L26" si="1">SUM(B13:B25)</f>
        <v>1538904.34</v>
      </c>
      <c r="C26" s="434">
        <f t="shared" si="1"/>
        <v>216198.5</v>
      </c>
      <c r="D26" s="434">
        <f t="shared" si="1"/>
        <v>12790.770000000002</v>
      </c>
      <c r="E26" s="434">
        <f t="shared" si="1"/>
        <v>152697.85000000003</v>
      </c>
      <c r="F26" s="434">
        <f t="shared" si="1"/>
        <v>57083.27</v>
      </c>
      <c r="G26" s="434">
        <f t="shared" si="1"/>
        <v>188772.24</v>
      </c>
      <c r="H26" s="434">
        <f t="shared" si="1"/>
        <v>13183.83</v>
      </c>
      <c r="I26" s="434">
        <f t="shared" si="1"/>
        <v>395799.23000000004</v>
      </c>
      <c r="J26" s="434">
        <f t="shared" si="1"/>
        <v>0</v>
      </c>
      <c r="K26" s="434">
        <f t="shared" si="1"/>
        <v>0</v>
      </c>
      <c r="L26" s="434">
        <f t="shared" si="1"/>
        <v>1721.92</v>
      </c>
      <c r="M26" s="434">
        <f>SUM(M13:M25)</f>
        <v>2577151.9500000002</v>
      </c>
      <c r="N26" s="435"/>
    </row>
    <row r="27" spans="1:224" ht="19.5" customHeight="1" x14ac:dyDescent="0.25">
      <c r="A27" s="450"/>
      <c r="B27" s="149"/>
      <c r="C27" s="149"/>
      <c r="D27" s="149"/>
      <c r="E27" s="149"/>
      <c r="F27" s="149"/>
      <c r="G27" s="149"/>
      <c r="H27" s="149"/>
      <c r="I27" s="149"/>
      <c r="J27" s="149"/>
      <c r="K27" s="149"/>
      <c r="L27" s="149"/>
      <c r="M27" s="266"/>
    </row>
    <row r="28" spans="1:224" s="32" customFormat="1" ht="19.5" customHeight="1" x14ac:dyDescent="0.25">
      <c r="A28" s="450"/>
      <c r="B28" s="450"/>
      <c r="C28" s="450"/>
      <c r="D28" s="450"/>
      <c r="E28" s="450"/>
      <c r="F28" s="450"/>
      <c r="G28" s="450"/>
      <c r="H28" s="450"/>
      <c r="I28" s="450"/>
      <c r="J28" s="450" t="s">
        <v>181</v>
      </c>
      <c r="K28" s="450"/>
      <c r="L28" s="450"/>
      <c r="M28" s="157"/>
      <c r="N28" s="435"/>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448"/>
      <c r="AM28" s="448"/>
      <c r="AN28" s="448"/>
      <c r="AO28" s="448"/>
      <c r="AP28" s="448"/>
      <c r="AQ28" s="448"/>
      <c r="AR28" s="448"/>
      <c r="AS28" s="448"/>
      <c r="AT28" s="448"/>
      <c r="AU28" s="448"/>
      <c r="AV28" s="448"/>
      <c r="AW28" s="448"/>
      <c r="AX28" s="448"/>
      <c r="AY28" s="448"/>
      <c r="AZ28" s="448"/>
      <c r="BA28" s="448"/>
      <c r="BB28" s="448"/>
      <c r="BC28" s="448"/>
      <c r="BD28" s="448"/>
      <c r="BE28" s="448"/>
      <c r="BF28" s="448"/>
      <c r="BG28" s="448"/>
      <c r="BH28" s="448"/>
      <c r="BI28" s="448"/>
      <c r="BJ28" s="448"/>
      <c r="BK28" s="448"/>
      <c r="BL28" s="448"/>
      <c r="BM28" s="448"/>
      <c r="BN28" s="448"/>
      <c r="BO28" s="448"/>
      <c r="BP28" s="448"/>
      <c r="BQ28" s="448"/>
      <c r="BR28" s="448"/>
      <c r="BS28" s="448"/>
      <c r="BT28" s="448"/>
      <c r="BU28" s="448"/>
      <c r="BV28" s="448"/>
      <c r="BW28" s="448"/>
      <c r="BX28" s="448"/>
      <c r="BY28" s="448"/>
      <c r="BZ28" s="448"/>
      <c r="CA28" s="448"/>
      <c r="CB28" s="448"/>
      <c r="CC28" s="448"/>
      <c r="CD28" s="448"/>
      <c r="CE28" s="448"/>
      <c r="CF28" s="448"/>
      <c r="CG28" s="448"/>
      <c r="CH28" s="448"/>
      <c r="CI28" s="448"/>
      <c r="CJ28" s="448"/>
      <c r="CK28" s="448"/>
      <c r="CL28" s="448"/>
      <c r="CM28" s="448"/>
      <c r="CN28" s="448"/>
      <c r="CO28" s="448"/>
      <c r="CP28" s="448"/>
      <c r="CQ28" s="448"/>
      <c r="CR28" s="448"/>
      <c r="CS28" s="448"/>
      <c r="CT28" s="448"/>
      <c r="CU28" s="448"/>
      <c r="CV28" s="448"/>
      <c r="CW28" s="448"/>
      <c r="CX28" s="448"/>
      <c r="CY28" s="448"/>
      <c r="CZ28" s="448"/>
      <c r="DA28" s="448"/>
      <c r="DB28" s="448"/>
      <c r="DC28" s="448"/>
      <c r="DD28" s="448"/>
      <c r="DE28" s="448"/>
      <c r="DF28" s="448"/>
      <c r="DG28" s="448"/>
      <c r="DH28" s="448"/>
      <c r="DI28" s="448"/>
      <c r="DJ28" s="448"/>
      <c r="DK28" s="448"/>
      <c r="DL28" s="448"/>
      <c r="DM28" s="448"/>
      <c r="DN28" s="448"/>
      <c r="DO28" s="448"/>
      <c r="DP28" s="448"/>
      <c r="DQ28" s="448"/>
      <c r="DR28" s="448"/>
      <c r="DS28" s="448"/>
      <c r="DT28" s="448"/>
      <c r="DU28" s="448"/>
      <c r="DV28" s="448"/>
      <c r="DW28" s="448"/>
      <c r="DX28" s="448"/>
      <c r="DY28" s="448"/>
      <c r="DZ28" s="448"/>
      <c r="EA28" s="448"/>
      <c r="EB28" s="448"/>
      <c r="EC28" s="448"/>
      <c r="ED28" s="448"/>
      <c r="EE28" s="448"/>
      <c r="EF28" s="448"/>
      <c r="EG28" s="448"/>
      <c r="EH28" s="448"/>
      <c r="EI28" s="448"/>
      <c r="EJ28" s="448"/>
      <c r="EK28" s="448"/>
      <c r="EL28" s="448"/>
      <c r="EM28" s="448"/>
      <c r="EN28" s="448"/>
      <c r="EO28" s="448"/>
      <c r="EP28" s="448"/>
      <c r="EQ28" s="448"/>
      <c r="ER28" s="448"/>
      <c r="ES28" s="448"/>
      <c r="ET28" s="448"/>
      <c r="EU28" s="448"/>
      <c r="EV28" s="448"/>
      <c r="EW28" s="448"/>
      <c r="EX28" s="448"/>
      <c r="EY28" s="448"/>
      <c r="EZ28" s="448"/>
      <c r="FA28" s="448"/>
      <c r="FB28" s="448"/>
      <c r="FC28" s="448"/>
      <c r="FD28" s="448"/>
      <c r="FE28" s="448"/>
      <c r="FF28" s="448"/>
      <c r="FG28" s="448"/>
      <c r="FH28" s="448"/>
      <c r="FI28" s="448"/>
      <c r="FJ28" s="448"/>
      <c r="FK28" s="448"/>
      <c r="FL28" s="448"/>
      <c r="FM28" s="448"/>
      <c r="FN28" s="448"/>
      <c r="FO28" s="448"/>
      <c r="FP28" s="448"/>
      <c r="FQ28" s="448"/>
      <c r="FR28" s="448"/>
      <c r="FS28" s="448"/>
      <c r="FT28" s="448"/>
      <c r="FU28" s="448"/>
      <c r="FV28" s="448"/>
      <c r="FW28" s="448"/>
      <c r="FX28" s="448"/>
      <c r="FY28" s="448"/>
      <c r="FZ28" s="448"/>
      <c r="GA28" s="448"/>
      <c r="GB28" s="448"/>
      <c r="GC28" s="448"/>
      <c r="GD28" s="448"/>
      <c r="GE28" s="448"/>
      <c r="GF28" s="448"/>
      <c r="GG28" s="448"/>
      <c r="GH28" s="448"/>
      <c r="GI28" s="448"/>
      <c r="GJ28" s="448"/>
      <c r="GK28" s="448"/>
      <c r="GL28" s="448"/>
      <c r="GM28" s="448"/>
      <c r="GN28" s="448"/>
      <c r="GO28" s="448"/>
      <c r="GP28" s="448"/>
      <c r="GQ28" s="448"/>
      <c r="GR28" s="448"/>
      <c r="GS28" s="448"/>
      <c r="GT28" s="448"/>
      <c r="GU28" s="448"/>
      <c r="GV28" s="448"/>
      <c r="GW28" s="448"/>
      <c r="GX28" s="448"/>
      <c r="GY28" s="448"/>
      <c r="GZ28" s="448"/>
      <c r="HA28" s="448"/>
      <c r="HB28" s="448"/>
      <c r="HC28" s="448"/>
      <c r="HD28" s="448"/>
      <c r="HE28" s="448"/>
      <c r="HF28" s="448"/>
      <c r="HG28" s="448"/>
      <c r="HH28" s="448"/>
      <c r="HI28" s="448"/>
      <c r="HJ28" s="448"/>
      <c r="HK28" s="448"/>
      <c r="HL28" s="448"/>
      <c r="HM28" s="448"/>
      <c r="HN28" s="448"/>
      <c r="HO28" s="448"/>
      <c r="HP28" s="448"/>
    </row>
    <row r="29" spans="1:224" s="32" customFormat="1" ht="19.5" customHeight="1" x14ac:dyDescent="0.25">
      <c r="A29" s="450"/>
      <c r="B29" s="149"/>
      <c r="C29" s="149"/>
      <c r="D29" s="149"/>
      <c r="E29" s="149"/>
      <c r="F29" s="149"/>
      <c r="G29" s="149"/>
      <c r="H29" s="149"/>
      <c r="I29" s="149"/>
      <c r="J29" s="149"/>
      <c r="K29" s="149"/>
      <c r="L29" s="149"/>
      <c r="M29" s="266"/>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448"/>
      <c r="AM29" s="448"/>
      <c r="AN29" s="448"/>
      <c r="AO29" s="448"/>
      <c r="AP29" s="448"/>
      <c r="AQ29" s="448"/>
      <c r="AR29" s="448"/>
      <c r="AS29" s="448"/>
      <c r="AT29" s="448"/>
      <c r="AU29" s="448"/>
      <c r="AV29" s="448"/>
      <c r="AW29" s="448"/>
      <c r="AX29" s="448"/>
      <c r="AY29" s="448"/>
      <c r="AZ29" s="448"/>
      <c r="BA29" s="448"/>
      <c r="BB29" s="448"/>
      <c r="BC29" s="448"/>
      <c r="BD29" s="448"/>
      <c r="BE29" s="448"/>
      <c r="BF29" s="448"/>
      <c r="BG29" s="448"/>
      <c r="BH29" s="448"/>
      <c r="BI29" s="448"/>
      <c r="BJ29" s="448"/>
      <c r="BK29" s="448"/>
      <c r="BL29" s="448"/>
      <c r="BM29" s="448"/>
      <c r="BN29" s="448"/>
      <c r="BO29" s="448"/>
      <c r="BP29" s="448"/>
      <c r="BQ29" s="448"/>
      <c r="BR29" s="448"/>
      <c r="BS29" s="448"/>
      <c r="BT29" s="448"/>
      <c r="BU29" s="448"/>
      <c r="BV29" s="448"/>
      <c r="BW29" s="448"/>
      <c r="BX29" s="448"/>
      <c r="BY29" s="448"/>
      <c r="BZ29" s="448"/>
      <c r="CA29" s="448"/>
      <c r="CB29" s="448"/>
      <c r="CC29" s="448"/>
      <c r="CD29" s="448"/>
      <c r="CE29" s="448"/>
      <c r="CF29" s="448"/>
      <c r="CG29" s="448"/>
      <c r="CH29" s="448"/>
      <c r="CI29" s="448"/>
      <c r="CJ29" s="448"/>
      <c r="CK29" s="448"/>
      <c r="CL29" s="448"/>
      <c r="CM29" s="448"/>
      <c r="CN29" s="448"/>
      <c r="CO29" s="448"/>
      <c r="CP29" s="448"/>
      <c r="CQ29" s="448"/>
      <c r="CR29" s="448"/>
      <c r="CS29" s="448"/>
      <c r="CT29" s="448"/>
      <c r="CU29" s="448"/>
      <c r="CV29" s="448"/>
      <c r="CW29" s="448"/>
      <c r="CX29" s="448"/>
      <c r="CY29" s="448"/>
      <c r="CZ29" s="448"/>
      <c r="DA29" s="448"/>
      <c r="DB29" s="448"/>
      <c r="DC29" s="448"/>
      <c r="DD29" s="448"/>
      <c r="DE29" s="448"/>
      <c r="DF29" s="448"/>
      <c r="DG29" s="448"/>
      <c r="DH29" s="448"/>
      <c r="DI29" s="448"/>
      <c r="DJ29" s="448"/>
      <c r="DK29" s="448"/>
      <c r="DL29" s="448"/>
      <c r="DM29" s="448"/>
      <c r="DN29" s="448"/>
      <c r="DO29" s="448"/>
      <c r="DP29" s="448"/>
      <c r="DQ29" s="448"/>
      <c r="DR29" s="448"/>
      <c r="DS29" s="448"/>
      <c r="DT29" s="448"/>
      <c r="DU29" s="448"/>
      <c r="DV29" s="448"/>
      <c r="DW29" s="448"/>
      <c r="DX29" s="448"/>
      <c r="DY29" s="448"/>
      <c r="DZ29" s="448"/>
      <c r="EA29" s="448"/>
      <c r="EB29" s="448"/>
      <c r="EC29" s="448"/>
      <c r="ED29" s="448"/>
      <c r="EE29" s="448"/>
      <c r="EF29" s="448"/>
      <c r="EG29" s="448"/>
      <c r="EH29" s="448"/>
      <c r="EI29" s="448"/>
      <c r="EJ29" s="448"/>
      <c r="EK29" s="448"/>
      <c r="EL29" s="448"/>
      <c r="EM29" s="448"/>
      <c r="EN29" s="448"/>
      <c r="EO29" s="448"/>
      <c r="EP29" s="448"/>
      <c r="EQ29" s="448"/>
      <c r="ER29" s="448"/>
      <c r="ES29" s="448"/>
      <c r="ET29" s="448"/>
      <c r="EU29" s="448"/>
      <c r="EV29" s="448"/>
      <c r="EW29" s="448"/>
      <c r="EX29" s="448"/>
      <c r="EY29" s="448"/>
      <c r="EZ29" s="448"/>
      <c r="FA29" s="448"/>
      <c r="FB29" s="448"/>
      <c r="FC29" s="448"/>
      <c r="FD29" s="448"/>
      <c r="FE29" s="448"/>
      <c r="FF29" s="448"/>
      <c r="FG29" s="448"/>
      <c r="FH29" s="448"/>
      <c r="FI29" s="448"/>
      <c r="FJ29" s="448"/>
      <c r="FK29" s="448"/>
      <c r="FL29" s="448"/>
      <c r="FM29" s="448"/>
      <c r="FN29" s="448"/>
      <c r="FO29" s="448"/>
      <c r="FP29" s="448"/>
      <c r="FQ29" s="448"/>
      <c r="FR29" s="448"/>
      <c r="FS29" s="448"/>
      <c r="FT29" s="448"/>
      <c r="FU29" s="448"/>
      <c r="FV29" s="448"/>
      <c r="FW29" s="448"/>
      <c r="FX29" s="448"/>
      <c r="FY29" s="448"/>
      <c r="FZ29" s="448"/>
      <c r="GA29" s="448"/>
      <c r="GB29" s="448"/>
      <c r="GC29" s="448"/>
      <c r="GD29" s="448"/>
      <c r="GE29" s="448"/>
      <c r="GF29" s="448"/>
      <c r="GG29" s="448"/>
      <c r="GH29" s="448"/>
      <c r="GI29" s="448"/>
      <c r="GJ29" s="448"/>
      <c r="GK29" s="448"/>
      <c r="GL29" s="448"/>
      <c r="GM29" s="448"/>
      <c r="GN29" s="448"/>
      <c r="GO29" s="448"/>
      <c r="GP29" s="448"/>
      <c r="GQ29" s="448"/>
      <c r="GR29" s="448"/>
      <c r="GS29" s="448"/>
      <c r="GT29" s="448"/>
      <c r="GU29" s="448"/>
      <c r="GV29" s="448"/>
      <c r="GW29" s="448"/>
      <c r="GX29" s="448"/>
      <c r="GY29" s="448"/>
      <c r="GZ29" s="448"/>
      <c r="HA29" s="448"/>
      <c r="HB29" s="448"/>
      <c r="HC29" s="448"/>
      <c r="HD29" s="448"/>
      <c r="HE29" s="448"/>
      <c r="HF29" s="448"/>
      <c r="HG29" s="448"/>
      <c r="HH29" s="448"/>
      <c r="HI29" s="448"/>
      <c r="HJ29" s="448"/>
      <c r="HK29" s="448"/>
      <c r="HL29" s="448"/>
      <c r="HM29" s="448"/>
      <c r="HN29" s="448"/>
      <c r="HO29" s="448"/>
      <c r="HP29" s="448"/>
    </row>
    <row r="30" spans="1:224" s="32" customFormat="1" ht="19.5" customHeight="1" x14ac:dyDescent="0.25">
      <c r="A30" s="450"/>
      <c r="B30" s="450"/>
      <c r="C30" s="450"/>
      <c r="D30" s="450"/>
      <c r="E30" s="450"/>
      <c r="F30" s="450"/>
      <c r="G30" s="450"/>
      <c r="H30" s="450"/>
      <c r="I30" s="450"/>
      <c r="J30" s="450"/>
      <c r="K30" s="450"/>
      <c r="L30" s="450"/>
      <c r="M30" s="450"/>
      <c r="N30" s="448"/>
      <c r="O30" s="448"/>
      <c r="P30" s="37"/>
      <c r="Q30" s="448"/>
      <c r="R30" s="448"/>
      <c r="S30" s="448"/>
      <c r="T30" s="448"/>
      <c r="U30" s="448"/>
      <c r="V30" s="448"/>
      <c r="W30" s="448"/>
      <c r="X30" s="448"/>
      <c r="Y30" s="448"/>
      <c r="Z30" s="448"/>
      <c r="AA30" s="448"/>
      <c r="AB30" s="448"/>
      <c r="AC30" s="448"/>
      <c r="AD30" s="448"/>
      <c r="AE30" s="448"/>
      <c r="AF30" s="448"/>
      <c r="AG30" s="448"/>
      <c r="AH30" s="448"/>
      <c r="AI30" s="448"/>
      <c r="AJ30" s="448"/>
      <c r="AK30" s="448"/>
      <c r="AL30" s="448"/>
      <c r="AM30" s="448"/>
      <c r="AN30" s="448"/>
      <c r="AO30" s="448"/>
      <c r="AP30" s="448"/>
      <c r="AQ30" s="448"/>
      <c r="AR30" s="448"/>
      <c r="AS30" s="448"/>
      <c r="AT30" s="448"/>
      <c r="AU30" s="448"/>
      <c r="AV30" s="448"/>
      <c r="AW30" s="448"/>
      <c r="AX30" s="448"/>
      <c r="AY30" s="448"/>
      <c r="AZ30" s="448"/>
      <c r="BA30" s="448"/>
      <c r="BB30" s="448"/>
      <c r="BC30" s="448"/>
      <c r="BD30" s="448"/>
      <c r="BE30" s="448"/>
      <c r="BF30" s="448"/>
      <c r="BG30" s="448"/>
      <c r="BH30" s="448"/>
      <c r="BI30" s="448"/>
      <c r="BJ30" s="448"/>
      <c r="BK30" s="448"/>
      <c r="BL30" s="448"/>
      <c r="BM30" s="448"/>
      <c r="BN30" s="448"/>
      <c r="BO30" s="448"/>
      <c r="BP30" s="448"/>
      <c r="BQ30" s="448"/>
      <c r="BR30" s="448"/>
      <c r="BS30" s="448"/>
      <c r="BT30" s="448"/>
      <c r="BU30" s="448"/>
      <c r="BV30" s="448"/>
      <c r="BW30" s="448"/>
      <c r="BX30" s="448"/>
      <c r="BY30" s="448"/>
      <c r="BZ30" s="448"/>
      <c r="CA30" s="448"/>
      <c r="CB30" s="448"/>
      <c r="CC30" s="448"/>
      <c r="CD30" s="448"/>
      <c r="CE30" s="448"/>
      <c r="CF30" s="448"/>
      <c r="CG30" s="448"/>
      <c r="CH30" s="448"/>
      <c r="CI30" s="448"/>
      <c r="CJ30" s="448"/>
      <c r="CK30" s="448"/>
      <c r="CL30" s="448"/>
      <c r="CM30" s="448"/>
      <c r="CN30" s="448"/>
      <c r="CO30" s="448"/>
      <c r="CP30" s="448"/>
      <c r="CQ30" s="448"/>
      <c r="CR30" s="448"/>
      <c r="CS30" s="448"/>
      <c r="CT30" s="448"/>
      <c r="CU30" s="448"/>
      <c r="CV30" s="448"/>
      <c r="CW30" s="448"/>
      <c r="CX30" s="448"/>
      <c r="CY30" s="448"/>
      <c r="CZ30" s="448"/>
      <c r="DA30" s="448"/>
      <c r="DB30" s="448"/>
      <c r="DC30" s="448"/>
      <c r="DD30" s="448"/>
      <c r="DE30" s="448"/>
      <c r="DF30" s="448"/>
      <c r="DG30" s="448"/>
      <c r="DH30" s="448"/>
      <c r="DI30" s="448"/>
      <c r="DJ30" s="448"/>
      <c r="DK30" s="448"/>
      <c r="DL30" s="448"/>
      <c r="DM30" s="448"/>
      <c r="DN30" s="448"/>
      <c r="DO30" s="448"/>
      <c r="DP30" s="448"/>
      <c r="DQ30" s="448"/>
      <c r="DR30" s="448"/>
      <c r="DS30" s="448"/>
      <c r="DT30" s="448"/>
      <c r="DU30" s="448"/>
      <c r="DV30" s="448"/>
      <c r="DW30" s="448"/>
      <c r="DX30" s="448"/>
      <c r="DY30" s="448"/>
      <c r="DZ30" s="448"/>
      <c r="EA30" s="448"/>
      <c r="EB30" s="448"/>
      <c r="EC30" s="448"/>
      <c r="ED30" s="448"/>
      <c r="EE30" s="448"/>
      <c r="EF30" s="448"/>
      <c r="EG30" s="448"/>
      <c r="EH30" s="448"/>
      <c r="EI30" s="448"/>
      <c r="EJ30" s="448"/>
      <c r="EK30" s="448"/>
      <c r="EL30" s="448"/>
      <c r="EM30" s="448"/>
      <c r="EN30" s="448"/>
      <c r="EO30" s="448"/>
      <c r="EP30" s="448"/>
      <c r="EQ30" s="448"/>
      <c r="ER30" s="448"/>
      <c r="ES30" s="448"/>
      <c r="ET30" s="448"/>
      <c r="EU30" s="448"/>
      <c r="EV30" s="448"/>
      <c r="EW30" s="448"/>
      <c r="EX30" s="448"/>
      <c r="EY30" s="448"/>
      <c r="EZ30" s="448"/>
      <c r="FA30" s="448"/>
      <c r="FB30" s="448"/>
      <c r="FC30" s="448"/>
      <c r="FD30" s="448"/>
      <c r="FE30" s="448"/>
      <c r="FF30" s="448"/>
      <c r="FG30" s="448"/>
      <c r="FH30" s="448"/>
      <c r="FI30" s="448"/>
      <c r="FJ30" s="448"/>
      <c r="FK30" s="448"/>
      <c r="FL30" s="448"/>
      <c r="FM30" s="448"/>
      <c r="FN30" s="448"/>
      <c r="FO30" s="448"/>
      <c r="FP30" s="448"/>
      <c r="FQ30" s="448"/>
      <c r="FR30" s="448"/>
      <c r="FS30" s="448"/>
      <c r="FT30" s="448"/>
      <c r="FU30" s="448"/>
      <c r="FV30" s="448"/>
      <c r="FW30" s="448"/>
      <c r="FX30" s="448"/>
      <c r="FY30" s="448"/>
      <c r="FZ30" s="448"/>
      <c r="GA30" s="448"/>
      <c r="GB30" s="448"/>
      <c r="GC30" s="448"/>
      <c r="GD30" s="448"/>
      <c r="GE30" s="448"/>
      <c r="GF30" s="448"/>
      <c r="GG30" s="448"/>
      <c r="GH30" s="448"/>
      <c r="GI30" s="448"/>
      <c r="GJ30" s="448"/>
      <c r="GK30" s="448"/>
      <c r="GL30" s="448"/>
      <c r="GM30" s="448"/>
      <c r="GN30" s="448"/>
      <c r="GO30" s="448"/>
      <c r="GP30" s="448"/>
      <c r="GQ30" s="448"/>
      <c r="GR30" s="448"/>
      <c r="GS30" s="448"/>
      <c r="GT30" s="448"/>
      <c r="GU30" s="448"/>
      <c r="GV30" s="448"/>
      <c r="GW30" s="448"/>
      <c r="GX30" s="448"/>
      <c r="GY30" s="448"/>
      <c r="GZ30" s="448"/>
      <c r="HA30" s="448"/>
      <c r="HB30" s="448"/>
      <c r="HC30" s="448"/>
      <c r="HD30" s="448"/>
      <c r="HE30" s="448"/>
      <c r="HF30" s="448"/>
      <c r="HG30" s="448"/>
      <c r="HH30" s="448"/>
      <c r="HI30" s="448"/>
      <c r="HJ30" s="448"/>
      <c r="HK30" s="448"/>
      <c r="HL30" s="448"/>
      <c r="HM30" s="448"/>
      <c r="HN30" s="448"/>
      <c r="HO30" s="448"/>
      <c r="HP30" s="448"/>
    </row>
    <row r="31" spans="1:224" x14ac:dyDescent="0.25">
      <c r="P31" s="37"/>
    </row>
    <row r="32" spans="1:224" x14ac:dyDescent="0.25">
      <c r="P32" s="37"/>
    </row>
    <row r="33" spans="1:16" x14ac:dyDescent="0.25">
      <c r="A33" s="328" t="s">
        <v>306</v>
      </c>
      <c r="B33" s="40"/>
      <c r="C33" s="40"/>
      <c r="P33" s="37"/>
    </row>
    <row r="34" spans="1:16" x14ac:dyDescent="0.25">
      <c r="P34" s="37"/>
    </row>
    <row r="35" spans="1:16" x14ac:dyDescent="0.25">
      <c r="P35" s="37"/>
    </row>
    <row r="36" spans="1:16" x14ac:dyDescent="0.25">
      <c r="P36" s="37"/>
    </row>
    <row r="37" spans="1:16" x14ac:dyDescent="0.25">
      <c r="P37" s="37"/>
    </row>
    <row r="39" spans="1:16" x14ac:dyDescent="0.25">
      <c r="P39" s="37"/>
    </row>
    <row r="40" spans="1:16" x14ac:dyDescent="0.25">
      <c r="P40" s="37"/>
    </row>
    <row r="41" spans="1:16" x14ac:dyDescent="0.25">
      <c r="P41" s="37"/>
    </row>
    <row r="46" spans="1:16" x14ac:dyDescent="0.25">
      <c r="B46" s="448" t="s">
        <v>66</v>
      </c>
    </row>
  </sheetData>
  <sheetProtection sheet="1" objects="1" scenarios="1"/>
  <protectedRanges>
    <protectedRange sqref="B24:L24" name="Range1"/>
  </protectedRanges>
  <mergeCells count="1">
    <mergeCell ref="G7:I7"/>
  </mergeCells>
  <conditionalFormatting sqref="HQ13:XFD24 A13:A23 B13:L21">
    <cfRule type="expression" dxfId="1" priority="2">
      <formula>MOD(ROW(),2)=0</formula>
    </cfRule>
  </conditionalFormatting>
  <conditionalFormatting sqref="A24">
    <cfRule type="expression" dxfId="0" priority="1">
      <formula>MOD(ROW(),2)=0</formula>
    </cfRule>
  </conditionalFormatting>
  <pageMargins left="0.52" right="0.18" top="0.45" bottom="0.67" header="0.3" footer="0.3"/>
  <pageSetup scale="65" orientation="landscape" r:id="rId1"/>
  <headerFooter>
    <oddFooter>&amp;L&amp;8&amp;D&amp;R&amp;8&amp;Z&amp;F</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9999"/>
  </sheetPr>
  <dimension ref="A1:Z175"/>
  <sheetViews>
    <sheetView zoomScale="80" zoomScaleNormal="80" zoomScaleSheetLayoutView="70" workbookViewId="0">
      <selection activeCell="J26" sqref="J26"/>
    </sheetView>
  </sheetViews>
  <sheetFormatPr defaultRowHeight="15" x14ac:dyDescent="0.25"/>
  <cols>
    <col min="1" max="1" width="13.28515625" customWidth="1"/>
    <col min="2" max="3" width="0" hidden="1" customWidth="1"/>
    <col min="6" max="6" width="13.28515625" style="196" bestFit="1" customWidth="1"/>
    <col min="7" max="7" width="15" customWidth="1"/>
    <col min="8" max="8" width="15" style="197" customWidth="1"/>
    <col min="9" max="9" width="15" style="196" customWidth="1"/>
    <col min="10" max="10" width="15" customWidth="1"/>
    <col min="11" max="11" width="15" style="197" customWidth="1"/>
    <col min="12" max="12" width="15" style="196" customWidth="1"/>
    <col min="13" max="13" width="15" customWidth="1"/>
    <col min="14" max="14" width="15" style="197" customWidth="1"/>
    <col min="15" max="15" width="15" style="196" customWidth="1"/>
    <col min="16" max="16" width="15" customWidth="1"/>
    <col min="17" max="17" width="15" style="197" customWidth="1"/>
    <col min="18" max="19" width="15" customWidth="1"/>
    <col min="20" max="20" width="13.140625" customWidth="1"/>
    <col min="21" max="21" width="14.7109375" style="283" customWidth="1"/>
    <col min="22" max="22" width="12" style="283" customWidth="1"/>
    <col min="23" max="23" width="17.85546875" customWidth="1"/>
    <col min="24" max="25" width="12.28515625" customWidth="1"/>
  </cols>
  <sheetData>
    <row r="1" spans="1:25" x14ac:dyDescent="0.25">
      <c r="A1" s="1" t="s">
        <v>0</v>
      </c>
    </row>
    <row r="2" spans="1:25" x14ac:dyDescent="0.25">
      <c r="A2" s="1" t="s">
        <v>93</v>
      </c>
    </row>
    <row r="3" spans="1:25" x14ac:dyDescent="0.25">
      <c r="A3" s="1" t="s">
        <v>94</v>
      </c>
    </row>
    <row r="4" spans="1:25" x14ac:dyDescent="0.25">
      <c r="A4" s="1" t="s">
        <v>69</v>
      </c>
    </row>
    <row r="5" spans="1:25" s="448" customFormat="1" x14ac:dyDescent="0.25">
      <c r="A5" s="532" t="s">
        <v>290</v>
      </c>
      <c r="F5" s="472"/>
      <c r="H5" s="473"/>
      <c r="I5" s="472"/>
      <c r="K5" s="473"/>
      <c r="L5" s="472"/>
      <c r="N5" s="473"/>
      <c r="O5" s="472"/>
      <c r="Q5" s="473"/>
      <c r="U5" s="523"/>
      <c r="V5" s="523"/>
    </row>
    <row r="6" spans="1:25" s="448" customFormat="1" ht="75" x14ac:dyDescent="0.25">
      <c r="A6" s="456" t="s">
        <v>95</v>
      </c>
      <c r="B6" s="451" t="s">
        <v>96</v>
      </c>
      <c r="C6" s="451" t="s">
        <v>153</v>
      </c>
      <c r="D6" s="457" t="s">
        <v>97</v>
      </c>
      <c r="E6" s="457" t="s">
        <v>98</v>
      </c>
      <c r="F6" s="474" t="s">
        <v>99</v>
      </c>
      <c r="G6" s="456" t="s">
        <v>100</v>
      </c>
      <c r="H6" s="475" t="s">
        <v>101</v>
      </c>
      <c r="I6" s="474" t="s">
        <v>102</v>
      </c>
      <c r="J6" s="456" t="s">
        <v>103</v>
      </c>
      <c r="K6" s="475" t="s">
        <v>104</v>
      </c>
      <c r="L6" s="474" t="s">
        <v>154</v>
      </c>
      <c r="M6" s="456" t="s">
        <v>155</v>
      </c>
      <c r="N6" s="475" t="s">
        <v>105</v>
      </c>
      <c r="O6" s="474" t="s">
        <v>106</v>
      </c>
      <c r="P6" s="456" t="s">
        <v>300</v>
      </c>
      <c r="Q6" s="475" t="s">
        <v>108</v>
      </c>
      <c r="R6" s="456" t="s">
        <v>109</v>
      </c>
      <c r="S6" s="456" t="s">
        <v>110</v>
      </c>
      <c r="T6" s="456" t="s">
        <v>284</v>
      </c>
      <c r="U6" s="456" t="s">
        <v>285</v>
      </c>
      <c r="V6" s="456" t="s">
        <v>111</v>
      </c>
      <c r="W6" s="476" t="s">
        <v>112</v>
      </c>
      <c r="X6" s="524" t="s">
        <v>264</v>
      </c>
      <c r="Y6" s="524" t="s">
        <v>192</v>
      </c>
    </row>
    <row r="7" spans="1:25" s="448" customFormat="1" x14ac:dyDescent="0.25">
      <c r="A7" s="450" t="s">
        <v>156</v>
      </c>
      <c r="B7" s="452">
        <v>2014</v>
      </c>
      <c r="C7" s="458" t="s">
        <v>113</v>
      </c>
      <c r="D7" s="459">
        <v>0</v>
      </c>
      <c r="E7" s="459">
        <v>10067</v>
      </c>
      <c r="F7" s="477">
        <v>810713</v>
      </c>
      <c r="G7" s="533">
        <v>9.1240000000000002E-2</v>
      </c>
      <c r="H7" s="478">
        <f t="shared" ref="H7" si="0">F7*G7</f>
        <v>73969.454119999995</v>
      </c>
      <c r="I7" s="477">
        <v>2248512</v>
      </c>
      <c r="J7" s="533">
        <v>4.28E-3</v>
      </c>
      <c r="K7" s="478">
        <f>I7*J7</f>
        <v>9623.6313599999994</v>
      </c>
      <c r="L7" s="528">
        <v>10067</v>
      </c>
      <c r="M7" s="460">
        <v>16.71</v>
      </c>
      <c r="N7" s="478">
        <f>L7*M7</f>
        <v>168219.57</v>
      </c>
      <c r="O7" s="477">
        <f>+I7+F7</f>
        <v>3059225</v>
      </c>
      <c r="P7" s="450">
        <v>2.9562999999999999E-2</v>
      </c>
      <c r="Q7" s="478">
        <f>O7*P7</f>
        <v>90439.868674999991</v>
      </c>
      <c r="R7" s="454">
        <v>11164.35</v>
      </c>
      <c r="S7" s="454">
        <v>-9764.48</v>
      </c>
      <c r="T7" s="551">
        <v>9.9520000000000008E-3</v>
      </c>
      <c r="U7" s="454">
        <v>30445.41</v>
      </c>
      <c r="V7" s="454">
        <v>135</v>
      </c>
      <c r="W7" s="479">
        <f t="shared" ref="W7:W18" si="1">H7+K7+N7+Q7+R7+S7+U7+V7</f>
        <v>374232.80415499996</v>
      </c>
      <c r="X7" s="525">
        <f t="shared" ref="X7:X17" si="2">(O7-O32)/O32</f>
        <v>-4.4656151474725063E-2</v>
      </c>
      <c r="Y7" s="525">
        <f t="shared" ref="Y7:Y17" si="3">(W7-W32)/W32</f>
        <v>0.10566718975027901</v>
      </c>
    </row>
    <row r="8" spans="1:25" s="448" customFormat="1" x14ac:dyDescent="0.25">
      <c r="A8" s="450" t="s">
        <v>157</v>
      </c>
      <c r="B8" s="452">
        <v>2014</v>
      </c>
      <c r="C8" s="458" t="s">
        <v>114</v>
      </c>
      <c r="D8" s="459">
        <v>7825</v>
      </c>
      <c r="E8" s="459">
        <v>8807</v>
      </c>
      <c r="F8" s="477">
        <v>795790</v>
      </c>
      <c r="G8" s="533">
        <v>9.1240000000000002E-2</v>
      </c>
      <c r="H8" s="478">
        <f>F8*G8</f>
        <v>72607.8796</v>
      </c>
      <c r="I8" s="477">
        <v>3312986</v>
      </c>
      <c r="J8" s="533">
        <v>4.28E-3</v>
      </c>
      <c r="K8" s="478">
        <f>I8*J8</f>
        <v>14179.58008</v>
      </c>
      <c r="L8" s="528">
        <v>8807</v>
      </c>
      <c r="M8" s="460">
        <v>16.71</v>
      </c>
      <c r="N8" s="478">
        <f>L8*M8</f>
        <v>147164.97</v>
      </c>
      <c r="O8" s="477">
        <f>+I8+F8</f>
        <v>4108776</v>
      </c>
      <c r="P8" s="450">
        <v>2.4442999999999999E-2</v>
      </c>
      <c r="Q8" s="478">
        <f>O8*P8</f>
        <v>100430.811768</v>
      </c>
      <c r="R8" s="454">
        <v>11264.85</v>
      </c>
      <c r="S8" s="454">
        <v>-9072.2900000000009</v>
      </c>
      <c r="T8" s="551">
        <v>9.9520000000000008E-3</v>
      </c>
      <c r="U8" s="454">
        <f>+O8*T8</f>
        <v>40890.538752</v>
      </c>
      <c r="V8" s="454">
        <v>135</v>
      </c>
      <c r="W8" s="479">
        <f t="shared" si="1"/>
        <v>377601.34020000004</v>
      </c>
      <c r="X8" s="525">
        <f t="shared" si="2"/>
        <v>0.12009007007419059</v>
      </c>
      <c r="Y8" s="525">
        <f t="shared" si="3"/>
        <v>0.18062821053077738</v>
      </c>
    </row>
    <row r="9" spans="1:25" s="448" customFormat="1" x14ac:dyDescent="0.25">
      <c r="A9" s="450" t="s">
        <v>158</v>
      </c>
      <c r="B9" s="452">
        <v>2014</v>
      </c>
      <c r="C9" s="458" t="s">
        <v>115</v>
      </c>
      <c r="D9" s="459">
        <v>8270</v>
      </c>
      <c r="E9" s="459">
        <v>8404</v>
      </c>
      <c r="F9" s="477">
        <v>749305</v>
      </c>
      <c r="G9" s="533">
        <v>9.1240000000000002E-2</v>
      </c>
      <c r="H9" s="478">
        <f t="shared" ref="H9:H13" si="4">F9*G9</f>
        <v>68366.588199999998</v>
      </c>
      <c r="I9" s="477">
        <v>3043208</v>
      </c>
      <c r="J9" s="533">
        <v>4.28E-3</v>
      </c>
      <c r="K9" s="478">
        <f t="shared" ref="K9:K18" si="5">I9*J9</f>
        <v>13024.93024</v>
      </c>
      <c r="L9" s="528">
        <v>8404</v>
      </c>
      <c r="M9" s="460">
        <v>16.71</v>
      </c>
      <c r="N9" s="478">
        <f t="shared" ref="N9:N18" si="6">L9*M9</f>
        <v>140430.84</v>
      </c>
      <c r="O9" s="477">
        <f>+I9+F9</f>
        <v>3792513</v>
      </c>
      <c r="P9" s="450">
        <v>1.7579999999999998E-2</v>
      </c>
      <c r="Q9" s="478">
        <f t="shared" ref="Q9:Q18" si="7">O9*P9</f>
        <v>66672.378539999991</v>
      </c>
      <c r="R9" s="454">
        <v>9771.4500000000007</v>
      </c>
      <c r="S9" s="454">
        <v>-8602.18</v>
      </c>
      <c r="T9" s="551">
        <v>9.9520000000000008E-3</v>
      </c>
      <c r="U9" s="454">
        <f t="shared" ref="U9:U18" si="8">+O9*T9</f>
        <v>37743.089376000004</v>
      </c>
      <c r="V9" s="454">
        <v>135</v>
      </c>
      <c r="W9" s="479">
        <f t="shared" si="1"/>
        <v>327542.09635599999</v>
      </c>
      <c r="X9" s="525">
        <f t="shared" si="2"/>
        <v>4.5187208440619103E-2</v>
      </c>
      <c r="Y9" s="525">
        <f t="shared" si="3"/>
        <v>0.16914227019312053</v>
      </c>
    </row>
    <row r="10" spans="1:25" s="448" customFormat="1" x14ac:dyDescent="0.25">
      <c r="A10" s="450" t="s">
        <v>159</v>
      </c>
      <c r="B10" s="452">
        <v>2014</v>
      </c>
      <c r="C10" s="458" t="s">
        <v>116</v>
      </c>
      <c r="D10" s="459">
        <v>6039</v>
      </c>
      <c r="E10" s="459">
        <v>10461</v>
      </c>
      <c r="F10" s="477">
        <v>183700</v>
      </c>
      <c r="G10" s="533">
        <v>9.1240000000000002E-2</v>
      </c>
      <c r="H10" s="478">
        <f t="shared" si="4"/>
        <v>16760.788</v>
      </c>
      <c r="I10" s="477">
        <v>3036912</v>
      </c>
      <c r="J10" s="533">
        <v>4.28E-3</v>
      </c>
      <c r="K10" s="478">
        <f t="shared" si="5"/>
        <v>12997.98336</v>
      </c>
      <c r="L10" s="528">
        <v>10461</v>
      </c>
      <c r="M10" s="460">
        <v>8.85</v>
      </c>
      <c r="N10" s="478">
        <f t="shared" si="6"/>
        <v>92579.849999999991</v>
      </c>
      <c r="O10" s="477">
        <f t="shared" ref="O10:O18" si="9">+I10+F10</f>
        <v>3220612</v>
      </c>
      <c r="P10" s="450">
        <v>1.1029000000000001E-2</v>
      </c>
      <c r="Q10" s="478">
        <f t="shared" si="7"/>
        <v>35520.129747999999</v>
      </c>
      <c r="R10" s="454">
        <v>5697.93</v>
      </c>
      <c r="S10" s="454">
        <v>-4746.59</v>
      </c>
      <c r="T10" s="551">
        <v>9.9520000000000008E-3</v>
      </c>
      <c r="U10" s="454">
        <f t="shared" si="8"/>
        <v>32051.530624000003</v>
      </c>
      <c r="V10" s="454">
        <v>135</v>
      </c>
      <c r="W10" s="479">
        <f t="shared" si="1"/>
        <v>190996.621732</v>
      </c>
      <c r="X10" s="525">
        <f t="shared" si="2"/>
        <v>0.15375854989362003</v>
      </c>
      <c r="Y10" s="525">
        <f t="shared" si="3"/>
        <v>0.14180984318312193</v>
      </c>
    </row>
    <row r="11" spans="1:25" s="448" customFormat="1" x14ac:dyDescent="0.25">
      <c r="A11" s="450" t="s">
        <v>160</v>
      </c>
      <c r="B11" s="452">
        <v>2014</v>
      </c>
      <c r="C11" s="458" t="s">
        <v>117</v>
      </c>
      <c r="D11" s="459">
        <v>0</v>
      </c>
      <c r="E11" s="459">
        <v>5737</v>
      </c>
      <c r="F11" s="477">
        <v>0</v>
      </c>
      <c r="G11" s="533">
        <v>9.1240000000000002E-2</v>
      </c>
      <c r="H11" s="478">
        <v>0</v>
      </c>
      <c r="I11" s="477">
        <v>1916180</v>
      </c>
      <c r="J11" s="533">
        <v>4.28E-3</v>
      </c>
      <c r="K11" s="478">
        <f t="shared" si="5"/>
        <v>8201.2504000000008</v>
      </c>
      <c r="L11" s="528">
        <v>7059</v>
      </c>
      <c r="M11" s="460">
        <v>8.85</v>
      </c>
      <c r="N11" s="478">
        <f t="shared" si="6"/>
        <v>62472.149999999994</v>
      </c>
      <c r="O11" s="477">
        <f t="shared" si="9"/>
        <v>1916180</v>
      </c>
      <c r="P11" s="450">
        <v>1.1083000000000001E-2</v>
      </c>
      <c r="Q11" s="478">
        <f t="shared" si="7"/>
        <v>21237.022940000003</v>
      </c>
      <c r="R11" s="454">
        <v>3332.41</v>
      </c>
      <c r="S11" s="454">
        <v>-2744.25</v>
      </c>
      <c r="T11" s="551">
        <v>9.9520000000000008E-3</v>
      </c>
      <c r="U11" s="454">
        <f t="shared" si="8"/>
        <v>19069.823360000002</v>
      </c>
      <c r="V11" s="454">
        <v>135</v>
      </c>
      <c r="W11" s="479">
        <f t="shared" si="1"/>
        <v>111703.40670000002</v>
      </c>
      <c r="X11" s="525">
        <f t="shared" si="2"/>
        <v>-0.10852626622971809</v>
      </c>
      <c r="Y11" s="525">
        <f t="shared" si="3"/>
        <v>-0.10356972717962919</v>
      </c>
    </row>
    <row r="12" spans="1:25" s="448" customFormat="1" x14ac:dyDescent="0.25">
      <c r="A12" s="450" t="s">
        <v>161</v>
      </c>
      <c r="B12" s="452">
        <v>2014</v>
      </c>
      <c r="C12" s="458" t="s">
        <v>118</v>
      </c>
      <c r="D12" s="459">
        <v>0</v>
      </c>
      <c r="E12" s="459">
        <v>8598</v>
      </c>
      <c r="F12" s="477">
        <v>0</v>
      </c>
      <c r="G12" s="533">
        <v>9.1240000000000002E-2</v>
      </c>
      <c r="H12" s="478">
        <f t="shared" si="4"/>
        <v>0</v>
      </c>
      <c r="I12" s="477">
        <v>1762389</v>
      </c>
      <c r="J12" s="533">
        <v>4.28E-3</v>
      </c>
      <c r="K12" s="478">
        <f t="shared" si="5"/>
        <v>7543.0249199999998</v>
      </c>
      <c r="L12" s="528">
        <v>8598</v>
      </c>
      <c r="M12" s="460">
        <v>8.85</v>
      </c>
      <c r="N12" s="478">
        <f t="shared" si="6"/>
        <v>76092.3</v>
      </c>
      <c r="O12" s="477">
        <f t="shared" si="9"/>
        <v>1762389</v>
      </c>
      <c r="P12" s="450">
        <v>1.8238000000000001E-2</v>
      </c>
      <c r="Q12" s="478">
        <f t="shared" si="7"/>
        <v>32142.450582000001</v>
      </c>
      <c r="R12" s="454">
        <v>4003.82</v>
      </c>
      <c r="S12" s="454">
        <v>-5625</v>
      </c>
      <c r="T12" s="551">
        <v>9.9520000000000008E-3</v>
      </c>
      <c r="U12" s="454">
        <f t="shared" si="8"/>
        <v>17539.295328</v>
      </c>
      <c r="V12" s="454">
        <v>135</v>
      </c>
      <c r="W12" s="479">
        <f t="shared" si="1"/>
        <v>131830.89083000002</v>
      </c>
      <c r="X12" s="525">
        <f t="shared" si="2"/>
        <v>-3.0302146619846797E-2</v>
      </c>
      <c r="Y12" s="525">
        <f t="shared" si="3"/>
        <v>-8.2453124522334541E-4</v>
      </c>
    </row>
    <row r="13" spans="1:25" s="448" customFormat="1" x14ac:dyDescent="0.25">
      <c r="A13" s="450" t="s">
        <v>162</v>
      </c>
      <c r="B13" s="452">
        <v>2014</v>
      </c>
      <c r="C13" s="458" t="s">
        <v>119</v>
      </c>
      <c r="D13" s="459">
        <v>0</v>
      </c>
      <c r="E13" s="459">
        <v>4643</v>
      </c>
      <c r="F13" s="477">
        <v>0</v>
      </c>
      <c r="G13" s="533">
        <v>9.1240000000000002E-2</v>
      </c>
      <c r="H13" s="478">
        <f t="shared" si="4"/>
        <v>0</v>
      </c>
      <c r="I13" s="477">
        <v>1335102</v>
      </c>
      <c r="J13" s="533">
        <v>4.28E-3</v>
      </c>
      <c r="K13" s="478">
        <f t="shared" si="5"/>
        <v>5714.2365600000003</v>
      </c>
      <c r="L13" s="528">
        <v>7059</v>
      </c>
      <c r="M13" s="460">
        <v>8.85</v>
      </c>
      <c r="N13" s="478">
        <f t="shared" si="6"/>
        <v>62472.149999999994</v>
      </c>
      <c r="O13" s="477">
        <f t="shared" si="9"/>
        <v>1335102</v>
      </c>
      <c r="P13" s="450">
        <v>1.7770000000000001E-2</v>
      </c>
      <c r="Q13" s="478">
        <f t="shared" si="7"/>
        <v>23724.76254</v>
      </c>
      <c r="R13" s="454">
        <v>3165.86</v>
      </c>
      <c r="S13" s="454">
        <v>-2647.86</v>
      </c>
      <c r="T13" s="551">
        <v>1.0154E-2</v>
      </c>
      <c r="U13" s="454">
        <f t="shared" si="8"/>
        <v>13556.625708</v>
      </c>
      <c r="V13" s="454">
        <v>135</v>
      </c>
      <c r="W13" s="479">
        <f t="shared" si="1"/>
        <v>106120.77480799999</v>
      </c>
      <c r="X13" s="525">
        <f t="shared" si="2"/>
        <v>-0.19598710787041387</v>
      </c>
      <c r="Y13" s="525">
        <f t="shared" si="3"/>
        <v>-0.14721374888067781</v>
      </c>
    </row>
    <row r="14" spans="1:25" s="448" customFormat="1" x14ac:dyDescent="0.25">
      <c r="A14" s="450" t="s">
        <v>163</v>
      </c>
      <c r="B14" s="452">
        <v>2014</v>
      </c>
      <c r="C14" s="458" t="s">
        <v>120</v>
      </c>
      <c r="D14" s="459">
        <v>0</v>
      </c>
      <c r="E14" s="459">
        <v>6856</v>
      </c>
      <c r="F14" s="477">
        <v>0</v>
      </c>
      <c r="G14" s="533">
        <v>9.1240000000000002E-2</v>
      </c>
      <c r="H14" s="478">
        <v>0</v>
      </c>
      <c r="I14" s="477">
        <v>2069182</v>
      </c>
      <c r="J14" s="533">
        <v>4.28E-3</v>
      </c>
      <c r="K14" s="478">
        <f t="shared" si="5"/>
        <v>8856.0989599999994</v>
      </c>
      <c r="L14" s="528">
        <v>7059</v>
      </c>
      <c r="M14" s="460">
        <v>8.85</v>
      </c>
      <c r="N14" s="478">
        <f t="shared" si="6"/>
        <v>62472.149999999994</v>
      </c>
      <c r="O14" s="477">
        <f t="shared" si="9"/>
        <v>2069182</v>
      </c>
      <c r="P14" s="450">
        <v>1.3635E-2</v>
      </c>
      <c r="Q14" s="478">
        <f t="shared" si="7"/>
        <v>28213.296569999999</v>
      </c>
      <c r="R14" s="454">
        <v>3625.96</v>
      </c>
      <c r="S14" s="454">
        <v>-2769.63</v>
      </c>
      <c r="T14" s="551">
        <v>1.0154E-2</v>
      </c>
      <c r="U14" s="454">
        <f t="shared" si="8"/>
        <v>21010.474028000001</v>
      </c>
      <c r="V14" s="454">
        <v>135</v>
      </c>
      <c r="W14" s="479">
        <f t="shared" si="1"/>
        <v>121543.349558</v>
      </c>
      <c r="X14" s="525">
        <f t="shared" si="2"/>
        <v>-2.94170072086068E-2</v>
      </c>
      <c r="Y14" s="525">
        <f t="shared" si="3"/>
        <v>-3.8667964134309181E-2</v>
      </c>
    </row>
    <row r="15" spans="1:25" s="448" customFormat="1" x14ac:dyDescent="0.25">
      <c r="A15" s="450" t="s">
        <v>164</v>
      </c>
      <c r="B15" s="452">
        <v>2014</v>
      </c>
      <c r="C15" s="458" t="s">
        <v>121</v>
      </c>
      <c r="D15" s="459">
        <v>0</v>
      </c>
      <c r="E15" s="459">
        <v>8342</v>
      </c>
      <c r="F15" s="477">
        <v>0</v>
      </c>
      <c r="G15" s="533">
        <v>9.1240000000000002E-2</v>
      </c>
      <c r="H15" s="478">
        <f>F15*G15</f>
        <v>0</v>
      </c>
      <c r="I15" s="477">
        <v>1899160</v>
      </c>
      <c r="J15" s="533">
        <v>4.28E-3</v>
      </c>
      <c r="K15" s="478">
        <f t="shared" si="5"/>
        <v>8128.4048000000003</v>
      </c>
      <c r="L15" s="528">
        <v>8342</v>
      </c>
      <c r="M15" s="460">
        <v>8.85</v>
      </c>
      <c r="N15" s="478">
        <f t="shared" si="6"/>
        <v>73826.7</v>
      </c>
      <c r="O15" s="477">
        <f t="shared" si="9"/>
        <v>1899160</v>
      </c>
      <c r="P15" s="450">
        <v>2.0313000000000001E-2</v>
      </c>
      <c r="Q15" s="478">
        <f t="shared" si="7"/>
        <v>38577.63708</v>
      </c>
      <c r="R15" s="454">
        <v>4205.6899999999996</v>
      </c>
      <c r="S15" s="454">
        <v>-3181.8</v>
      </c>
      <c r="T15" s="551">
        <v>1.0154E-2</v>
      </c>
      <c r="U15" s="454">
        <f t="shared" si="8"/>
        <v>19284.070639999998</v>
      </c>
      <c r="V15" s="454">
        <v>135</v>
      </c>
      <c r="W15" s="479">
        <f t="shared" si="1"/>
        <v>140975.70251999999</v>
      </c>
      <c r="X15" s="525">
        <f t="shared" si="2"/>
        <v>-2.4102985201940735E-2</v>
      </c>
      <c r="Y15" s="525">
        <f t="shared" si="3"/>
        <v>4.9450001572026975E-2</v>
      </c>
    </row>
    <row r="16" spans="1:25" s="448" customFormat="1" x14ac:dyDescent="0.25">
      <c r="A16" s="450" t="s">
        <v>165</v>
      </c>
      <c r="B16" s="452">
        <v>2014</v>
      </c>
      <c r="C16" s="458" t="s">
        <v>122</v>
      </c>
      <c r="D16" s="459">
        <v>0</v>
      </c>
      <c r="E16" s="459">
        <v>8495</v>
      </c>
      <c r="F16" s="477">
        <v>0</v>
      </c>
      <c r="G16" s="533">
        <v>9.1240000000000002E-2</v>
      </c>
      <c r="H16" s="478">
        <f>F16*G16</f>
        <v>0</v>
      </c>
      <c r="I16" s="477">
        <v>1975753</v>
      </c>
      <c r="J16" s="533">
        <v>4.28E-3</v>
      </c>
      <c r="K16" s="478">
        <f t="shared" si="5"/>
        <v>8456.2228400000004</v>
      </c>
      <c r="L16" s="528">
        <v>8495</v>
      </c>
      <c r="M16" s="460">
        <v>8.85</v>
      </c>
      <c r="N16" s="478">
        <f t="shared" si="6"/>
        <v>75180.75</v>
      </c>
      <c r="O16" s="477">
        <f t="shared" si="9"/>
        <v>1975753</v>
      </c>
      <c r="P16" s="450">
        <v>-9.2569999999999996E-3</v>
      </c>
      <c r="Q16" s="478">
        <f t="shared" si="7"/>
        <v>-18289.545521</v>
      </c>
      <c r="R16" s="454">
        <v>2534.19</v>
      </c>
      <c r="S16" s="454">
        <v>-3246.67</v>
      </c>
      <c r="T16" s="551">
        <v>1.0154E-2</v>
      </c>
      <c r="U16" s="454">
        <f t="shared" si="8"/>
        <v>20061.795962</v>
      </c>
      <c r="V16" s="454">
        <v>135</v>
      </c>
      <c r="W16" s="479">
        <f t="shared" si="1"/>
        <v>84831.743281000003</v>
      </c>
      <c r="X16" s="525">
        <f t="shared" si="2"/>
        <v>-0.18856247535812853</v>
      </c>
      <c r="Y16" s="525">
        <f t="shared" si="3"/>
        <v>-0.38889488305879505</v>
      </c>
    </row>
    <row r="17" spans="1:25" s="448" customFormat="1" x14ac:dyDescent="0.25">
      <c r="A17" s="450" t="s">
        <v>166</v>
      </c>
      <c r="B17" s="452">
        <v>2014</v>
      </c>
      <c r="C17" s="458" t="s">
        <v>123</v>
      </c>
      <c r="D17" s="459">
        <v>0</v>
      </c>
      <c r="E17" s="459">
        <v>6864</v>
      </c>
      <c r="F17" s="477">
        <v>0</v>
      </c>
      <c r="G17" s="533">
        <v>9.1240000000000002E-2</v>
      </c>
      <c r="H17" s="478">
        <f>F17*G17</f>
        <v>0</v>
      </c>
      <c r="I17" s="477">
        <v>2402994</v>
      </c>
      <c r="J17" s="533">
        <v>4.28E-3</v>
      </c>
      <c r="K17" s="478">
        <f t="shared" si="5"/>
        <v>10284.814319999999</v>
      </c>
      <c r="L17" s="528">
        <v>7059</v>
      </c>
      <c r="M17" s="460">
        <v>8.85</v>
      </c>
      <c r="N17" s="478">
        <f t="shared" si="6"/>
        <v>62472.149999999994</v>
      </c>
      <c r="O17" s="477">
        <f t="shared" si="9"/>
        <v>2402994</v>
      </c>
      <c r="P17" s="450">
        <v>3.2499999999999999E-3</v>
      </c>
      <c r="Q17" s="478">
        <f t="shared" si="7"/>
        <v>7809.7304999999997</v>
      </c>
      <c r="R17" s="454">
        <v>3149.41</v>
      </c>
      <c r="S17" s="566">
        <v>-2825</v>
      </c>
      <c r="T17" s="551">
        <v>1.0154E-2</v>
      </c>
      <c r="U17" s="454">
        <f t="shared" si="8"/>
        <v>24400.001076</v>
      </c>
      <c r="V17" s="454">
        <v>135</v>
      </c>
      <c r="W17" s="479">
        <f t="shared" si="1"/>
        <v>105426.10589600001</v>
      </c>
      <c r="X17" s="525">
        <f t="shared" si="2"/>
        <v>-0.56152264970170507</v>
      </c>
      <c r="Y17" s="525">
        <f t="shared" si="3"/>
        <v>-0.57347619170010267</v>
      </c>
    </row>
    <row r="18" spans="1:25" s="448" customFormat="1" x14ac:dyDescent="0.25">
      <c r="A18" s="450" t="s">
        <v>167</v>
      </c>
      <c r="B18" s="452">
        <v>2014</v>
      </c>
      <c r="C18" s="458" t="s">
        <v>124</v>
      </c>
      <c r="D18" s="459">
        <v>4164</v>
      </c>
      <c r="E18" s="459">
        <v>6645</v>
      </c>
      <c r="F18" s="477">
        <v>292973</v>
      </c>
      <c r="G18" s="533">
        <v>9.1240000000000002E-2</v>
      </c>
      <c r="H18" s="478">
        <f>F18*G18</f>
        <v>26730.856520000001</v>
      </c>
      <c r="I18" s="477">
        <v>2403091</v>
      </c>
      <c r="J18" s="533">
        <v>4.28E-3</v>
      </c>
      <c r="K18" s="478">
        <f t="shared" si="5"/>
        <v>10285.22948</v>
      </c>
      <c r="L18" s="528">
        <v>6800</v>
      </c>
      <c r="M18" s="460">
        <v>16.71</v>
      </c>
      <c r="N18" s="478">
        <f t="shared" si="6"/>
        <v>113628</v>
      </c>
      <c r="O18" s="477">
        <f t="shared" si="9"/>
        <v>2696064</v>
      </c>
      <c r="P18" s="450">
        <v>1.6799999999999999E-2</v>
      </c>
      <c r="Q18" s="478">
        <f t="shared" si="7"/>
        <v>45293.875199999995</v>
      </c>
      <c r="R18" s="454">
        <v>6700.72</v>
      </c>
      <c r="S18" s="566">
        <v>-5843.59</v>
      </c>
      <c r="T18" s="551">
        <v>1.0154E-2</v>
      </c>
      <c r="U18" s="454">
        <f t="shared" si="8"/>
        <v>27375.833856000001</v>
      </c>
      <c r="V18" s="454">
        <v>135</v>
      </c>
      <c r="W18" s="479">
        <f t="shared" si="1"/>
        <v>224305.92505600004</v>
      </c>
      <c r="X18" s="525">
        <f>(O18-O43)/O43</f>
        <v>-0.41664104434353227</v>
      </c>
      <c r="Y18" s="525">
        <f>(W18-W43)/W43</f>
        <v>-0.42130729771649927</v>
      </c>
    </row>
    <row r="19" spans="1:25" s="448" customFormat="1" x14ac:dyDescent="0.25">
      <c r="A19" s="461" t="s">
        <v>125</v>
      </c>
      <c r="B19" s="462"/>
      <c r="C19" s="462"/>
      <c r="D19" s="463">
        <f>SUM(D7:D18)</f>
        <v>26298</v>
      </c>
      <c r="E19" s="463">
        <f>SUM(E7:E18)</f>
        <v>93919</v>
      </c>
      <c r="F19" s="480">
        <f>SUM(F7:F18)</f>
        <v>2832481</v>
      </c>
      <c r="G19" s="465"/>
      <c r="H19" s="481">
        <f>SUM(H7:H18)</f>
        <v>258435.56644</v>
      </c>
      <c r="I19" s="480">
        <f>SUM(I7:I18)</f>
        <v>27405469</v>
      </c>
      <c r="J19" s="465"/>
      <c r="K19" s="481">
        <f>SUM(K7:K18)</f>
        <v>117295.40732000001</v>
      </c>
      <c r="L19" s="480">
        <f>SUM(L7:L18)</f>
        <v>98210</v>
      </c>
      <c r="M19" s="465"/>
      <c r="N19" s="481">
        <f>SUM(N7:N18)</f>
        <v>1137011.58</v>
      </c>
      <c r="O19" s="480">
        <f>SUM(O7:O18)</f>
        <v>30237950</v>
      </c>
      <c r="P19" s="464"/>
      <c r="Q19" s="481">
        <f>SUM(Q7:Q18)</f>
        <v>471772.41862200008</v>
      </c>
      <c r="R19" s="466">
        <f>SUM(R7:R18)</f>
        <v>68616.640000000014</v>
      </c>
      <c r="S19" s="466">
        <f>SUM(S7:S18)</f>
        <v>-61069.34</v>
      </c>
      <c r="T19" s="466"/>
      <c r="U19" s="466"/>
      <c r="V19" s="464">
        <f>SUM(V7:V18)</f>
        <v>1620</v>
      </c>
      <c r="W19" s="481">
        <f>SUM(W7:W18)</f>
        <v>2297110.7610920002</v>
      </c>
      <c r="X19" s="529">
        <f>(O19-O41)/O41</f>
        <v>11.418661289262715</v>
      </c>
      <c r="Y19" s="525">
        <f t="shared" ref="Y19" si="10">(W19-U42)/U42</f>
        <v>41.117835807695975</v>
      </c>
    </row>
    <row r="20" spans="1:25" s="448" customFormat="1" x14ac:dyDescent="0.25">
      <c r="A20" s="467" t="s">
        <v>126</v>
      </c>
      <c r="B20" s="468"/>
      <c r="C20" s="468"/>
      <c r="D20" s="463"/>
      <c r="E20" s="463"/>
      <c r="F20" s="482">
        <f>AVERAGE(F7:F18)</f>
        <v>236040.08333333334</v>
      </c>
      <c r="G20" s="470"/>
      <c r="H20" s="483">
        <f>AVERAGE(H7:H18)</f>
        <v>21536.297203333332</v>
      </c>
      <c r="I20" s="482">
        <f>AVERAGE(I7:I18)</f>
        <v>2283789.0833333335</v>
      </c>
      <c r="J20" s="470"/>
      <c r="K20" s="483">
        <f>AVERAGE(K7:K18)</f>
        <v>9774.6172766666677</v>
      </c>
      <c r="L20" s="482">
        <f>AVERAGE(L7:L18)</f>
        <v>8184.166666666667</v>
      </c>
      <c r="M20" s="470"/>
      <c r="N20" s="483">
        <f>AVERAGE(N7:N18)</f>
        <v>94750.965000000011</v>
      </c>
      <c r="O20" s="482">
        <f>AVERAGE(O7:O18)</f>
        <v>2519829.1666666665</v>
      </c>
      <c r="P20" s="469"/>
      <c r="Q20" s="483">
        <f>AVERAGE(Q7:Q18)</f>
        <v>39314.368218500007</v>
      </c>
      <c r="R20" s="471"/>
      <c r="S20" s="471"/>
      <c r="T20" s="471"/>
      <c r="U20" s="471"/>
      <c r="V20" s="469"/>
      <c r="W20" s="483">
        <f>AVERAGE(W7:W18)</f>
        <v>191425.89675766669</v>
      </c>
      <c r="X20" s="526"/>
      <c r="Y20" s="526"/>
    </row>
    <row r="21" spans="1:25" s="448" customFormat="1" x14ac:dyDescent="0.25">
      <c r="A21" s="467"/>
      <c r="B21" s="468"/>
      <c r="C21" s="468"/>
      <c r="D21" s="463"/>
      <c r="E21" s="463"/>
      <c r="F21" s="482"/>
      <c r="G21" s="470"/>
      <c r="H21" s="483"/>
      <c r="I21" s="482"/>
      <c r="J21" s="470"/>
      <c r="K21" s="483"/>
      <c r="L21" s="482"/>
      <c r="M21" s="530"/>
      <c r="N21" s="531"/>
      <c r="O21" s="482"/>
      <c r="P21" s="469"/>
      <c r="Q21" s="483"/>
      <c r="R21" s="471"/>
      <c r="S21" s="471"/>
      <c r="T21" s="471"/>
      <c r="U21" s="471"/>
      <c r="V21" s="469"/>
      <c r="W21" s="483"/>
      <c r="X21" s="527"/>
      <c r="Y21" s="527"/>
    </row>
    <row r="22" spans="1:25" s="448" customFormat="1" ht="26.25" x14ac:dyDescent="0.25">
      <c r="A22" s="509" t="s">
        <v>263</v>
      </c>
      <c r="B22" s="510"/>
      <c r="C22" s="510"/>
      <c r="D22" s="513" t="e">
        <f>(D19-D42)/D42</f>
        <v>#DIV/0!</v>
      </c>
      <c r="E22" s="513">
        <f>(E19-E42)/E42</f>
        <v>7.7602835556384662</v>
      </c>
      <c r="F22" s="513" t="e">
        <f>(F19-F42)/F42</f>
        <v>#DIV/0!</v>
      </c>
      <c r="G22" s="507"/>
      <c r="H22" s="508"/>
      <c r="I22" s="513">
        <f>(I19-I42)/I42</f>
        <v>4.0007105430983438</v>
      </c>
      <c r="J22" s="507"/>
      <c r="K22" s="508"/>
      <c r="L22" s="513">
        <f>(L19-L42)/L42</f>
        <v>8.1605260703292597</v>
      </c>
      <c r="M22" s="507"/>
      <c r="N22" s="508">
        <f>(N19-N42)</f>
        <v>1042130.7300000001</v>
      </c>
      <c r="O22" s="513">
        <f>(O19-O42)/O42</f>
        <v>4.5175569287531827</v>
      </c>
      <c r="P22" s="507">
        <f>AVERAGE(P7:P18)</f>
        <v>1.4537250000000002E-2</v>
      </c>
      <c r="Q22" s="508"/>
      <c r="R22" s="513">
        <f>(R19-R42)/R42</f>
        <v>8.3053517207335634</v>
      </c>
      <c r="S22" s="507"/>
      <c r="T22" s="507"/>
      <c r="U22" s="507"/>
      <c r="V22" s="507"/>
      <c r="W22" s="508">
        <f>(W19)</f>
        <v>2297110.7610920002</v>
      </c>
      <c r="X22" s="527"/>
      <c r="Y22" s="527"/>
    </row>
    <row r="23" spans="1:25" s="448" customFormat="1" x14ac:dyDescent="0.25">
      <c r="F23" s="472"/>
      <c r="H23" s="473"/>
      <c r="I23" s="472"/>
      <c r="K23" s="473"/>
      <c r="L23" s="472"/>
      <c r="N23" s="522">
        <f>(N19-N42)/N42</f>
        <v>10.983572870605609</v>
      </c>
      <c r="O23" s="472"/>
      <c r="Q23" s="473"/>
      <c r="U23" s="523"/>
      <c r="V23" s="523"/>
    </row>
    <row r="24" spans="1:25" s="448" customFormat="1" x14ac:dyDescent="0.25">
      <c r="F24" s="472"/>
      <c r="H24" s="473"/>
      <c r="I24" s="472"/>
      <c r="K24" s="473"/>
      <c r="L24" s="472"/>
      <c r="N24" s="473"/>
      <c r="O24" s="472"/>
      <c r="Q24" s="473"/>
      <c r="U24" s="523"/>
      <c r="V24" s="523"/>
    </row>
    <row r="25" spans="1:25" s="448" customFormat="1" x14ac:dyDescent="0.25">
      <c r="F25" s="472"/>
      <c r="H25" s="473"/>
      <c r="I25" s="472"/>
      <c r="K25" s="473"/>
      <c r="L25" s="472"/>
      <c r="N25" s="473"/>
      <c r="O25" s="472"/>
      <c r="Q25" s="473"/>
      <c r="U25" s="523"/>
      <c r="V25" s="523"/>
    </row>
    <row r="26" spans="1:25" s="448" customFormat="1" x14ac:dyDescent="0.25">
      <c r="F26" s="472"/>
      <c r="H26" s="473"/>
      <c r="I26" s="472"/>
      <c r="K26" s="473"/>
      <c r="L26" s="472"/>
      <c r="N26" s="473"/>
      <c r="O26" s="472"/>
      <c r="Q26" s="473"/>
      <c r="U26" s="523"/>
      <c r="V26" s="523"/>
    </row>
    <row r="27" spans="1:25" s="448" customFormat="1" x14ac:dyDescent="0.25">
      <c r="F27" s="472"/>
      <c r="H27" s="473"/>
      <c r="I27" s="472"/>
      <c r="K27" s="473"/>
      <c r="L27" s="472"/>
      <c r="N27" s="473"/>
      <c r="O27" s="472"/>
      <c r="Q27" s="473"/>
      <c r="U27" s="523"/>
      <c r="V27" s="523"/>
    </row>
    <row r="28" spans="1:25" s="448" customFormat="1" x14ac:dyDescent="0.25">
      <c r="F28" s="472"/>
      <c r="H28" s="473"/>
      <c r="I28" s="472"/>
      <c r="K28" s="473"/>
      <c r="L28" s="472"/>
      <c r="N28" s="473"/>
      <c r="O28" s="472"/>
      <c r="Q28" s="473"/>
      <c r="U28" s="523"/>
      <c r="V28" s="523"/>
    </row>
    <row r="29" spans="1:25" s="448" customFormat="1" x14ac:dyDescent="0.25">
      <c r="F29" s="472"/>
      <c r="H29" s="473"/>
      <c r="I29" s="472"/>
      <c r="K29" s="473"/>
      <c r="L29" s="472"/>
      <c r="N29" s="473"/>
      <c r="O29" s="472"/>
      <c r="Q29" s="473"/>
      <c r="U29" s="523"/>
      <c r="V29" s="523"/>
    </row>
    <row r="30" spans="1:25" s="448" customFormat="1" x14ac:dyDescent="0.25">
      <c r="A30" s="532" t="s">
        <v>262</v>
      </c>
      <c r="F30" s="472"/>
      <c r="H30" s="473"/>
      <c r="I30" s="472"/>
      <c r="K30" s="473"/>
      <c r="L30" s="472"/>
      <c r="N30" s="473"/>
      <c r="O30" s="472"/>
      <c r="Q30" s="473"/>
      <c r="U30" s="523"/>
      <c r="V30" s="523"/>
    </row>
    <row r="31" spans="1:25" s="448" customFormat="1" ht="75" x14ac:dyDescent="0.25">
      <c r="A31" s="456" t="s">
        <v>95</v>
      </c>
      <c r="B31" s="451" t="s">
        <v>96</v>
      </c>
      <c r="C31" s="451" t="s">
        <v>153</v>
      </c>
      <c r="D31" s="457" t="s">
        <v>97</v>
      </c>
      <c r="E31" s="457" t="s">
        <v>98</v>
      </c>
      <c r="F31" s="474" t="s">
        <v>99</v>
      </c>
      <c r="G31" s="456" t="s">
        <v>100</v>
      </c>
      <c r="H31" s="475" t="s">
        <v>101</v>
      </c>
      <c r="I31" s="474" t="s">
        <v>102</v>
      </c>
      <c r="J31" s="456" t="s">
        <v>103</v>
      </c>
      <c r="K31" s="475" t="s">
        <v>104</v>
      </c>
      <c r="L31" s="474" t="s">
        <v>154</v>
      </c>
      <c r="M31" s="456" t="s">
        <v>155</v>
      </c>
      <c r="N31" s="475" t="s">
        <v>105</v>
      </c>
      <c r="O31" s="474" t="s">
        <v>106</v>
      </c>
      <c r="P31" s="456" t="s">
        <v>107</v>
      </c>
      <c r="Q31" s="475" t="s">
        <v>108</v>
      </c>
      <c r="R31" s="456" t="s">
        <v>109</v>
      </c>
      <c r="S31" s="456" t="s">
        <v>110</v>
      </c>
      <c r="T31" s="456" t="s">
        <v>284</v>
      </c>
      <c r="U31" s="456" t="s">
        <v>285</v>
      </c>
      <c r="V31" s="456" t="s">
        <v>111</v>
      </c>
      <c r="W31" s="476" t="s">
        <v>112</v>
      </c>
      <c r="X31" s="524" t="s">
        <v>264</v>
      </c>
      <c r="Y31" s="524" t="s">
        <v>192</v>
      </c>
    </row>
    <row r="32" spans="1:25" s="448" customFormat="1" x14ac:dyDescent="0.25">
      <c r="A32" s="450" t="s">
        <v>156</v>
      </c>
      <c r="B32" s="452">
        <v>2014</v>
      </c>
      <c r="C32" s="458" t="s">
        <v>113</v>
      </c>
      <c r="D32" s="459">
        <v>5912</v>
      </c>
      <c r="E32" s="459">
        <v>6495</v>
      </c>
      <c r="F32" s="477">
        <v>554233</v>
      </c>
      <c r="G32" s="533">
        <v>9.1240000000000002E-2</v>
      </c>
      <c r="H32" s="478">
        <f t="shared" ref="H32" si="11">F32*G32</f>
        <v>50568.218919999999</v>
      </c>
      <c r="I32" s="477">
        <v>2647991</v>
      </c>
      <c r="J32" s="533">
        <v>4.28E-3</v>
      </c>
      <c r="K32" s="478">
        <f>I32*J32</f>
        <v>11333.40148</v>
      </c>
      <c r="L32" s="528">
        <v>6495</v>
      </c>
      <c r="M32" s="460">
        <v>16.71</v>
      </c>
      <c r="N32" s="478">
        <f>L32*M32</f>
        <v>108531.45000000001</v>
      </c>
      <c r="O32" s="477">
        <f>+I32+F32</f>
        <v>3202224</v>
      </c>
      <c r="P32" s="450">
        <v>4.9279000000000003E-2</v>
      </c>
      <c r="Q32" s="478">
        <f>O32*P32</f>
        <v>157802.396496</v>
      </c>
      <c r="R32" s="454">
        <v>10097.39</v>
      </c>
      <c r="S32" s="454"/>
      <c r="T32" s="454"/>
      <c r="U32" s="454"/>
      <c r="V32" s="454">
        <v>135</v>
      </c>
      <c r="W32" s="479">
        <f t="shared" ref="W32:W43" si="12">H32+K32+N32+Q32+R32+S32+U32+V32</f>
        <v>338467.85689600004</v>
      </c>
      <c r="X32" s="525">
        <f>(O32-O55)/O55</f>
        <v>-6.1469725869852949E-2</v>
      </c>
      <c r="Y32" s="525">
        <f>(W32-U55)/U55</f>
        <v>0.12265101114778523</v>
      </c>
    </row>
    <row r="33" spans="1:25" s="448" customFormat="1" x14ac:dyDescent="0.25">
      <c r="A33" s="450" t="s">
        <v>157</v>
      </c>
      <c r="B33" s="452">
        <v>2014</v>
      </c>
      <c r="C33" s="458" t="s">
        <v>114</v>
      </c>
      <c r="D33" s="459">
        <v>6502</v>
      </c>
      <c r="E33" s="459">
        <v>6897</v>
      </c>
      <c r="F33" s="477">
        <v>697671</v>
      </c>
      <c r="G33" s="533">
        <v>9.1240000000000002E-2</v>
      </c>
      <c r="H33" s="478">
        <f>F33*G33</f>
        <v>63655.502039999999</v>
      </c>
      <c r="I33" s="477">
        <v>2970584</v>
      </c>
      <c r="J33" s="533">
        <v>4.28E-3</v>
      </c>
      <c r="K33" s="478">
        <f>I33*J33</f>
        <v>12714.09952</v>
      </c>
      <c r="L33" s="528">
        <v>6897</v>
      </c>
      <c r="M33" s="460">
        <v>16.71</v>
      </c>
      <c r="N33" s="478">
        <f>L33*M33</f>
        <v>115248.87000000001</v>
      </c>
      <c r="O33" s="477">
        <f>+I33+F33</f>
        <v>3668255</v>
      </c>
      <c r="P33" s="450">
        <v>3.2314000000000002E-2</v>
      </c>
      <c r="Q33" s="478">
        <f>O33*P33</f>
        <v>118535.99207000001</v>
      </c>
      <c r="R33" s="454">
        <v>9541.4</v>
      </c>
      <c r="S33" s="454"/>
      <c r="T33" s="454"/>
      <c r="U33" s="454"/>
      <c r="V33" s="454">
        <v>135</v>
      </c>
      <c r="W33" s="479">
        <f t="shared" si="12"/>
        <v>319830.86363000004</v>
      </c>
      <c r="X33" s="525">
        <f t="shared" ref="X33:X43" si="13">(O33-O56)/O56</f>
        <v>-8.6879106020204752E-2</v>
      </c>
      <c r="Y33" s="525">
        <f t="shared" ref="Y33:Y44" si="14">(W33-U56)/U56</f>
        <v>-4.2830792591056946E-2</v>
      </c>
    </row>
    <row r="34" spans="1:25" s="448" customFormat="1" x14ac:dyDescent="0.25">
      <c r="A34" s="450" t="s">
        <v>158</v>
      </c>
      <c r="B34" s="452">
        <v>2014</v>
      </c>
      <c r="C34" s="458" t="s">
        <v>115</v>
      </c>
      <c r="D34" s="459">
        <v>5904</v>
      </c>
      <c r="E34" s="459">
        <v>6741</v>
      </c>
      <c r="F34" s="477">
        <v>669210</v>
      </c>
      <c r="G34" s="533">
        <v>9.1240000000000002E-2</v>
      </c>
      <c r="H34" s="478">
        <f t="shared" ref="H34:H38" si="15">F34*G34</f>
        <v>61058.720399999998</v>
      </c>
      <c r="I34" s="477">
        <v>2959339</v>
      </c>
      <c r="J34" s="533">
        <v>4.28E-3</v>
      </c>
      <c r="K34" s="478">
        <f t="shared" ref="K34:K43" si="16">I34*J34</f>
        <v>12665.97092</v>
      </c>
      <c r="L34" s="528">
        <v>6741</v>
      </c>
      <c r="M34" s="460">
        <v>16.71</v>
      </c>
      <c r="N34" s="478">
        <f t="shared" ref="N34:N43" si="17">L34*M34</f>
        <v>112642.11</v>
      </c>
      <c r="O34" s="477">
        <f>+I34+F34</f>
        <v>3628549</v>
      </c>
      <c r="P34" s="450">
        <v>2.3507E-2</v>
      </c>
      <c r="Q34" s="478">
        <f t="shared" ref="Q34:Q43" si="18">O34*P34</f>
        <v>85296.301342999999</v>
      </c>
      <c r="R34" s="454">
        <v>8357.7900000000009</v>
      </c>
      <c r="S34" s="454"/>
      <c r="T34" s="454"/>
      <c r="U34" s="454"/>
      <c r="V34" s="454">
        <v>135</v>
      </c>
      <c r="W34" s="479">
        <f t="shared" si="12"/>
        <v>280155.89266299998</v>
      </c>
      <c r="X34" s="525">
        <f t="shared" si="13"/>
        <v>0.10869121510427393</v>
      </c>
      <c r="Y34" s="525">
        <f t="shared" si="14"/>
        <v>-0.18628783327983464</v>
      </c>
    </row>
    <row r="35" spans="1:25" s="448" customFormat="1" x14ac:dyDescent="0.25">
      <c r="A35" s="450" t="s">
        <v>159</v>
      </c>
      <c r="B35" s="452">
        <v>2014</v>
      </c>
      <c r="C35" s="458" t="s">
        <v>116</v>
      </c>
      <c r="D35" s="459">
        <v>5073</v>
      </c>
      <c r="E35" s="459">
        <v>7549</v>
      </c>
      <c r="F35" s="477">
        <v>136980</v>
      </c>
      <c r="G35" s="533">
        <v>9.1240000000000002E-2</v>
      </c>
      <c r="H35" s="478">
        <f t="shared" si="15"/>
        <v>12498.055200000001</v>
      </c>
      <c r="I35" s="477">
        <v>2654429</v>
      </c>
      <c r="J35" s="533">
        <v>4.28E-3</v>
      </c>
      <c r="K35" s="478">
        <f t="shared" si="16"/>
        <v>11360.956120000001</v>
      </c>
      <c r="L35" s="528">
        <v>7549</v>
      </c>
      <c r="M35" s="460">
        <v>8.85</v>
      </c>
      <c r="N35" s="478">
        <f t="shared" si="17"/>
        <v>66808.649999999994</v>
      </c>
      <c r="O35" s="477">
        <f t="shared" ref="O35:O43" si="19">+I35+F35</f>
        <v>2791409</v>
      </c>
      <c r="P35" s="450">
        <v>2.5607999999999999E-2</v>
      </c>
      <c r="Q35" s="478">
        <f t="shared" si="18"/>
        <v>71482.401671999993</v>
      </c>
      <c r="R35" s="454">
        <v>4990.2700000000004</v>
      </c>
      <c r="S35" s="454"/>
      <c r="T35" s="454"/>
      <c r="U35" s="454"/>
      <c r="V35" s="454">
        <v>135</v>
      </c>
      <c r="W35" s="479">
        <f t="shared" si="12"/>
        <v>167275.33299199998</v>
      </c>
      <c r="X35" s="525">
        <f t="shared" si="13"/>
        <v>1.0685043401313155E-2</v>
      </c>
      <c r="Y35" s="525">
        <f t="shared" si="14"/>
        <v>-0.17129201199507835</v>
      </c>
    </row>
    <row r="36" spans="1:25" s="448" customFormat="1" x14ac:dyDescent="0.25">
      <c r="A36" s="450" t="s">
        <v>160</v>
      </c>
      <c r="B36" s="452">
        <v>2014</v>
      </c>
      <c r="C36" s="458" t="s">
        <v>117</v>
      </c>
      <c r="D36" s="459">
        <v>0</v>
      </c>
      <c r="E36" s="459">
        <v>6275</v>
      </c>
      <c r="F36" s="477">
        <v>0</v>
      </c>
      <c r="G36" s="533">
        <v>9.1240000000000002E-2</v>
      </c>
      <c r="H36" s="478">
        <f t="shared" si="15"/>
        <v>0</v>
      </c>
      <c r="I36" s="477">
        <v>2149452</v>
      </c>
      <c r="J36" s="533">
        <v>4.28E-3</v>
      </c>
      <c r="K36" s="478">
        <f t="shared" si="16"/>
        <v>9199.654559999999</v>
      </c>
      <c r="L36" s="528">
        <v>6275</v>
      </c>
      <c r="M36" s="460">
        <v>8.85</v>
      </c>
      <c r="N36" s="478">
        <f t="shared" si="17"/>
        <v>55533.75</v>
      </c>
      <c r="O36" s="477">
        <f t="shared" si="19"/>
        <v>2149452</v>
      </c>
      <c r="P36" s="450">
        <v>2.6064E-2</v>
      </c>
      <c r="Q36" s="478">
        <f t="shared" si="18"/>
        <v>56023.316928</v>
      </c>
      <c r="R36" s="454">
        <v>3717.42</v>
      </c>
      <c r="S36" s="454"/>
      <c r="T36" s="454"/>
      <c r="U36" s="454"/>
      <c r="V36" s="454">
        <v>135</v>
      </c>
      <c r="W36" s="479">
        <f t="shared" si="12"/>
        <v>124609.14148799999</v>
      </c>
      <c r="X36" s="525">
        <f t="shared" si="13"/>
        <v>-0.10617557274446197</v>
      </c>
      <c r="Y36" s="525">
        <f t="shared" si="14"/>
        <v>4.5492304522656922E-2</v>
      </c>
    </row>
    <row r="37" spans="1:25" s="448" customFormat="1" x14ac:dyDescent="0.25">
      <c r="A37" s="450" t="s">
        <v>161</v>
      </c>
      <c r="B37" s="452">
        <v>2014</v>
      </c>
      <c r="C37" s="458" t="s">
        <v>118</v>
      </c>
      <c r="D37" s="459">
        <v>0</v>
      </c>
      <c r="E37" s="459">
        <v>5309</v>
      </c>
      <c r="F37" s="477">
        <v>0</v>
      </c>
      <c r="G37" s="533">
        <v>9.1240000000000002E-2</v>
      </c>
      <c r="H37" s="478">
        <f t="shared" si="15"/>
        <v>0</v>
      </c>
      <c r="I37" s="477">
        <v>1817462</v>
      </c>
      <c r="J37" s="533">
        <v>4.28E-3</v>
      </c>
      <c r="K37" s="478">
        <f t="shared" si="16"/>
        <v>7778.7373600000001</v>
      </c>
      <c r="L37" s="528">
        <v>6000</v>
      </c>
      <c r="M37" s="460">
        <v>8.85</v>
      </c>
      <c r="N37" s="478">
        <f t="shared" si="17"/>
        <v>53100</v>
      </c>
      <c r="O37" s="477">
        <f t="shared" si="19"/>
        <v>1817462</v>
      </c>
      <c r="P37" s="450">
        <v>3.6859000000000003E-2</v>
      </c>
      <c r="Q37" s="478">
        <f t="shared" si="18"/>
        <v>66989.831858000005</v>
      </c>
      <c r="R37" s="454">
        <v>3936.11</v>
      </c>
      <c r="S37" s="454"/>
      <c r="T37" s="454"/>
      <c r="U37" s="454"/>
      <c r="V37" s="454">
        <v>135</v>
      </c>
      <c r="W37" s="479">
        <f t="shared" si="12"/>
        <v>131939.679218</v>
      </c>
      <c r="X37" s="525">
        <f t="shared" si="13"/>
        <v>2.9007579995334692E-2</v>
      </c>
      <c r="Y37" s="525">
        <f t="shared" si="14"/>
        <v>3.418946782303444E-2</v>
      </c>
    </row>
    <row r="38" spans="1:25" s="448" customFormat="1" x14ac:dyDescent="0.25">
      <c r="A38" s="450" t="s">
        <v>162</v>
      </c>
      <c r="B38" s="452">
        <v>2014</v>
      </c>
      <c r="C38" s="458" t="s">
        <v>119</v>
      </c>
      <c r="D38" s="459">
        <v>0</v>
      </c>
      <c r="E38" s="459">
        <v>6251</v>
      </c>
      <c r="F38" s="477">
        <v>0</v>
      </c>
      <c r="G38" s="533">
        <v>9.1240000000000002E-2</v>
      </c>
      <c r="H38" s="478">
        <f t="shared" si="15"/>
        <v>0</v>
      </c>
      <c r="I38" s="477">
        <v>1660548</v>
      </c>
      <c r="J38" s="533">
        <v>4.28E-3</v>
      </c>
      <c r="K38" s="478">
        <f t="shared" si="16"/>
        <v>7107.1454400000002</v>
      </c>
      <c r="L38" s="528">
        <v>6251</v>
      </c>
      <c r="M38" s="460">
        <v>8.85</v>
      </c>
      <c r="N38" s="478">
        <f t="shared" si="17"/>
        <v>55321.35</v>
      </c>
      <c r="O38" s="477">
        <f t="shared" si="19"/>
        <v>1660548</v>
      </c>
      <c r="P38" s="450">
        <v>2.5371999999999999E-2</v>
      </c>
      <c r="Q38" s="478">
        <f t="shared" si="18"/>
        <v>42131.423856000001</v>
      </c>
      <c r="R38" s="454">
        <v>3219.37</v>
      </c>
      <c r="S38" s="454"/>
      <c r="T38" s="551">
        <v>9.9520000000000008E-3</v>
      </c>
      <c r="U38" s="454">
        <f t="shared" ref="U38:U43" si="20">+O38*T38</f>
        <v>16525.773696</v>
      </c>
      <c r="V38" s="454">
        <v>135</v>
      </c>
      <c r="W38" s="479">
        <f t="shared" si="12"/>
        <v>124440.06299200001</v>
      </c>
      <c r="X38" s="525">
        <f t="shared" si="13"/>
        <v>-0.1685178564454152</v>
      </c>
      <c r="Y38" s="525">
        <f t="shared" si="14"/>
        <v>-9.4686434431654226E-2</v>
      </c>
    </row>
    <row r="39" spans="1:25" s="448" customFormat="1" x14ac:dyDescent="0.25">
      <c r="A39" s="450" t="s">
        <v>163</v>
      </c>
      <c r="B39" s="452">
        <v>2014</v>
      </c>
      <c r="C39" s="458" t="s">
        <v>120</v>
      </c>
      <c r="D39" s="459">
        <v>0</v>
      </c>
      <c r="E39" s="459">
        <v>5445</v>
      </c>
      <c r="F39" s="477">
        <v>0</v>
      </c>
      <c r="G39" s="533">
        <v>9.1240000000000002E-2</v>
      </c>
      <c r="H39" s="478">
        <v>0</v>
      </c>
      <c r="I39" s="477">
        <v>2131896</v>
      </c>
      <c r="J39" s="533">
        <v>4.28E-3</v>
      </c>
      <c r="K39" s="478">
        <f t="shared" si="16"/>
        <v>9124.5148800000006</v>
      </c>
      <c r="L39" s="528">
        <v>6000</v>
      </c>
      <c r="M39" s="460">
        <v>8.85</v>
      </c>
      <c r="N39" s="478">
        <f t="shared" si="17"/>
        <v>53100</v>
      </c>
      <c r="O39" s="477">
        <f t="shared" si="19"/>
        <v>2131896</v>
      </c>
      <c r="P39" s="450">
        <v>1.8630000000000001E-2</v>
      </c>
      <c r="Q39" s="478">
        <f t="shared" si="18"/>
        <v>39717.222480000004</v>
      </c>
      <c r="R39" s="454">
        <v>3138.86</v>
      </c>
      <c r="S39" s="454"/>
      <c r="T39" s="551">
        <v>9.9520000000000008E-3</v>
      </c>
      <c r="U39" s="454">
        <f t="shared" si="20"/>
        <v>21216.628992000002</v>
      </c>
      <c r="V39" s="454">
        <v>135</v>
      </c>
      <c r="W39" s="479">
        <f t="shared" si="12"/>
        <v>126432.226352</v>
      </c>
      <c r="X39" s="525">
        <f t="shared" si="13"/>
        <v>0.14433862910991663</v>
      </c>
      <c r="Y39" s="525">
        <f t="shared" si="14"/>
        <v>-7.8051279463154224E-2</v>
      </c>
    </row>
    <row r="40" spans="1:25" s="448" customFormat="1" x14ac:dyDescent="0.25">
      <c r="A40" s="450" t="s">
        <v>164</v>
      </c>
      <c r="B40" s="452">
        <v>2014</v>
      </c>
      <c r="C40" s="458" t="s">
        <v>121</v>
      </c>
      <c r="D40" s="459">
        <v>0</v>
      </c>
      <c r="E40" s="459">
        <v>6585</v>
      </c>
      <c r="F40" s="477">
        <v>0</v>
      </c>
      <c r="G40" s="533">
        <v>9.1240000000000002E-2</v>
      </c>
      <c r="H40" s="478">
        <f>F40*G40</f>
        <v>0</v>
      </c>
      <c r="I40" s="477">
        <v>1946066</v>
      </c>
      <c r="J40" s="533">
        <v>4.28E-3</v>
      </c>
      <c r="K40" s="478">
        <f t="shared" si="16"/>
        <v>8329.1624799999991</v>
      </c>
      <c r="L40" s="528">
        <v>6585</v>
      </c>
      <c r="M40" s="460">
        <v>8.85</v>
      </c>
      <c r="N40" s="478">
        <f t="shared" si="17"/>
        <v>58277.25</v>
      </c>
      <c r="O40" s="477">
        <f t="shared" si="19"/>
        <v>1946066</v>
      </c>
      <c r="P40" s="450">
        <v>2.3018E-2</v>
      </c>
      <c r="Q40" s="478">
        <f t="shared" si="18"/>
        <v>44794.547188000004</v>
      </c>
      <c r="R40" s="454">
        <v>3429.73</v>
      </c>
      <c r="S40" s="454"/>
      <c r="T40" s="551">
        <v>9.9520000000000008E-3</v>
      </c>
      <c r="U40" s="454">
        <f t="shared" si="20"/>
        <v>19367.248832000001</v>
      </c>
      <c r="V40" s="454">
        <v>135</v>
      </c>
      <c r="W40" s="479">
        <f t="shared" si="12"/>
        <v>134332.93849999999</v>
      </c>
      <c r="X40" s="525">
        <f t="shared" si="13"/>
        <v>2.6064096777867293E-2</v>
      </c>
      <c r="Y40" s="525">
        <f t="shared" si="14"/>
        <v>-8.7828354711183679E-2</v>
      </c>
    </row>
    <row r="41" spans="1:25" s="448" customFormat="1" x14ac:dyDescent="0.25">
      <c r="A41" s="450" t="s">
        <v>165</v>
      </c>
      <c r="B41" s="452">
        <v>2014</v>
      </c>
      <c r="C41" s="458" t="s">
        <v>122</v>
      </c>
      <c r="D41" s="459">
        <v>0</v>
      </c>
      <c r="E41" s="459">
        <v>6300</v>
      </c>
      <c r="F41" s="477">
        <v>0</v>
      </c>
      <c r="G41" s="533">
        <v>9.1240000000000002E-2</v>
      </c>
      <c r="H41" s="478">
        <f>F41*G41</f>
        <v>0</v>
      </c>
      <c r="I41" s="477">
        <v>2434880</v>
      </c>
      <c r="J41" s="533">
        <v>4.28E-3</v>
      </c>
      <c r="K41" s="478">
        <f t="shared" si="16"/>
        <v>10421.286399999999</v>
      </c>
      <c r="L41" s="528">
        <v>6300</v>
      </c>
      <c r="M41" s="460">
        <v>8.85</v>
      </c>
      <c r="N41" s="478">
        <f t="shared" si="17"/>
        <v>55755</v>
      </c>
      <c r="O41" s="477">
        <f t="shared" si="19"/>
        <v>2434880</v>
      </c>
      <c r="P41" s="450">
        <v>1.8422000000000001E-2</v>
      </c>
      <c r="Q41" s="478">
        <f t="shared" si="18"/>
        <v>44855.359360000002</v>
      </c>
      <c r="R41" s="454">
        <v>3418.37</v>
      </c>
      <c r="S41" s="454"/>
      <c r="T41" s="551">
        <v>9.9520000000000008E-3</v>
      </c>
      <c r="U41" s="454">
        <f t="shared" si="20"/>
        <v>24231.925760000002</v>
      </c>
      <c r="V41" s="454">
        <v>135</v>
      </c>
      <c r="W41" s="479">
        <f t="shared" si="12"/>
        <v>138816.94151999999</v>
      </c>
      <c r="X41" s="525">
        <f>(O41-O64)/O64</f>
        <v>4.1462961869883852E-2</v>
      </c>
      <c r="Y41" s="525">
        <f t="shared" si="14"/>
        <v>-5.3404724590004643E-2</v>
      </c>
    </row>
    <row r="42" spans="1:25" s="448" customFormat="1" x14ac:dyDescent="0.25">
      <c r="A42" s="450" t="s">
        <v>166</v>
      </c>
      <c r="B42" s="452">
        <v>2014</v>
      </c>
      <c r="C42" s="458" t="s">
        <v>123</v>
      </c>
      <c r="D42" s="459">
        <v>0</v>
      </c>
      <c r="E42" s="459">
        <v>10721</v>
      </c>
      <c r="F42" s="477">
        <v>0</v>
      </c>
      <c r="G42" s="533">
        <v>9.1240000000000002E-2</v>
      </c>
      <c r="H42" s="478">
        <f>F42*G42</f>
        <v>0</v>
      </c>
      <c r="I42" s="477">
        <v>5480315</v>
      </c>
      <c r="J42" s="533">
        <v>4.28E-3</v>
      </c>
      <c r="K42" s="478">
        <f t="shared" si="16"/>
        <v>23455.748199999998</v>
      </c>
      <c r="L42" s="528">
        <v>10721</v>
      </c>
      <c r="M42" s="460">
        <v>8.85</v>
      </c>
      <c r="N42" s="478">
        <f t="shared" si="17"/>
        <v>94880.849999999991</v>
      </c>
      <c r="O42" s="477">
        <f t="shared" si="19"/>
        <v>5480315</v>
      </c>
      <c r="P42" s="450">
        <v>1.3025E-2</v>
      </c>
      <c r="Q42" s="478">
        <f t="shared" si="18"/>
        <v>71381.102874999997</v>
      </c>
      <c r="R42" s="454">
        <v>7373.89</v>
      </c>
      <c r="S42" s="563">
        <v>-4591.49</v>
      </c>
      <c r="T42" s="551">
        <v>9.9520000000000008E-3</v>
      </c>
      <c r="U42" s="454">
        <f t="shared" si="20"/>
        <v>54540.094880000004</v>
      </c>
      <c r="V42" s="454">
        <v>135</v>
      </c>
      <c r="W42" s="479">
        <f t="shared" si="12"/>
        <v>247175.195955</v>
      </c>
      <c r="X42" s="525">
        <f t="shared" si="13"/>
        <v>1.0512087774712371</v>
      </c>
      <c r="Y42" s="525">
        <f t="shared" si="14"/>
        <v>0.43297344158947815</v>
      </c>
    </row>
    <row r="43" spans="1:25" s="448" customFormat="1" x14ac:dyDescent="0.25">
      <c r="A43" s="450" t="s">
        <v>167</v>
      </c>
      <c r="B43" s="452">
        <v>2014</v>
      </c>
      <c r="C43" s="458" t="s">
        <v>124</v>
      </c>
      <c r="D43" s="459">
        <v>0</v>
      </c>
      <c r="E43" s="459">
        <v>10860</v>
      </c>
      <c r="F43" s="477">
        <v>546225</v>
      </c>
      <c r="G43" s="533">
        <v>9.1240000000000002E-2</v>
      </c>
      <c r="H43" s="478">
        <f>F43*G43</f>
        <v>49837.569000000003</v>
      </c>
      <c r="I43" s="477">
        <v>4075396</v>
      </c>
      <c r="J43" s="533">
        <v>4.28E-3</v>
      </c>
      <c r="K43" s="478">
        <f t="shared" si="16"/>
        <v>17442.694879999999</v>
      </c>
      <c r="L43" s="528">
        <v>10860</v>
      </c>
      <c r="M43" s="460">
        <v>16.71</v>
      </c>
      <c r="N43" s="478">
        <f t="shared" si="17"/>
        <v>181470.6</v>
      </c>
      <c r="O43" s="477">
        <f t="shared" si="19"/>
        <v>4621621</v>
      </c>
      <c r="P43" s="450">
        <v>1.9649E-2</v>
      </c>
      <c r="Q43" s="478">
        <f t="shared" si="18"/>
        <v>90810.231029000002</v>
      </c>
      <c r="R43" s="454">
        <v>11563.37</v>
      </c>
      <c r="S43" s="563">
        <v>-9645.83</v>
      </c>
      <c r="T43" s="551">
        <v>9.9520000000000008E-3</v>
      </c>
      <c r="U43" s="454">
        <f t="shared" si="20"/>
        <v>45994.372192000003</v>
      </c>
      <c r="V43" s="454">
        <v>135</v>
      </c>
      <c r="W43" s="479">
        <f t="shared" si="12"/>
        <v>387608.007101</v>
      </c>
      <c r="X43" s="525">
        <f t="shared" si="13"/>
        <v>0.44868682790558878</v>
      </c>
      <c r="Y43" s="525">
        <f t="shared" si="14"/>
        <v>0.11758397006341877</v>
      </c>
    </row>
    <row r="44" spans="1:25" s="448" customFormat="1" x14ac:dyDescent="0.25">
      <c r="A44" s="461" t="s">
        <v>125</v>
      </c>
      <c r="B44" s="462"/>
      <c r="C44" s="462"/>
      <c r="D44" s="463">
        <f>SUM(D32:D43)</f>
        <v>23391</v>
      </c>
      <c r="E44" s="463">
        <f>SUM(E32:E43)</f>
        <v>85428</v>
      </c>
      <c r="F44" s="480">
        <f>SUM(F32:F43)</f>
        <v>2604319</v>
      </c>
      <c r="G44" s="465"/>
      <c r="H44" s="481">
        <f>SUM(H32:H43)</f>
        <v>237618.06556000002</v>
      </c>
      <c r="I44" s="480">
        <f>SUM(I32:I43)</f>
        <v>32928358</v>
      </c>
      <c r="J44" s="465"/>
      <c r="K44" s="481">
        <f>SUM(K32:K43)</f>
        <v>140933.37224</v>
      </c>
      <c r="L44" s="480">
        <f>SUM(L32:L43)</f>
        <v>86674</v>
      </c>
      <c r="M44" s="465"/>
      <c r="N44" s="481">
        <f>SUM(N32:N43)</f>
        <v>1010669.8799999999</v>
      </c>
      <c r="O44" s="480">
        <f>SUM(O32:O43)</f>
        <v>35532677</v>
      </c>
      <c r="P44" s="464"/>
      <c r="Q44" s="481">
        <f>SUM(Q32:Q43)</f>
        <v>889820.12715500011</v>
      </c>
      <c r="R44" s="466">
        <f>SUM(R32:R43)</f>
        <v>72783.970000000016</v>
      </c>
      <c r="S44" s="466">
        <f>SUM(S32:S43)</f>
        <v>-14237.32</v>
      </c>
      <c r="T44" s="466"/>
      <c r="U44" s="466"/>
      <c r="V44" s="464">
        <f>SUM(V32:V43)</f>
        <v>1620</v>
      </c>
      <c r="W44" s="481">
        <f>SUM(W32:W43)</f>
        <v>2521084.1393069997</v>
      </c>
      <c r="X44" s="529">
        <f>(O44-O66)/O66</f>
        <v>10.138023029176098</v>
      </c>
      <c r="Y44" s="525">
        <f t="shared" si="14"/>
        <v>1.8748579928893182E-3</v>
      </c>
    </row>
    <row r="45" spans="1:25" s="448" customFormat="1" x14ac:dyDescent="0.25">
      <c r="A45" s="467" t="s">
        <v>126</v>
      </c>
      <c r="B45" s="468"/>
      <c r="C45" s="468"/>
      <c r="D45" s="463"/>
      <c r="E45" s="463"/>
      <c r="F45" s="482">
        <f>AVERAGE(F32:F43)</f>
        <v>217026.58333333334</v>
      </c>
      <c r="G45" s="470"/>
      <c r="H45" s="483">
        <f>AVERAGE(H32:H43)</f>
        <v>19801.505463333335</v>
      </c>
      <c r="I45" s="482">
        <f>AVERAGE(I32:I43)</f>
        <v>2744029.8333333335</v>
      </c>
      <c r="J45" s="470"/>
      <c r="K45" s="483">
        <f>AVERAGE(K32:K43)</f>
        <v>11744.447686666666</v>
      </c>
      <c r="L45" s="482">
        <f>AVERAGE(L32:L43)</f>
        <v>7222.833333333333</v>
      </c>
      <c r="M45" s="470"/>
      <c r="N45" s="483">
        <f>AVERAGE(N32:N43)</f>
        <v>84222.489999999991</v>
      </c>
      <c r="O45" s="482">
        <f>AVERAGE(O32:O43)</f>
        <v>2961056.4166666665</v>
      </c>
      <c r="P45" s="469"/>
      <c r="Q45" s="483">
        <f>AVERAGE(Q32:Q43)</f>
        <v>74151.677262916681</v>
      </c>
      <c r="R45" s="471"/>
      <c r="S45" s="471"/>
      <c r="T45" s="471"/>
      <c r="U45" s="471"/>
      <c r="V45" s="469"/>
      <c r="W45" s="483">
        <f>AVERAGE(W32:W43)</f>
        <v>210090.34494224997</v>
      </c>
      <c r="X45" s="526"/>
      <c r="Y45" s="526"/>
    </row>
    <row r="46" spans="1:25" s="448" customFormat="1" x14ac:dyDescent="0.25">
      <c r="A46" s="467"/>
      <c r="B46" s="468"/>
      <c r="C46" s="468"/>
      <c r="D46" s="463"/>
      <c r="E46" s="463"/>
      <c r="F46" s="482"/>
      <c r="G46" s="470"/>
      <c r="H46" s="483"/>
      <c r="I46" s="482"/>
      <c r="J46" s="470"/>
      <c r="K46" s="483"/>
      <c r="L46" s="482"/>
      <c r="M46" s="530"/>
      <c r="N46" s="531"/>
      <c r="O46" s="482"/>
      <c r="P46" s="469"/>
      <c r="Q46" s="483"/>
      <c r="R46" s="471"/>
      <c r="S46" s="471"/>
      <c r="T46" s="471"/>
      <c r="U46" s="471"/>
      <c r="V46" s="469"/>
      <c r="W46" s="483"/>
      <c r="X46" s="527"/>
      <c r="Y46" s="527"/>
    </row>
    <row r="47" spans="1:25" s="448" customFormat="1" ht="26.25" x14ac:dyDescent="0.25">
      <c r="A47" s="509" t="s">
        <v>263</v>
      </c>
      <c r="B47" s="510"/>
      <c r="C47" s="510"/>
      <c r="D47" s="513">
        <f>(D44-D67)/D67</f>
        <v>-0.29002003278091421</v>
      </c>
      <c r="E47" s="513">
        <f>(E44-E67)/E67</f>
        <v>5.7460451068254398E-2</v>
      </c>
      <c r="F47" s="513">
        <f>(F44-F67)/F67</f>
        <v>1.9696047204108041E-2</v>
      </c>
      <c r="G47" s="507"/>
      <c r="H47" s="508"/>
      <c r="I47" s="513">
        <f>(I44-I67)/I67</f>
        <v>0.13399163228792549</v>
      </c>
      <c r="J47" s="507"/>
      <c r="K47" s="508"/>
      <c r="L47" s="513">
        <f>(L44-L67)/L67</f>
        <v>4.9068022270636648E-2</v>
      </c>
      <c r="M47" s="507"/>
      <c r="N47" s="508">
        <f>(N44-N67)</f>
        <v>53539.319999999832</v>
      </c>
      <c r="O47" s="513">
        <f>(O44-O67)/O67</f>
        <v>0.12475142903574755</v>
      </c>
      <c r="P47" s="507">
        <f>AVERAGE(P32:P43)</f>
        <v>2.5978916666666668E-2</v>
      </c>
      <c r="Q47" s="508"/>
      <c r="R47" s="513">
        <f>(R44-R67)/R67</f>
        <v>0.67212839444455441</v>
      </c>
      <c r="S47" s="507"/>
      <c r="T47" s="507"/>
      <c r="U47" s="507"/>
      <c r="V47" s="507"/>
      <c r="W47" s="508">
        <f>(W44)</f>
        <v>2521084.1393069997</v>
      </c>
      <c r="X47" s="527"/>
      <c r="Y47" s="527"/>
    </row>
    <row r="48" spans="1:25" s="448" customFormat="1" x14ac:dyDescent="0.25">
      <c r="F48" s="472"/>
      <c r="H48" s="473"/>
      <c r="I48" s="472"/>
      <c r="K48" s="473"/>
      <c r="L48" s="472"/>
      <c r="N48" s="522">
        <f>(N44-N67)/N67</f>
        <v>5.5937321654424901E-2</v>
      </c>
      <c r="O48" s="472"/>
      <c r="Q48" s="473"/>
      <c r="U48" s="523"/>
      <c r="V48" s="523"/>
    </row>
    <row r="49" spans="1:23" s="448" customFormat="1" x14ac:dyDescent="0.25">
      <c r="F49" s="472"/>
      <c r="H49" s="473"/>
      <c r="I49" s="472"/>
      <c r="K49" s="473"/>
      <c r="L49" s="472"/>
      <c r="N49" s="473"/>
      <c r="O49" s="472"/>
      <c r="Q49" s="473"/>
      <c r="U49" s="523"/>
      <c r="V49" s="523"/>
    </row>
    <row r="50" spans="1:23" s="448" customFormat="1" x14ac:dyDescent="0.25">
      <c r="F50" s="472"/>
      <c r="H50" s="473"/>
      <c r="I50" s="472"/>
      <c r="K50" s="473"/>
      <c r="L50" s="472"/>
      <c r="N50" s="473"/>
      <c r="O50" s="472"/>
      <c r="Q50" s="473"/>
      <c r="U50" s="523"/>
      <c r="V50" s="523"/>
    </row>
    <row r="51" spans="1:23" s="448" customFormat="1" x14ac:dyDescent="0.25">
      <c r="F51" s="472"/>
      <c r="H51" s="473"/>
      <c r="I51" s="472"/>
      <c r="K51" s="473"/>
      <c r="L51" s="472"/>
      <c r="N51" s="473"/>
      <c r="O51" s="472"/>
      <c r="Q51" s="473"/>
      <c r="U51" s="523"/>
      <c r="V51" s="523"/>
    </row>
    <row r="52" spans="1:23" s="448" customFormat="1" x14ac:dyDescent="0.25">
      <c r="F52" s="472"/>
      <c r="H52" s="473"/>
      <c r="I52" s="472"/>
      <c r="K52" s="473"/>
      <c r="L52" s="472"/>
      <c r="N52" s="473"/>
      <c r="O52" s="472"/>
      <c r="Q52" s="473"/>
      <c r="U52" s="523"/>
      <c r="V52" s="523"/>
    </row>
    <row r="53" spans="1:23" s="341" customFormat="1" x14ac:dyDescent="0.25">
      <c r="A53" s="439" t="s">
        <v>251</v>
      </c>
      <c r="F53" s="367"/>
      <c r="H53" s="368"/>
      <c r="I53" s="367"/>
      <c r="K53" s="368"/>
      <c r="L53" s="367"/>
      <c r="N53" s="368"/>
      <c r="O53" s="367"/>
      <c r="Q53" s="368"/>
      <c r="U53" s="412"/>
      <c r="V53" s="412"/>
    </row>
    <row r="54" spans="1:23" s="341" customFormat="1" ht="75" x14ac:dyDescent="0.25">
      <c r="A54" s="351" t="s">
        <v>95</v>
      </c>
      <c r="B54" s="346" t="s">
        <v>96</v>
      </c>
      <c r="C54" s="346" t="s">
        <v>153</v>
      </c>
      <c r="D54" s="352" t="s">
        <v>97</v>
      </c>
      <c r="E54" s="352" t="s">
        <v>98</v>
      </c>
      <c r="F54" s="369" t="s">
        <v>99</v>
      </c>
      <c r="G54" s="351" t="s">
        <v>100</v>
      </c>
      <c r="H54" s="370" t="s">
        <v>101</v>
      </c>
      <c r="I54" s="369" t="s">
        <v>102</v>
      </c>
      <c r="J54" s="351" t="s">
        <v>103</v>
      </c>
      <c r="K54" s="370" t="s">
        <v>104</v>
      </c>
      <c r="L54" s="369" t="s">
        <v>154</v>
      </c>
      <c r="M54" s="351" t="s">
        <v>155</v>
      </c>
      <c r="N54" s="370" t="s">
        <v>105</v>
      </c>
      <c r="O54" s="369" t="s">
        <v>106</v>
      </c>
      <c r="P54" s="351" t="s">
        <v>107</v>
      </c>
      <c r="Q54" s="370" t="s">
        <v>108</v>
      </c>
      <c r="R54" s="351" t="s">
        <v>109</v>
      </c>
      <c r="S54" s="351" t="s">
        <v>110</v>
      </c>
      <c r="T54" s="351" t="s">
        <v>111</v>
      </c>
      <c r="U54" s="476" t="s">
        <v>112</v>
      </c>
      <c r="V54" s="413" t="s">
        <v>250</v>
      </c>
      <c r="W54" s="413" t="s">
        <v>192</v>
      </c>
    </row>
    <row r="55" spans="1:23" s="341" customFormat="1" x14ac:dyDescent="0.25">
      <c r="A55" s="344" t="s">
        <v>156</v>
      </c>
      <c r="B55" s="347">
        <v>2014</v>
      </c>
      <c r="C55" s="353" t="s">
        <v>113</v>
      </c>
      <c r="D55" s="354">
        <v>6807</v>
      </c>
      <c r="E55" s="354">
        <v>6894</v>
      </c>
      <c r="F55" s="371">
        <v>587080</v>
      </c>
      <c r="G55" s="440">
        <v>9.1240000000000002E-2</v>
      </c>
      <c r="H55" s="372">
        <f t="shared" ref="H55:H61" si="21">F55*G55</f>
        <v>53565.179199999999</v>
      </c>
      <c r="I55" s="371">
        <v>2824876</v>
      </c>
      <c r="J55" s="440">
        <v>4.28E-3</v>
      </c>
      <c r="K55" s="372">
        <f>I55*J55</f>
        <v>12090.469279999999</v>
      </c>
      <c r="L55" s="417">
        <v>6991</v>
      </c>
      <c r="M55" s="355">
        <v>16.71</v>
      </c>
      <c r="N55" s="372">
        <f>L55*M55</f>
        <v>116819.61</v>
      </c>
      <c r="O55" s="371">
        <f>+I55+F55</f>
        <v>3411956</v>
      </c>
      <c r="P55" s="344">
        <v>3.2488000000000003E-2</v>
      </c>
      <c r="Q55" s="372">
        <f>O55*P55</f>
        <v>110847.62652800001</v>
      </c>
      <c r="R55" s="348"/>
      <c r="S55" s="348">
        <v>8031.94</v>
      </c>
      <c r="T55" s="348">
        <v>135</v>
      </c>
      <c r="U55" s="479">
        <f>+H55+K55+N55+Q55+R55+S55+T55</f>
        <v>301489.82500800001</v>
      </c>
      <c r="V55" s="414">
        <f t="shared" ref="V55:V67" si="22">(O55-O77)/O77</f>
        <v>-0.18939914268113256</v>
      </c>
      <c r="W55" s="525">
        <f>(U55-U77)/U77</f>
        <v>-0.25740545981992591</v>
      </c>
    </row>
    <row r="56" spans="1:23" s="341" customFormat="1" x14ac:dyDescent="0.25">
      <c r="A56" s="344" t="s">
        <v>157</v>
      </c>
      <c r="B56" s="347">
        <v>2014</v>
      </c>
      <c r="C56" s="353" t="s">
        <v>114</v>
      </c>
      <c r="D56" s="354">
        <v>8039</v>
      </c>
      <c r="E56" s="354">
        <v>8242</v>
      </c>
      <c r="F56" s="371">
        <v>691198</v>
      </c>
      <c r="G56" s="440">
        <v>9.1240000000000002E-2</v>
      </c>
      <c r="H56" s="372">
        <f>F56*G56</f>
        <v>63064.90552</v>
      </c>
      <c r="I56" s="371">
        <v>3326074</v>
      </c>
      <c r="J56" s="440">
        <v>4.28E-3</v>
      </c>
      <c r="K56" s="372">
        <f>I56*J56</f>
        <v>14235.59672</v>
      </c>
      <c r="L56" s="417">
        <v>8242</v>
      </c>
      <c r="M56" s="355">
        <v>16.71</v>
      </c>
      <c r="N56" s="372">
        <f>L56*M56</f>
        <v>137723.82</v>
      </c>
      <c r="O56" s="371">
        <f>+I56+F56</f>
        <v>4017272</v>
      </c>
      <c r="P56" s="344">
        <v>2.7401999999999999E-2</v>
      </c>
      <c r="Q56" s="372">
        <f>O56*P56</f>
        <v>110081.287344</v>
      </c>
      <c r="R56" s="348"/>
      <c r="S56" s="348">
        <v>8901.84</v>
      </c>
      <c r="T56" s="348">
        <v>135</v>
      </c>
      <c r="U56" s="479">
        <f t="shared" ref="U56:U66" si="23">+H56+K56+N56+Q56+R56+S56+T56</f>
        <v>334142.44958400005</v>
      </c>
      <c r="V56" s="414">
        <f t="shared" si="22"/>
        <v>-0.14357977748652034</v>
      </c>
      <c r="W56" s="525">
        <f t="shared" ref="W56:W66" si="24">(U56-U78)/U78</f>
        <v>-0.23254054396936719</v>
      </c>
    </row>
    <row r="57" spans="1:23" s="341" customFormat="1" x14ac:dyDescent="0.25">
      <c r="A57" s="344" t="s">
        <v>158</v>
      </c>
      <c r="B57" s="347">
        <v>2014</v>
      </c>
      <c r="C57" s="353" t="s">
        <v>115</v>
      </c>
      <c r="D57" s="354">
        <v>6203</v>
      </c>
      <c r="E57" s="354">
        <v>6926</v>
      </c>
      <c r="F57" s="371">
        <v>612713</v>
      </c>
      <c r="G57" s="440">
        <v>9.1240000000000002E-2</v>
      </c>
      <c r="H57" s="372">
        <f t="shared" si="21"/>
        <v>55903.934119999998</v>
      </c>
      <c r="I57" s="371">
        <v>2660109</v>
      </c>
      <c r="J57" s="440">
        <v>4.28E-3</v>
      </c>
      <c r="K57" s="372">
        <f t="shared" ref="K57:K66" si="25">I57*J57</f>
        <v>11385.266519999999</v>
      </c>
      <c r="L57" s="417">
        <v>6926</v>
      </c>
      <c r="M57" s="355">
        <v>16.71</v>
      </c>
      <c r="N57" s="372">
        <f t="shared" ref="N57:N66" si="26">L57*M57</f>
        <v>115733.46</v>
      </c>
      <c r="O57" s="371">
        <f>+I57+F57</f>
        <v>3272822</v>
      </c>
      <c r="P57" s="344">
        <v>4.6432000000000001E-2</v>
      </c>
      <c r="Q57" s="372">
        <f t="shared" ref="Q57:Q66" si="27">O57*P57</f>
        <v>151963.67110400001</v>
      </c>
      <c r="R57" s="348"/>
      <c r="S57" s="348">
        <v>9172.27</v>
      </c>
      <c r="T57" s="348">
        <v>135</v>
      </c>
      <c r="U57" s="479">
        <f t="shared" si="23"/>
        <v>344293.60174400004</v>
      </c>
      <c r="V57" s="414">
        <f t="shared" si="22"/>
        <v>-0.31931740023755512</v>
      </c>
      <c r="W57" s="525">
        <f t="shared" si="24"/>
        <v>-0.20254521464596198</v>
      </c>
    </row>
    <row r="58" spans="1:23" s="341" customFormat="1" x14ac:dyDescent="0.25">
      <c r="A58" s="344" t="s">
        <v>159</v>
      </c>
      <c r="B58" s="347">
        <v>2014</v>
      </c>
      <c r="C58" s="353" t="s">
        <v>116</v>
      </c>
      <c r="D58" s="354">
        <v>5814</v>
      </c>
      <c r="E58" s="354">
        <v>7789</v>
      </c>
      <c r="F58" s="371">
        <v>216694</v>
      </c>
      <c r="G58" s="440">
        <v>9.1240000000000002E-2</v>
      </c>
      <c r="H58" s="372">
        <f t="shared" si="21"/>
        <v>19771.16056</v>
      </c>
      <c r="I58" s="371">
        <v>2545204</v>
      </c>
      <c r="J58" s="440">
        <v>4.28E-3</v>
      </c>
      <c r="K58" s="372">
        <f t="shared" si="25"/>
        <v>10893.473120000001</v>
      </c>
      <c r="L58" s="417">
        <v>7789</v>
      </c>
      <c r="M58" s="355">
        <v>8.85</v>
      </c>
      <c r="N58" s="372">
        <f t="shared" si="26"/>
        <v>68932.649999999994</v>
      </c>
      <c r="O58" s="371">
        <f t="shared" ref="O58:O66" si="28">+I58+F58</f>
        <v>2761898</v>
      </c>
      <c r="P58" s="344">
        <v>3.5027000000000003E-2</v>
      </c>
      <c r="Q58" s="372">
        <f t="shared" si="27"/>
        <v>96741.001246000014</v>
      </c>
      <c r="R58" s="348">
        <v>5377.47</v>
      </c>
      <c r="S58" s="348"/>
      <c r="T58" s="348">
        <v>135</v>
      </c>
      <c r="U58" s="479">
        <f t="shared" si="23"/>
        <v>201850.75492599999</v>
      </c>
      <c r="V58" s="414">
        <f t="shared" si="22"/>
        <v>-0.15988864615405207</v>
      </c>
      <c r="W58" s="525">
        <f t="shared" si="24"/>
        <v>-0.14780097701447259</v>
      </c>
    </row>
    <row r="59" spans="1:23" s="341" customFormat="1" x14ac:dyDescent="0.25">
      <c r="A59" s="344" t="s">
        <v>160</v>
      </c>
      <c r="B59" s="347">
        <v>2014</v>
      </c>
      <c r="C59" s="353" t="s">
        <v>117</v>
      </c>
      <c r="D59" s="354">
        <v>0</v>
      </c>
      <c r="E59" s="354">
        <v>5545</v>
      </c>
      <c r="F59" s="371">
        <v>0</v>
      </c>
      <c r="G59" s="440">
        <v>9.1240000000000002E-2</v>
      </c>
      <c r="H59" s="372">
        <f t="shared" si="21"/>
        <v>0</v>
      </c>
      <c r="I59" s="371">
        <v>2404781</v>
      </c>
      <c r="J59" s="440">
        <v>4.28E-3</v>
      </c>
      <c r="K59" s="372">
        <f t="shared" si="25"/>
        <v>10292.462680000001</v>
      </c>
      <c r="L59" s="417">
        <v>6000</v>
      </c>
      <c r="M59" s="355">
        <v>8.85</v>
      </c>
      <c r="N59" s="372">
        <f t="shared" si="26"/>
        <v>53100</v>
      </c>
      <c r="O59" s="371">
        <f t="shared" si="28"/>
        <v>2404781</v>
      </c>
      <c r="P59" s="344">
        <v>2.1825000000000001E-2</v>
      </c>
      <c r="Q59" s="372">
        <f t="shared" si="27"/>
        <v>52484.345325000002</v>
      </c>
      <c r="R59" s="348">
        <v>3175.24</v>
      </c>
      <c r="S59" s="348"/>
      <c r="T59" s="348">
        <v>135</v>
      </c>
      <c r="U59" s="479">
        <f t="shared" si="23"/>
        <v>119187.048005</v>
      </c>
      <c r="V59" s="414">
        <f t="shared" si="22"/>
        <v>-0.13026522273928837</v>
      </c>
      <c r="W59" s="525">
        <f t="shared" si="24"/>
        <v>-0.2995019351858812</v>
      </c>
    </row>
    <row r="60" spans="1:23" s="341" customFormat="1" x14ac:dyDescent="0.25">
      <c r="A60" s="344" t="s">
        <v>161</v>
      </c>
      <c r="B60" s="347">
        <v>2014</v>
      </c>
      <c r="C60" s="353" t="s">
        <v>118</v>
      </c>
      <c r="D60" s="354">
        <v>0</v>
      </c>
      <c r="E60" s="354">
        <v>4719</v>
      </c>
      <c r="F60" s="371">
        <v>0</v>
      </c>
      <c r="G60" s="440">
        <v>9.1240000000000002E-2</v>
      </c>
      <c r="H60" s="372">
        <f t="shared" si="21"/>
        <v>0</v>
      </c>
      <c r="I60" s="371">
        <v>1766228</v>
      </c>
      <c r="J60" s="440">
        <v>4.28E-3</v>
      </c>
      <c r="K60" s="372">
        <f t="shared" si="25"/>
        <v>7559.4558399999996</v>
      </c>
      <c r="L60" s="417">
        <v>6000</v>
      </c>
      <c r="M60" s="355">
        <v>8.85</v>
      </c>
      <c r="N60" s="372">
        <f t="shared" si="26"/>
        <v>53100</v>
      </c>
      <c r="O60" s="371">
        <f t="shared" si="28"/>
        <v>1766228</v>
      </c>
      <c r="P60" s="344">
        <v>3.5887000000000002E-2</v>
      </c>
      <c r="Q60" s="372">
        <f t="shared" si="27"/>
        <v>63384.624236000003</v>
      </c>
      <c r="R60" s="348">
        <v>3398.78</v>
      </c>
      <c r="S60" s="348"/>
      <c r="T60" s="348">
        <v>135</v>
      </c>
      <c r="U60" s="479">
        <f t="shared" si="23"/>
        <v>127577.86007600001</v>
      </c>
      <c r="V60" s="414">
        <f t="shared" si="22"/>
        <v>-0.14270764571117928</v>
      </c>
      <c r="W60" s="525">
        <f t="shared" si="24"/>
        <v>-9.4632289504887501E-2</v>
      </c>
    </row>
    <row r="61" spans="1:23" s="341" customFormat="1" x14ac:dyDescent="0.25">
      <c r="A61" s="344" t="s">
        <v>162</v>
      </c>
      <c r="B61" s="347">
        <v>2014</v>
      </c>
      <c r="C61" s="353" t="s">
        <v>119</v>
      </c>
      <c r="D61" s="354">
        <v>0</v>
      </c>
      <c r="E61" s="354">
        <v>7907</v>
      </c>
      <c r="F61" s="371">
        <v>0</v>
      </c>
      <c r="G61" s="440">
        <v>9.1240000000000002E-2</v>
      </c>
      <c r="H61" s="372">
        <f t="shared" si="21"/>
        <v>0</v>
      </c>
      <c r="I61" s="371">
        <v>1997094</v>
      </c>
      <c r="J61" s="440">
        <v>4.28E-3</v>
      </c>
      <c r="K61" s="372">
        <f t="shared" si="25"/>
        <v>8547.5623199999991</v>
      </c>
      <c r="L61" s="417">
        <v>7907</v>
      </c>
      <c r="M61" s="355">
        <v>8.85</v>
      </c>
      <c r="N61" s="372">
        <f t="shared" si="26"/>
        <v>69976.95</v>
      </c>
      <c r="O61" s="371">
        <f t="shared" si="28"/>
        <v>1997094</v>
      </c>
      <c r="P61" s="344">
        <v>2.7607E-2</v>
      </c>
      <c r="Q61" s="372">
        <f t="shared" si="27"/>
        <v>55133.774058000003</v>
      </c>
      <c r="R61" s="348">
        <v>3661.92</v>
      </c>
      <c r="S61" s="348"/>
      <c r="T61" s="348">
        <v>135</v>
      </c>
      <c r="U61" s="479">
        <f t="shared" si="23"/>
        <v>137455.206378</v>
      </c>
      <c r="V61" s="414">
        <f t="shared" si="22"/>
        <v>0.2108722356487775</v>
      </c>
      <c r="W61" s="525">
        <f t="shared" si="24"/>
        <v>0.1396422404076029</v>
      </c>
    </row>
    <row r="62" spans="1:23" s="341" customFormat="1" x14ac:dyDescent="0.25">
      <c r="A62" s="344" t="s">
        <v>163</v>
      </c>
      <c r="B62" s="347">
        <v>2014</v>
      </c>
      <c r="C62" s="353" t="s">
        <v>120</v>
      </c>
      <c r="D62" s="354">
        <v>0</v>
      </c>
      <c r="E62" s="354">
        <v>6483</v>
      </c>
      <c r="F62" s="371">
        <v>0</v>
      </c>
      <c r="G62" s="440">
        <v>9.1240000000000002E-2</v>
      </c>
      <c r="H62" s="372">
        <v>0</v>
      </c>
      <c r="I62" s="371">
        <v>1862994</v>
      </c>
      <c r="J62" s="440">
        <v>4.28E-3</v>
      </c>
      <c r="K62" s="372">
        <f t="shared" si="25"/>
        <v>7973.6143199999997</v>
      </c>
      <c r="L62" s="417">
        <v>6483</v>
      </c>
      <c r="M62" s="355">
        <v>8.85</v>
      </c>
      <c r="N62" s="372">
        <f t="shared" si="26"/>
        <v>57374.549999999996</v>
      </c>
      <c r="O62" s="371">
        <f t="shared" si="28"/>
        <v>1862994</v>
      </c>
      <c r="P62" s="344">
        <v>3.6499999999999998E-2</v>
      </c>
      <c r="Q62" s="372">
        <f t="shared" si="27"/>
        <v>67999.281000000003</v>
      </c>
      <c r="R62" s="348">
        <v>3653.41</v>
      </c>
      <c r="S62" s="348"/>
      <c r="T62" s="348">
        <v>135</v>
      </c>
      <c r="U62" s="479">
        <f t="shared" si="23"/>
        <v>137135.85532</v>
      </c>
      <c r="V62" s="414">
        <f t="shared" si="22"/>
        <v>-0.21562771036654682</v>
      </c>
      <c r="W62" s="525">
        <f t="shared" si="24"/>
        <v>-0.11472409006359059</v>
      </c>
    </row>
    <row r="63" spans="1:23" s="341" customFormat="1" x14ac:dyDescent="0.25">
      <c r="A63" s="344" t="s">
        <v>164</v>
      </c>
      <c r="B63" s="347">
        <v>2014</v>
      </c>
      <c r="C63" s="353" t="s">
        <v>121</v>
      </c>
      <c r="D63" s="354">
        <v>0</v>
      </c>
      <c r="E63" s="354">
        <v>6475</v>
      </c>
      <c r="F63" s="371">
        <v>0</v>
      </c>
      <c r="G63" s="440">
        <v>9.1240000000000002E-2</v>
      </c>
      <c r="H63" s="372">
        <f>F63*G63</f>
        <v>0</v>
      </c>
      <c r="I63" s="371">
        <v>1896632</v>
      </c>
      <c r="J63" s="440">
        <v>4.28E-3</v>
      </c>
      <c r="K63" s="372">
        <f t="shared" si="25"/>
        <v>8117.5849600000001</v>
      </c>
      <c r="L63" s="417">
        <v>6476</v>
      </c>
      <c r="M63" s="355">
        <v>8.85</v>
      </c>
      <c r="N63" s="372">
        <f t="shared" si="26"/>
        <v>57312.6</v>
      </c>
      <c r="O63" s="371">
        <f t="shared" si="28"/>
        <v>1896632</v>
      </c>
      <c r="P63" s="344">
        <v>4.0760999999999999E-2</v>
      </c>
      <c r="Q63" s="372">
        <f t="shared" si="27"/>
        <v>77308.616951999997</v>
      </c>
      <c r="R63" s="348">
        <v>4393.37</v>
      </c>
      <c r="S63" s="348"/>
      <c r="T63" s="348">
        <v>135</v>
      </c>
      <c r="U63" s="479">
        <f t="shared" si="23"/>
        <v>147267.17191199999</v>
      </c>
      <c r="V63" s="414">
        <f t="shared" si="22"/>
        <v>-7.6111159011320206E-2</v>
      </c>
      <c r="W63" s="525">
        <f t="shared" si="24"/>
        <v>-2.4360615730302508E-2</v>
      </c>
    </row>
    <row r="64" spans="1:23" s="341" customFormat="1" x14ac:dyDescent="0.25">
      <c r="A64" s="344" t="s">
        <v>165</v>
      </c>
      <c r="B64" s="347">
        <v>2014</v>
      </c>
      <c r="C64" s="353" t="s">
        <v>122</v>
      </c>
      <c r="D64" s="354">
        <v>0</v>
      </c>
      <c r="E64" s="354">
        <v>6339</v>
      </c>
      <c r="F64" s="371">
        <v>0</v>
      </c>
      <c r="G64" s="440">
        <v>9.1240000000000002E-2</v>
      </c>
      <c r="H64" s="372">
        <f>F64*G64</f>
        <v>0</v>
      </c>
      <c r="I64" s="371">
        <v>2337942</v>
      </c>
      <c r="J64" s="440">
        <v>4.28E-3</v>
      </c>
      <c r="K64" s="372">
        <f t="shared" si="25"/>
        <v>10006.39176</v>
      </c>
      <c r="L64" s="417">
        <v>6339</v>
      </c>
      <c r="M64" s="355">
        <v>8.85</v>
      </c>
      <c r="N64" s="372">
        <f t="shared" si="26"/>
        <v>56100.149999999994</v>
      </c>
      <c r="O64" s="371">
        <f t="shared" si="28"/>
        <v>2337942</v>
      </c>
      <c r="P64" s="344">
        <v>3.2521000000000001E-2</v>
      </c>
      <c r="Q64" s="372">
        <f t="shared" si="27"/>
        <v>76032.211781999998</v>
      </c>
      <c r="R64" s="348">
        <v>4374.92</v>
      </c>
      <c r="S64" s="348"/>
      <c r="T64" s="348">
        <v>135</v>
      </c>
      <c r="U64" s="479">
        <f t="shared" si="23"/>
        <v>146648.673542</v>
      </c>
      <c r="V64" s="414">
        <f t="shared" si="22"/>
        <v>-0.12915009571019423</v>
      </c>
      <c r="W64" s="525">
        <f t="shared" si="24"/>
        <v>-0.14574224982233261</v>
      </c>
    </row>
    <row r="65" spans="1:26" s="341" customFormat="1" x14ac:dyDescent="0.25">
      <c r="A65" s="344" t="s">
        <v>166</v>
      </c>
      <c r="B65" s="347">
        <v>2014</v>
      </c>
      <c r="C65" s="353" t="s">
        <v>123</v>
      </c>
      <c r="D65" s="354">
        <v>0</v>
      </c>
      <c r="E65" s="354">
        <v>6880</v>
      </c>
      <c r="F65" s="371">
        <v>0</v>
      </c>
      <c r="G65" s="440">
        <v>9.1240000000000002E-2</v>
      </c>
      <c r="H65" s="372">
        <f>F65*G65</f>
        <v>0</v>
      </c>
      <c r="I65" s="371">
        <v>2671749</v>
      </c>
      <c r="J65" s="440">
        <v>4.28E-3</v>
      </c>
      <c r="K65" s="372">
        <f t="shared" si="25"/>
        <v>11435.085719999999</v>
      </c>
      <c r="L65" s="417">
        <v>6880</v>
      </c>
      <c r="M65" s="355">
        <v>8.85</v>
      </c>
      <c r="N65" s="372">
        <f t="shared" si="26"/>
        <v>60888</v>
      </c>
      <c r="O65" s="371">
        <f t="shared" si="28"/>
        <v>2671749</v>
      </c>
      <c r="P65" s="344">
        <v>3.5514999999999998E-2</v>
      </c>
      <c r="Q65" s="372">
        <f t="shared" si="27"/>
        <v>94887.165734999988</v>
      </c>
      <c r="R65" s="348">
        <v>5145.87</v>
      </c>
      <c r="S65" s="348"/>
      <c r="T65" s="348">
        <v>135</v>
      </c>
      <c r="U65" s="479">
        <f t="shared" si="23"/>
        <v>172491.12145499999</v>
      </c>
      <c r="V65" s="414">
        <f t="shared" si="22"/>
        <v>0.15502176893157799</v>
      </c>
      <c r="W65" s="525">
        <f t="shared" si="24"/>
        <v>9.3910845067726068E-2</v>
      </c>
    </row>
    <row r="66" spans="1:26" s="341" customFormat="1" x14ac:dyDescent="0.25">
      <c r="A66" s="344" t="s">
        <v>167</v>
      </c>
      <c r="B66" s="347">
        <v>2014</v>
      </c>
      <c r="C66" s="353" t="s">
        <v>124</v>
      </c>
      <c r="D66" s="354">
        <v>6083</v>
      </c>
      <c r="E66" s="354">
        <v>6587</v>
      </c>
      <c r="F66" s="371">
        <v>446330</v>
      </c>
      <c r="G66" s="440">
        <v>9.1240000000000002E-2</v>
      </c>
      <c r="H66" s="372">
        <f>F66*G66</f>
        <v>40723.1492</v>
      </c>
      <c r="I66" s="371">
        <v>2743884</v>
      </c>
      <c r="J66" s="440">
        <v>4.28E-3</v>
      </c>
      <c r="K66" s="372">
        <f t="shared" si="25"/>
        <v>11743.82352</v>
      </c>
      <c r="L66" s="417">
        <v>6587</v>
      </c>
      <c r="M66" s="355">
        <v>16.71</v>
      </c>
      <c r="N66" s="372">
        <f t="shared" si="26"/>
        <v>110068.77</v>
      </c>
      <c r="O66" s="371">
        <f t="shared" si="28"/>
        <v>3190214</v>
      </c>
      <c r="P66" s="344">
        <v>5.4482000000000003E-2</v>
      </c>
      <c r="Q66" s="372">
        <f t="shared" si="27"/>
        <v>173809.23914800002</v>
      </c>
      <c r="R66" s="348">
        <v>10346.76</v>
      </c>
      <c r="S66" s="348"/>
      <c r="T66" s="348">
        <v>135</v>
      </c>
      <c r="U66" s="479">
        <f t="shared" si="23"/>
        <v>346826.74186800001</v>
      </c>
      <c r="V66" s="414">
        <f t="shared" si="22"/>
        <v>0.21370135058017881</v>
      </c>
      <c r="W66" s="525">
        <f t="shared" si="24"/>
        <v>0.41236130175697316</v>
      </c>
    </row>
    <row r="67" spans="1:26" s="341" customFormat="1" x14ac:dyDescent="0.25">
      <c r="A67" s="356" t="s">
        <v>125</v>
      </c>
      <c r="B67" s="357"/>
      <c r="C67" s="357"/>
      <c r="D67" s="358">
        <f>SUM(D55:D66)</f>
        <v>32946</v>
      </c>
      <c r="E67" s="358">
        <f>SUM(E55:E66)</f>
        <v>80786</v>
      </c>
      <c r="F67" s="373">
        <f>SUM(F55:F66)</f>
        <v>2554015</v>
      </c>
      <c r="G67" s="360"/>
      <c r="H67" s="374">
        <f>SUM(H55:H66)</f>
        <v>233028.32860000001</v>
      </c>
      <c r="I67" s="373">
        <f>SUM(I55:I66)</f>
        <v>29037567</v>
      </c>
      <c r="J67" s="360"/>
      <c r="K67" s="374">
        <f>SUM(K55:K66)</f>
        <v>124280.78675999999</v>
      </c>
      <c r="L67" s="373">
        <f>SUM(L55:L66)</f>
        <v>82620</v>
      </c>
      <c r="M67" s="360"/>
      <c r="N67" s="374">
        <f>SUM(N55:N66)</f>
        <v>957130.56</v>
      </c>
      <c r="O67" s="373">
        <f>SUM(O55:O66)</f>
        <v>31591582</v>
      </c>
      <c r="P67" s="359"/>
      <c r="Q67" s="374">
        <f>SUM(Q55:Q66)</f>
        <v>1130672.844458</v>
      </c>
      <c r="R67" s="361">
        <f>SUM(R55:R66)</f>
        <v>43527.740000000005</v>
      </c>
      <c r="S67" s="361">
        <f>SUM(S55:S66)</f>
        <v>26106.05</v>
      </c>
      <c r="T67" s="359">
        <f>SUM(T55:T66)</f>
        <v>1620</v>
      </c>
      <c r="U67" s="481">
        <f>SUM(U55:U66)</f>
        <v>2516366.3098180001</v>
      </c>
      <c r="V67" s="418">
        <f t="shared" si="22"/>
        <v>-0.11070931610186915</v>
      </c>
      <c r="W67" s="525">
        <f>(U67-U89)/U89</f>
        <v>-0.10843712547800471</v>
      </c>
    </row>
    <row r="68" spans="1:26" s="341" customFormat="1" x14ac:dyDescent="0.25">
      <c r="A68" s="362" t="s">
        <v>126</v>
      </c>
      <c r="B68" s="363"/>
      <c r="C68" s="363"/>
      <c r="D68" s="358"/>
      <c r="E68" s="358"/>
      <c r="F68" s="375">
        <f>AVERAGE(F55:F66)</f>
        <v>212834.58333333334</v>
      </c>
      <c r="G68" s="365"/>
      <c r="H68" s="376">
        <f>AVERAGE(H55:H66)</f>
        <v>19419.027383333334</v>
      </c>
      <c r="I68" s="375">
        <f>AVERAGE(I55:I66)</f>
        <v>2419797.25</v>
      </c>
      <c r="J68" s="365"/>
      <c r="K68" s="376">
        <f>AVERAGE(K55:K66)</f>
        <v>10356.73223</v>
      </c>
      <c r="L68" s="375">
        <f>AVERAGE(L55:L66)</f>
        <v>6885</v>
      </c>
      <c r="M68" s="365"/>
      <c r="N68" s="376">
        <f>AVERAGE(N55:N66)</f>
        <v>79760.88</v>
      </c>
      <c r="O68" s="375">
        <f>AVERAGE(O55:O66)</f>
        <v>2632631.8333333335</v>
      </c>
      <c r="P68" s="364"/>
      <c r="Q68" s="376">
        <f>AVERAGE(Q55:Q66)</f>
        <v>94222.73703816667</v>
      </c>
      <c r="R68" s="366"/>
      <c r="S68" s="366"/>
      <c r="T68" s="364"/>
      <c r="U68" s="483">
        <f>AVERAGE(U55:U66)</f>
        <v>209697.19248483333</v>
      </c>
      <c r="V68" s="415"/>
      <c r="W68" s="415"/>
    </row>
    <row r="69" spans="1:26" s="341" customFormat="1" x14ac:dyDescent="0.25">
      <c r="A69" s="362"/>
      <c r="B69" s="363"/>
      <c r="C69" s="363"/>
      <c r="D69" s="358"/>
      <c r="E69" s="358"/>
      <c r="F69" s="375"/>
      <c r="G69" s="365"/>
      <c r="H69" s="376"/>
      <c r="I69" s="375"/>
      <c r="J69" s="365"/>
      <c r="K69" s="376"/>
      <c r="L69" s="375"/>
      <c r="M69" s="419"/>
      <c r="N69" s="420"/>
      <c r="O69" s="375"/>
      <c r="P69" s="364"/>
      <c r="Q69" s="376"/>
      <c r="R69" s="366"/>
      <c r="S69" s="366"/>
      <c r="T69" s="364"/>
      <c r="U69" s="483"/>
      <c r="V69" s="416"/>
      <c r="W69" s="416"/>
    </row>
    <row r="70" spans="1:26" s="341" customFormat="1" ht="26.25" x14ac:dyDescent="0.25">
      <c r="A70" s="401" t="s">
        <v>249</v>
      </c>
      <c r="B70" s="402"/>
      <c r="C70" s="402"/>
      <c r="D70" s="405">
        <f>(D67-D89)/D89</f>
        <v>6.4009817852990564E-2</v>
      </c>
      <c r="E70" s="405">
        <f>(E67-E89)/E89</f>
        <v>-9.2516456606232172E-2</v>
      </c>
      <c r="F70" s="405">
        <f>(F67-F89)/F89</f>
        <v>-2.8488993537245474E-2</v>
      </c>
      <c r="G70" s="399"/>
      <c r="H70" s="400"/>
      <c r="I70" s="405">
        <f>(I67-I89)/I89</f>
        <v>-0.11728010605199571</v>
      </c>
      <c r="J70" s="399"/>
      <c r="K70" s="400"/>
      <c r="L70" s="405">
        <f>(L67-L89)/L89</f>
        <v>-0.24723247232472326</v>
      </c>
      <c r="M70" s="399"/>
      <c r="N70" s="400">
        <f>(N67-N89)</f>
        <v>122992.56000000006</v>
      </c>
      <c r="O70" s="405">
        <f>(O67-O89)/O89</f>
        <v>-0.11070931610186915</v>
      </c>
      <c r="P70" s="399">
        <f>AVERAGE(P55:P66)</f>
        <v>3.5537249999999999E-2</v>
      </c>
      <c r="Q70" s="400"/>
      <c r="R70" s="405">
        <f>(R67-R89)/R89</f>
        <v>-0.3372587274980956</v>
      </c>
      <c r="S70" s="399"/>
      <c r="T70" s="399"/>
      <c r="U70" s="508">
        <f>(U67)</f>
        <v>2516366.3098180001</v>
      </c>
      <c r="V70" s="416"/>
      <c r="W70" s="416"/>
    </row>
    <row r="71" spans="1:26" s="341" customFormat="1" x14ac:dyDescent="0.25">
      <c r="F71" s="367"/>
      <c r="H71" s="368"/>
      <c r="I71" s="367"/>
      <c r="K71" s="368"/>
      <c r="L71" s="367"/>
      <c r="N71" s="281">
        <f>(N67-N89)/N89</f>
        <v>0.14744869553958703</v>
      </c>
      <c r="O71" s="367"/>
      <c r="Q71" s="368"/>
      <c r="U71" s="412"/>
      <c r="V71" s="412"/>
    </row>
    <row r="72" spans="1:26" s="341" customFormat="1" x14ac:dyDescent="0.25">
      <c r="F72" s="367"/>
      <c r="H72" s="368"/>
      <c r="I72" s="367"/>
      <c r="K72" s="368"/>
      <c r="L72" s="367"/>
      <c r="N72" s="368"/>
      <c r="O72" s="367"/>
      <c r="Q72" s="368"/>
      <c r="U72" s="412"/>
      <c r="V72" s="412"/>
    </row>
    <row r="73" spans="1:26" s="341" customFormat="1" x14ac:dyDescent="0.25">
      <c r="F73" s="367"/>
      <c r="H73" s="368"/>
      <c r="I73" s="367"/>
      <c r="K73" s="368"/>
      <c r="L73" s="367"/>
      <c r="N73" s="368"/>
      <c r="O73" s="367"/>
      <c r="Q73" s="368"/>
      <c r="U73" s="412"/>
      <c r="V73" s="412"/>
    </row>
    <row r="74" spans="1:26" s="341" customFormat="1" x14ac:dyDescent="0.25">
      <c r="F74" s="367"/>
      <c r="H74" s="368"/>
      <c r="I74" s="367"/>
      <c r="K74" s="368"/>
      <c r="L74" s="367"/>
      <c r="N74" s="368"/>
      <c r="O74" s="367"/>
      <c r="Q74" s="368"/>
      <c r="U74" s="412"/>
      <c r="V74" s="412"/>
    </row>
    <row r="75" spans="1:26" s="264" customFormat="1" x14ac:dyDescent="0.25">
      <c r="A75" s="176" t="s">
        <v>214</v>
      </c>
      <c r="F75" s="196"/>
      <c r="H75" s="197"/>
      <c r="I75" s="196"/>
      <c r="K75" s="197"/>
      <c r="L75" s="196"/>
      <c r="N75" s="197"/>
      <c r="O75" s="196"/>
      <c r="Q75" s="197"/>
      <c r="U75" s="283"/>
      <c r="V75" s="283"/>
    </row>
    <row r="76" spans="1:26" s="264" customFormat="1" ht="75" x14ac:dyDescent="0.25">
      <c r="A76" s="177" t="s">
        <v>95</v>
      </c>
      <c r="B76" s="43" t="s">
        <v>96</v>
      </c>
      <c r="C76" s="43" t="s">
        <v>153</v>
      </c>
      <c r="D76" s="178" t="s">
        <v>97</v>
      </c>
      <c r="E76" s="178" t="s">
        <v>98</v>
      </c>
      <c r="F76" s="198" t="s">
        <v>99</v>
      </c>
      <c r="G76" s="177" t="s">
        <v>100</v>
      </c>
      <c r="H76" s="199" t="s">
        <v>101</v>
      </c>
      <c r="I76" s="198" t="s">
        <v>102</v>
      </c>
      <c r="J76" s="177" t="s">
        <v>103</v>
      </c>
      <c r="K76" s="199" t="s">
        <v>104</v>
      </c>
      <c r="L76" s="198" t="s">
        <v>154</v>
      </c>
      <c r="M76" s="177" t="s">
        <v>155</v>
      </c>
      <c r="N76" s="199" t="s">
        <v>105</v>
      </c>
      <c r="O76" s="198" t="s">
        <v>106</v>
      </c>
      <c r="P76" s="177" t="s">
        <v>107</v>
      </c>
      <c r="Q76" s="199" t="s">
        <v>108</v>
      </c>
      <c r="R76" s="177" t="s">
        <v>109</v>
      </c>
      <c r="S76" s="177" t="s">
        <v>110</v>
      </c>
      <c r="T76" s="177" t="s">
        <v>111</v>
      </c>
      <c r="U76" s="476" t="s">
        <v>112</v>
      </c>
      <c r="V76" s="287" t="s">
        <v>215</v>
      </c>
      <c r="W76" s="287" t="s">
        <v>192</v>
      </c>
      <c r="Z76" s="1"/>
    </row>
    <row r="77" spans="1:26" s="264" customFormat="1" x14ac:dyDescent="0.25">
      <c r="A77" s="148" t="s">
        <v>156</v>
      </c>
      <c r="B77" s="46">
        <v>2014</v>
      </c>
      <c r="C77" s="179" t="s">
        <v>113</v>
      </c>
      <c r="D77" s="180">
        <v>5626</v>
      </c>
      <c r="E77" s="180">
        <v>8946</v>
      </c>
      <c r="F77" s="200">
        <v>652297</v>
      </c>
      <c r="G77" s="181">
        <v>0.24212</v>
      </c>
      <c r="H77" s="201">
        <f t="shared" ref="H77:H83" si="29">F77*G77</f>
        <v>157934.14963999999</v>
      </c>
      <c r="I77" s="200">
        <v>3556872</v>
      </c>
      <c r="J77" s="181">
        <v>4.8599999999999997E-2</v>
      </c>
      <c r="K77" s="201">
        <f>I77*J77</f>
        <v>172863.9792</v>
      </c>
      <c r="L77" s="294">
        <v>9000</v>
      </c>
      <c r="M77" s="181">
        <v>7.6</v>
      </c>
      <c r="N77" s="201">
        <f>L77*M77</f>
        <v>68400</v>
      </c>
      <c r="O77" s="200">
        <f>+I77+F77</f>
        <v>4209169</v>
      </c>
      <c r="P77" s="148">
        <v>-2.4000000000000001E-4</v>
      </c>
      <c r="Q77" s="201">
        <f>O77*P77</f>
        <v>-1010.20056</v>
      </c>
      <c r="R77" s="171">
        <v>7782.28</v>
      </c>
      <c r="S77" s="171"/>
      <c r="T77" s="171">
        <v>25</v>
      </c>
      <c r="U77" s="479">
        <f>+H77+K77+N77+Q77+R77+S77+T77</f>
        <v>405995.20828000002</v>
      </c>
      <c r="V77" s="288">
        <f>(O77-O99)/O99</f>
        <v>1.6986299384009869E-2</v>
      </c>
      <c r="W77" s="288">
        <f>(U77-U99)/U99</f>
        <v>-0.13068222415074787</v>
      </c>
    </row>
    <row r="78" spans="1:26" s="264" customFormat="1" x14ac:dyDescent="0.25">
      <c r="A78" s="148" t="s">
        <v>157</v>
      </c>
      <c r="B78" s="46">
        <v>2014</v>
      </c>
      <c r="C78" s="179" t="s">
        <v>114</v>
      </c>
      <c r="D78" s="180">
        <v>7080</v>
      </c>
      <c r="E78" s="180">
        <v>8733</v>
      </c>
      <c r="F78" s="200">
        <v>738123</v>
      </c>
      <c r="G78" s="181">
        <v>0.24212</v>
      </c>
      <c r="H78" s="201">
        <f t="shared" si="29"/>
        <v>178714.34075999999</v>
      </c>
      <c r="I78" s="200">
        <v>3952649</v>
      </c>
      <c r="J78" s="181">
        <v>4.8599999999999997E-2</v>
      </c>
      <c r="K78" s="201">
        <f t="shared" ref="K78:K88" si="30">I78*J78</f>
        <v>192098.7414</v>
      </c>
      <c r="L78" s="294">
        <v>9000</v>
      </c>
      <c r="M78" s="181">
        <v>7.6</v>
      </c>
      <c r="N78" s="201">
        <f t="shared" ref="N78:N88" si="31">L78*M78</f>
        <v>68400</v>
      </c>
      <c r="O78" s="200">
        <f>+I78+F78</f>
        <v>4690772</v>
      </c>
      <c r="P78" s="148">
        <v>-2.5999999999999999E-3</v>
      </c>
      <c r="Q78" s="201">
        <f t="shared" ref="Q78:Q88" si="32">O78*P78</f>
        <v>-12196.0072</v>
      </c>
      <c r="R78" s="171">
        <v>8345.68</v>
      </c>
      <c r="S78" s="171"/>
      <c r="T78" s="171">
        <v>25</v>
      </c>
      <c r="U78" s="479">
        <f t="shared" ref="U78:U88" si="33">+H78+K78+N78+Q78+R78+S78+T78</f>
        <v>435387.75495999999</v>
      </c>
      <c r="V78" s="288">
        <f t="shared" ref="V78:V89" si="34">(O78-O100)/O100</f>
        <v>0.11690259831173073</v>
      </c>
      <c r="W78" s="525">
        <f t="shared" ref="W78:W88" si="35">(U78-U100)/U100</f>
        <v>-3.0660080144145112E-2</v>
      </c>
    </row>
    <row r="79" spans="1:26" s="264" customFormat="1" x14ac:dyDescent="0.25">
      <c r="A79" s="148" t="s">
        <v>158</v>
      </c>
      <c r="B79" s="46">
        <v>2014</v>
      </c>
      <c r="C79" s="179" t="s">
        <v>115</v>
      </c>
      <c r="D79" s="180">
        <v>7187</v>
      </c>
      <c r="E79" s="180">
        <v>10755</v>
      </c>
      <c r="F79" s="200">
        <v>771392</v>
      </c>
      <c r="G79" s="181">
        <v>0.24212</v>
      </c>
      <c r="H79" s="201">
        <f t="shared" si="29"/>
        <v>186769.43104</v>
      </c>
      <c r="I79" s="200">
        <v>4036755</v>
      </c>
      <c r="J79" s="181">
        <v>4.8599999999999997E-2</v>
      </c>
      <c r="K79" s="201">
        <f t="shared" si="30"/>
        <v>196186.29299999998</v>
      </c>
      <c r="L79" s="251">
        <v>10755</v>
      </c>
      <c r="M79" s="181">
        <v>7.6</v>
      </c>
      <c r="N79" s="201">
        <f t="shared" si="31"/>
        <v>81738</v>
      </c>
      <c r="O79" s="200">
        <f>+I79+F79</f>
        <v>4808147</v>
      </c>
      <c r="P79" s="148">
        <v>-8.5800000000000008E-3</v>
      </c>
      <c r="Q79" s="201">
        <f t="shared" si="32"/>
        <v>-41253.901260000006</v>
      </c>
      <c r="R79" s="171">
        <v>8275.77</v>
      </c>
      <c r="S79" s="171"/>
      <c r="T79" s="171">
        <v>25</v>
      </c>
      <c r="U79" s="479">
        <f t="shared" si="33"/>
        <v>431740.59278000001</v>
      </c>
      <c r="V79" s="288">
        <f t="shared" si="34"/>
        <v>5.565787046583795E-3</v>
      </c>
      <c r="W79" s="525">
        <f t="shared" si="35"/>
        <v>-6.4317604494337322E-2</v>
      </c>
    </row>
    <row r="80" spans="1:26" s="264" customFormat="1" x14ac:dyDescent="0.25">
      <c r="A80" s="148" t="s">
        <v>159</v>
      </c>
      <c r="B80" s="46">
        <v>2014</v>
      </c>
      <c r="C80" s="179" t="s">
        <v>116</v>
      </c>
      <c r="D80" s="180">
        <v>5705</v>
      </c>
      <c r="E80" s="180">
        <v>8020</v>
      </c>
      <c r="F80" s="200">
        <v>158594</v>
      </c>
      <c r="G80" s="181">
        <v>0.24212</v>
      </c>
      <c r="H80" s="201">
        <f t="shared" si="29"/>
        <v>38398.779280000002</v>
      </c>
      <c r="I80" s="200">
        <v>3128944</v>
      </c>
      <c r="J80" s="181">
        <v>4.8599999999999997E-2</v>
      </c>
      <c r="K80" s="201">
        <f t="shared" si="30"/>
        <v>152066.6784</v>
      </c>
      <c r="L80" s="294">
        <v>9000</v>
      </c>
      <c r="M80" s="181">
        <v>7.6</v>
      </c>
      <c r="N80" s="201">
        <f t="shared" si="31"/>
        <v>68400</v>
      </c>
      <c r="O80" s="200">
        <f t="shared" ref="O80:O88" si="36">+I80+F80</f>
        <v>3287538</v>
      </c>
      <c r="P80" s="148">
        <v>-8.6210000000000002E-3</v>
      </c>
      <c r="Q80" s="201">
        <f t="shared" si="32"/>
        <v>-28341.865098000002</v>
      </c>
      <c r="R80" s="171">
        <v>6310.11</v>
      </c>
      <c r="S80" s="171"/>
      <c r="T80" s="171">
        <v>25</v>
      </c>
      <c r="U80" s="479">
        <f t="shared" si="33"/>
        <v>236858.70258199997</v>
      </c>
      <c r="V80" s="288">
        <f t="shared" si="34"/>
        <v>-0.11757236024319559</v>
      </c>
      <c r="W80" s="525">
        <f t="shared" si="35"/>
        <v>-0.16453794596185689</v>
      </c>
    </row>
    <row r="81" spans="1:23" s="264" customFormat="1" x14ac:dyDescent="0.25">
      <c r="A81" s="148" t="s">
        <v>160</v>
      </c>
      <c r="B81" s="46">
        <v>2014</v>
      </c>
      <c r="C81" s="179" t="s">
        <v>117</v>
      </c>
      <c r="D81" s="180">
        <v>0</v>
      </c>
      <c r="E81" s="180">
        <v>6880</v>
      </c>
      <c r="F81" s="200">
        <v>0</v>
      </c>
      <c r="G81" s="181">
        <v>0.24212</v>
      </c>
      <c r="H81" s="201">
        <f t="shared" si="29"/>
        <v>0</v>
      </c>
      <c r="I81" s="200">
        <v>2764959</v>
      </c>
      <c r="J81" s="181">
        <v>4.8599999999999997E-2</v>
      </c>
      <c r="K81" s="201">
        <f t="shared" si="30"/>
        <v>134377.0074</v>
      </c>
      <c r="L81" s="294">
        <v>9000</v>
      </c>
      <c r="M81" s="181">
        <v>7.6</v>
      </c>
      <c r="N81" s="201">
        <f t="shared" si="31"/>
        <v>68400</v>
      </c>
      <c r="O81" s="200">
        <f t="shared" si="36"/>
        <v>2764959</v>
      </c>
      <c r="P81" s="148">
        <v>-1.345E-2</v>
      </c>
      <c r="Q81" s="201">
        <f t="shared" si="32"/>
        <v>-37188.698550000001</v>
      </c>
      <c r="R81" s="171">
        <v>4532.84</v>
      </c>
      <c r="S81" s="171"/>
      <c r="T81" s="171">
        <v>25</v>
      </c>
      <c r="U81" s="479">
        <f t="shared" si="33"/>
        <v>170146.14885</v>
      </c>
      <c r="V81" s="288">
        <f t="shared" si="34"/>
        <v>-0.12331870485143281</v>
      </c>
      <c r="W81" s="525">
        <f t="shared" si="35"/>
        <v>-6.57040827391491E-2</v>
      </c>
    </row>
    <row r="82" spans="1:23" s="264" customFormat="1" x14ac:dyDescent="0.25">
      <c r="A82" s="148" t="s">
        <v>161</v>
      </c>
      <c r="B82" s="46">
        <v>2014</v>
      </c>
      <c r="C82" s="179" t="s">
        <v>118</v>
      </c>
      <c r="D82" s="180">
        <v>0</v>
      </c>
      <c r="E82" s="180">
        <v>5522</v>
      </c>
      <c r="F82" s="200">
        <v>0</v>
      </c>
      <c r="G82" s="181">
        <v>0.24212</v>
      </c>
      <c r="H82" s="201">
        <f t="shared" si="29"/>
        <v>0</v>
      </c>
      <c r="I82" s="200">
        <v>2060240</v>
      </c>
      <c r="J82" s="181">
        <v>4.8599999999999997E-2</v>
      </c>
      <c r="K82" s="201">
        <f t="shared" si="30"/>
        <v>100127.66399999999</v>
      </c>
      <c r="L82" s="294">
        <v>9000</v>
      </c>
      <c r="M82" s="181">
        <v>7.6</v>
      </c>
      <c r="N82" s="201">
        <f t="shared" si="31"/>
        <v>68400</v>
      </c>
      <c r="O82" s="200">
        <f t="shared" si="36"/>
        <v>2060240</v>
      </c>
      <c r="P82" s="148">
        <v>-1.5238E-2</v>
      </c>
      <c r="Q82" s="201">
        <f t="shared" si="32"/>
        <v>-31393.937119999999</v>
      </c>
      <c r="R82" s="171">
        <v>3754.03</v>
      </c>
      <c r="S82" s="171"/>
      <c r="T82" s="171">
        <v>25</v>
      </c>
      <c r="U82" s="479">
        <f t="shared" si="33"/>
        <v>140912.75688</v>
      </c>
      <c r="V82" s="288">
        <f t="shared" si="34"/>
        <v>-0.15546628407460544</v>
      </c>
      <c r="W82" s="525">
        <f t="shared" si="35"/>
        <v>-0.23877208836547087</v>
      </c>
    </row>
    <row r="83" spans="1:23" s="264" customFormat="1" x14ac:dyDescent="0.25">
      <c r="A83" s="148" t="s">
        <v>162</v>
      </c>
      <c r="B83" s="46">
        <v>2014</v>
      </c>
      <c r="C83" s="179" t="s">
        <v>119</v>
      </c>
      <c r="D83" s="180">
        <v>0</v>
      </c>
      <c r="E83" s="180">
        <v>5637</v>
      </c>
      <c r="F83" s="200">
        <v>0</v>
      </c>
      <c r="G83" s="181">
        <v>0.24212</v>
      </c>
      <c r="H83" s="201">
        <f t="shared" si="29"/>
        <v>0</v>
      </c>
      <c r="I83" s="200">
        <v>1649302</v>
      </c>
      <c r="J83" s="181">
        <v>4.8599999999999997E-2</v>
      </c>
      <c r="K83" s="201">
        <f t="shared" si="30"/>
        <v>80156.0772</v>
      </c>
      <c r="L83" s="294">
        <v>9000</v>
      </c>
      <c r="M83" s="181">
        <v>7.6</v>
      </c>
      <c r="N83" s="201">
        <f t="shared" si="31"/>
        <v>68400</v>
      </c>
      <c r="O83" s="200">
        <f t="shared" si="36"/>
        <v>1649302</v>
      </c>
      <c r="P83" s="148">
        <v>-1.8905999999999999E-2</v>
      </c>
      <c r="Q83" s="201">
        <f t="shared" si="32"/>
        <v>-31181.703611999998</v>
      </c>
      <c r="R83" s="171">
        <v>3213.22</v>
      </c>
      <c r="S83" s="171"/>
      <c r="T83" s="171">
        <v>25</v>
      </c>
      <c r="U83" s="479">
        <f t="shared" si="33"/>
        <v>120612.593588</v>
      </c>
      <c r="V83" s="288">
        <f t="shared" si="34"/>
        <v>-0.32235132669915278</v>
      </c>
      <c r="W83" s="525">
        <f t="shared" si="35"/>
        <v>-0.24093863757100245</v>
      </c>
    </row>
    <row r="84" spans="1:23" s="264" customFormat="1" x14ac:dyDescent="0.25">
      <c r="A84" s="148" t="s">
        <v>163</v>
      </c>
      <c r="B84" s="46">
        <v>2014</v>
      </c>
      <c r="C84" s="179" t="s">
        <v>120</v>
      </c>
      <c r="D84" s="180">
        <v>0</v>
      </c>
      <c r="E84" s="180">
        <v>6829</v>
      </c>
      <c r="F84" s="200">
        <v>0</v>
      </c>
      <c r="G84" s="181">
        <v>0.24212</v>
      </c>
      <c r="H84" s="201">
        <v>0</v>
      </c>
      <c r="I84" s="200">
        <v>2375140</v>
      </c>
      <c r="J84" s="181">
        <v>4.8599999999999997E-2</v>
      </c>
      <c r="K84" s="201">
        <f t="shared" si="30"/>
        <v>115431.80399999999</v>
      </c>
      <c r="L84" s="294">
        <v>9000</v>
      </c>
      <c r="M84" s="181">
        <v>7.6</v>
      </c>
      <c r="N84" s="201">
        <f t="shared" si="31"/>
        <v>68400</v>
      </c>
      <c r="O84" s="200">
        <f t="shared" si="36"/>
        <v>2375140</v>
      </c>
      <c r="P84" s="148">
        <v>-1.3925999999999999E-2</v>
      </c>
      <c r="Q84" s="201">
        <f t="shared" si="32"/>
        <v>-33076.199639999999</v>
      </c>
      <c r="R84" s="171">
        <v>4126.87</v>
      </c>
      <c r="S84" s="171"/>
      <c r="T84" s="171">
        <v>25</v>
      </c>
      <c r="U84" s="479">
        <f t="shared" si="33"/>
        <v>154907.47435999999</v>
      </c>
      <c r="V84" s="288">
        <f t="shared" si="34"/>
        <v>-0.11086470516888457</v>
      </c>
      <c r="W84" s="525">
        <f t="shared" si="35"/>
        <v>-0.203085296607908</v>
      </c>
    </row>
    <row r="85" spans="1:23" s="264" customFormat="1" x14ac:dyDescent="0.25">
      <c r="A85" s="148" t="s">
        <v>164</v>
      </c>
      <c r="B85" s="46">
        <v>2014</v>
      </c>
      <c r="C85" s="179" t="s">
        <v>121</v>
      </c>
      <c r="D85" s="180">
        <v>0</v>
      </c>
      <c r="E85" s="180">
        <v>6977</v>
      </c>
      <c r="F85" s="200">
        <v>0</v>
      </c>
      <c r="G85" s="181">
        <v>0.24212</v>
      </c>
      <c r="H85" s="201">
        <f>F85*G85</f>
        <v>0</v>
      </c>
      <c r="I85" s="200">
        <v>2052879</v>
      </c>
      <c r="J85" s="181">
        <v>4.8599999999999997E-2</v>
      </c>
      <c r="K85" s="201">
        <f t="shared" si="30"/>
        <v>99769.919399999999</v>
      </c>
      <c r="L85" s="294">
        <v>9000</v>
      </c>
      <c r="M85" s="181">
        <v>7.6</v>
      </c>
      <c r="N85" s="201">
        <f t="shared" si="31"/>
        <v>68400</v>
      </c>
      <c r="O85" s="200">
        <f t="shared" si="36"/>
        <v>2052879</v>
      </c>
      <c r="P85" s="148">
        <v>-1.0362E-2</v>
      </c>
      <c r="Q85" s="201">
        <f t="shared" si="32"/>
        <v>-21271.932197999999</v>
      </c>
      <c r="R85" s="171">
        <v>4021.28</v>
      </c>
      <c r="S85" s="171"/>
      <c r="T85" s="171">
        <v>25</v>
      </c>
      <c r="U85" s="479">
        <f t="shared" si="33"/>
        <v>150944.26720200002</v>
      </c>
      <c r="V85" s="288">
        <f t="shared" si="34"/>
        <v>-0.23789167548977533</v>
      </c>
      <c r="W85" s="525">
        <f t="shared" si="35"/>
        <v>-0.15172584279215276</v>
      </c>
    </row>
    <row r="86" spans="1:23" s="264" customFormat="1" x14ac:dyDescent="0.25">
      <c r="A86" s="148" t="s">
        <v>165</v>
      </c>
      <c r="B86" s="46">
        <v>2014</v>
      </c>
      <c r="C86" s="179" t="s">
        <v>122</v>
      </c>
      <c r="D86" s="180">
        <v>0</v>
      </c>
      <c r="E86" s="180">
        <v>8308</v>
      </c>
      <c r="F86" s="200">
        <v>0</v>
      </c>
      <c r="G86" s="181">
        <v>0.24212</v>
      </c>
      <c r="H86" s="201">
        <f>F86*G86</f>
        <v>0</v>
      </c>
      <c r="I86" s="200">
        <v>2684667</v>
      </c>
      <c r="J86" s="181">
        <v>4.8599999999999997E-2</v>
      </c>
      <c r="K86" s="201">
        <f t="shared" si="30"/>
        <v>130474.81619999999</v>
      </c>
      <c r="L86" s="294">
        <v>9000</v>
      </c>
      <c r="M86" s="181">
        <v>7.6</v>
      </c>
      <c r="N86" s="201">
        <f t="shared" si="31"/>
        <v>68400</v>
      </c>
      <c r="O86" s="200">
        <f t="shared" si="36"/>
        <v>2684667</v>
      </c>
      <c r="P86" s="148">
        <v>-1.1847E-2</v>
      </c>
      <c r="Q86" s="201">
        <f t="shared" si="32"/>
        <v>-31805.249949000001</v>
      </c>
      <c r="R86" s="171">
        <v>4573.38</v>
      </c>
      <c r="S86" s="171"/>
      <c r="T86" s="171">
        <v>25</v>
      </c>
      <c r="U86" s="479">
        <f t="shared" si="33"/>
        <v>171667.94625100002</v>
      </c>
      <c r="V86" s="288">
        <f t="shared" si="34"/>
        <v>-0.1620233045722371</v>
      </c>
      <c r="W86" s="525">
        <f t="shared" si="35"/>
        <v>-0.13495736958363524</v>
      </c>
    </row>
    <row r="87" spans="1:23" s="264" customFormat="1" x14ac:dyDescent="0.25">
      <c r="A87" s="148" t="s">
        <v>166</v>
      </c>
      <c r="B87" s="46">
        <v>2014</v>
      </c>
      <c r="C87" s="179" t="s">
        <v>123</v>
      </c>
      <c r="D87" s="180">
        <v>0</v>
      </c>
      <c r="E87" s="180">
        <v>6497</v>
      </c>
      <c r="F87" s="200">
        <v>0</v>
      </c>
      <c r="G87" s="181">
        <v>0.24212</v>
      </c>
      <c r="H87" s="201">
        <f>F87*G87</f>
        <v>0</v>
      </c>
      <c r="I87" s="200">
        <v>2313159</v>
      </c>
      <c r="J87" s="181">
        <v>4.8599999999999997E-2</v>
      </c>
      <c r="K87" s="201">
        <f t="shared" si="30"/>
        <v>112419.52739999999</v>
      </c>
      <c r="L87" s="294">
        <v>9000</v>
      </c>
      <c r="M87" s="181">
        <v>7.6</v>
      </c>
      <c r="N87" s="201">
        <f t="shared" si="31"/>
        <v>68400</v>
      </c>
      <c r="O87" s="200">
        <f t="shared" si="36"/>
        <v>2313159</v>
      </c>
      <c r="P87" s="148">
        <v>-1.1828999999999999E-2</v>
      </c>
      <c r="Q87" s="201">
        <f t="shared" si="32"/>
        <v>-27362.357810999998</v>
      </c>
      <c r="R87" s="171">
        <v>4200.8100000000004</v>
      </c>
      <c r="S87" s="171"/>
      <c r="T87" s="171">
        <v>25</v>
      </c>
      <c r="U87" s="479">
        <f t="shared" si="33"/>
        <v>157682.979589</v>
      </c>
      <c r="V87" s="288">
        <f t="shared" si="34"/>
        <v>-0.24730155166270493</v>
      </c>
      <c r="W87" s="525">
        <f t="shared" si="35"/>
        <v>-0.11132036211698342</v>
      </c>
    </row>
    <row r="88" spans="1:23" s="264" customFormat="1" x14ac:dyDescent="0.25">
      <c r="A88" s="148" t="s">
        <v>167</v>
      </c>
      <c r="B88" s="46">
        <v>2014</v>
      </c>
      <c r="C88" s="179" t="s">
        <v>124</v>
      </c>
      <c r="D88" s="180">
        <v>5366</v>
      </c>
      <c r="E88" s="180">
        <v>5918</v>
      </c>
      <c r="F88" s="200">
        <v>308504</v>
      </c>
      <c r="G88" s="181">
        <v>0.24212</v>
      </c>
      <c r="H88" s="201">
        <f>F88*G88</f>
        <v>74694.98848</v>
      </c>
      <c r="I88" s="200">
        <v>2319996</v>
      </c>
      <c r="J88" s="181">
        <v>4.8599999999999997E-2</v>
      </c>
      <c r="K88" s="201">
        <f t="shared" si="30"/>
        <v>112751.80559999999</v>
      </c>
      <c r="L88" s="294">
        <v>9000</v>
      </c>
      <c r="M88" s="181">
        <v>7.6</v>
      </c>
      <c r="N88" s="201">
        <f t="shared" si="31"/>
        <v>68400</v>
      </c>
      <c r="O88" s="200">
        <f t="shared" si="36"/>
        <v>2628500</v>
      </c>
      <c r="P88" s="148">
        <v>-6.4099999999999999E-3</v>
      </c>
      <c r="Q88" s="201">
        <f t="shared" si="32"/>
        <v>-16848.685000000001</v>
      </c>
      <c r="R88" s="171">
        <v>6542.06</v>
      </c>
      <c r="S88" s="171"/>
      <c r="T88" s="171">
        <v>25</v>
      </c>
      <c r="U88" s="479">
        <f t="shared" si="33"/>
        <v>245565.16907999999</v>
      </c>
      <c r="V88" s="288">
        <f t="shared" si="34"/>
        <v>-0.33119566998494715</v>
      </c>
      <c r="W88" s="525">
        <f t="shared" si="35"/>
        <v>-0.28371018165930462</v>
      </c>
    </row>
    <row r="89" spans="1:23" s="264" customFormat="1" x14ac:dyDescent="0.25">
      <c r="A89" s="183" t="s">
        <v>125</v>
      </c>
      <c r="B89" s="184"/>
      <c r="C89" s="184"/>
      <c r="D89" s="185">
        <f>SUM(D77:D88)</f>
        <v>30964</v>
      </c>
      <c r="E89" s="185">
        <f>SUM(E77:E88)</f>
        <v>89022</v>
      </c>
      <c r="F89" s="202">
        <f>SUM(F77:F88)</f>
        <v>2628910</v>
      </c>
      <c r="G89" s="187"/>
      <c r="H89" s="203">
        <f>SUM(H77:H88)</f>
        <v>636511.68919999991</v>
      </c>
      <c r="I89" s="202">
        <f>SUM(I77:I88)</f>
        <v>32895562</v>
      </c>
      <c r="J89" s="187"/>
      <c r="K89" s="203">
        <f>SUM(K77:K88)</f>
        <v>1598724.3132</v>
      </c>
      <c r="L89" s="202">
        <f>SUM(L77:L88)</f>
        <v>109755</v>
      </c>
      <c r="M89" s="187"/>
      <c r="N89" s="203">
        <f>SUM(N77:N88)</f>
        <v>834138</v>
      </c>
      <c r="O89" s="202">
        <f>SUM(O77:O88)</f>
        <v>35524472</v>
      </c>
      <c r="P89" s="186"/>
      <c r="Q89" s="203">
        <f>SUM(Q77:Q88)</f>
        <v>-312930.737998</v>
      </c>
      <c r="R89" s="188">
        <f>SUM(R77:R88)</f>
        <v>65678.33</v>
      </c>
      <c r="S89" s="188">
        <f>SUM(S77:S88)</f>
        <v>0</v>
      </c>
      <c r="T89" s="186">
        <f>SUM(T77:T88)</f>
        <v>300</v>
      </c>
      <c r="U89" s="481">
        <f>SUM(U77:U88)</f>
        <v>2822421.5944019998</v>
      </c>
      <c r="V89" s="308">
        <f t="shared" si="34"/>
        <v>-0.12166071270287869</v>
      </c>
      <c r="W89" s="525">
        <f>(U89-U111)/U111</f>
        <v>-0.13905233886987578</v>
      </c>
    </row>
    <row r="90" spans="1:23" s="264" customFormat="1" x14ac:dyDescent="0.25">
      <c r="A90" s="189" t="s">
        <v>126</v>
      </c>
      <c r="B90" s="190"/>
      <c r="C90" s="190"/>
      <c r="D90" s="185"/>
      <c r="E90" s="185"/>
      <c r="F90" s="204">
        <f>AVERAGE(F77:F88)</f>
        <v>219075.83333333334</v>
      </c>
      <c r="G90" s="192"/>
      <c r="H90" s="205">
        <f>AVERAGE(H77:H88)</f>
        <v>53042.640766666656</v>
      </c>
      <c r="I90" s="204">
        <f>AVERAGE(I77:I88)</f>
        <v>2741296.8333333335</v>
      </c>
      <c r="J90" s="192"/>
      <c r="K90" s="205">
        <f>AVERAGE(K77:K88)</f>
        <v>133227.02609999999</v>
      </c>
      <c r="L90" s="204">
        <f>AVERAGE(L77:L88)</f>
        <v>9146.25</v>
      </c>
      <c r="M90" s="192"/>
      <c r="N90" s="205">
        <f>AVERAGE(N77:N88)</f>
        <v>69511.5</v>
      </c>
      <c r="O90" s="204">
        <f>AVERAGE(O77:O88)</f>
        <v>2960372.6666666665</v>
      </c>
      <c r="P90" s="191"/>
      <c r="Q90" s="205">
        <f>AVERAGE(Q77:Q88)</f>
        <v>-26077.561499833333</v>
      </c>
      <c r="R90" s="193"/>
      <c r="S90" s="193"/>
      <c r="T90" s="191"/>
      <c r="U90" s="483">
        <f>AVERAGE(U77:U88)</f>
        <v>235201.79953349999</v>
      </c>
      <c r="V90" s="289"/>
      <c r="W90" s="289"/>
    </row>
    <row r="91" spans="1:23" s="264" customFormat="1" x14ac:dyDescent="0.25">
      <c r="A91" s="189"/>
      <c r="B91" s="190"/>
      <c r="C91" s="190"/>
      <c r="D91" s="185"/>
      <c r="E91" s="185"/>
      <c r="F91" s="204"/>
      <c r="G91" s="192"/>
      <c r="H91" s="205"/>
      <c r="I91" s="204"/>
      <c r="J91" s="192"/>
      <c r="K91" s="205"/>
      <c r="L91" s="204"/>
      <c r="M91" s="314" t="s">
        <v>220</v>
      </c>
      <c r="N91" s="315">
        <f>((68400*12)-N89)</f>
        <v>-13338</v>
      </c>
      <c r="O91" s="204"/>
      <c r="P91" s="191"/>
      <c r="Q91" s="205"/>
      <c r="R91" s="193"/>
      <c r="S91" s="193"/>
      <c r="T91" s="191"/>
      <c r="U91" s="483"/>
      <c r="V91" s="290"/>
      <c r="W91" s="290"/>
    </row>
    <row r="92" spans="1:23" s="264" customFormat="1" ht="26.25" x14ac:dyDescent="0.25">
      <c r="A92" s="237" t="s">
        <v>224</v>
      </c>
      <c r="B92" s="238"/>
      <c r="C92" s="238"/>
      <c r="D92" s="248">
        <f>(D89-D111)/D111</f>
        <v>-0.21223222917620718</v>
      </c>
      <c r="E92" s="248">
        <f>(E89-E111)/E111</f>
        <v>-0.14764991430732552</v>
      </c>
      <c r="F92" s="248">
        <f>(F89-F111)/F111</f>
        <v>-0.12575318658741752</v>
      </c>
      <c r="G92" s="235"/>
      <c r="H92" s="236"/>
      <c r="I92" s="248">
        <f>(I89-I111)/I111</f>
        <v>-0.12133200106800611</v>
      </c>
      <c r="J92" s="235"/>
      <c r="K92" s="236"/>
      <c r="L92" s="248">
        <f>(L89-L111)/L111</f>
        <v>-7.837500677984487E-3</v>
      </c>
      <c r="M92" s="235"/>
      <c r="N92" s="236">
        <f>(N89-N111)</f>
        <v>-6589.1999999999534</v>
      </c>
      <c r="O92" s="248">
        <f>(O89-O111)/O111</f>
        <v>-0.12166071270287869</v>
      </c>
      <c r="P92" s="235">
        <f>AVERAGE(P77:P88)</f>
        <v>-1.0167416666666665E-2</v>
      </c>
      <c r="Q92" s="236"/>
      <c r="R92" s="248">
        <f>(R89-R111)/R111</f>
        <v>-4.5279858730387576E-2</v>
      </c>
      <c r="S92" s="235"/>
      <c r="T92" s="235"/>
      <c r="U92" s="508">
        <f>(U89)</f>
        <v>2822421.5944019998</v>
      </c>
      <c r="V92" s="290"/>
      <c r="W92" s="290"/>
    </row>
    <row r="93" spans="1:23" s="264" customFormat="1" x14ac:dyDescent="0.25">
      <c r="A93" s="242"/>
      <c r="B93" s="243"/>
      <c r="C93" s="243"/>
      <c r="D93" s="316"/>
      <c r="E93" s="316"/>
      <c r="F93" s="316"/>
      <c r="G93" s="317"/>
      <c r="H93" s="318"/>
      <c r="I93" s="316"/>
      <c r="J93" s="317"/>
      <c r="K93" s="318"/>
      <c r="L93" s="316"/>
      <c r="M93" s="319"/>
      <c r="N93" s="320"/>
      <c r="O93" s="316"/>
      <c r="P93" s="317"/>
      <c r="Q93" s="318"/>
      <c r="R93" s="316"/>
      <c r="S93" s="317"/>
      <c r="T93" s="317"/>
      <c r="U93" s="317"/>
      <c r="V93" s="286"/>
      <c r="W93" s="286"/>
    </row>
    <row r="94" spans="1:23" s="264" customFormat="1" x14ac:dyDescent="0.25">
      <c r="F94" s="196"/>
      <c r="H94" s="197"/>
      <c r="I94" s="196"/>
      <c r="K94" s="197"/>
      <c r="L94" s="196"/>
      <c r="N94" s="197"/>
      <c r="O94" s="196">
        <f>+O89-O110</f>
        <v>31594324</v>
      </c>
      <c r="Q94" s="197"/>
      <c r="U94" s="448"/>
      <c r="V94" s="283"/>
      <c r="W94" s="283"/>
    </row>
    <row r="95" spans="1:23" s="264" customFormat="1" x14ac:dyDescent="0.25">
      <c r="F95" s="196"/>
      <c r="H95" s="197"/>
      <c r="I95" s="196"/>
      <c r="K95" s="197"/>
      <c r="L95" s="196"/>
      <c r="N95" s="197"/>
      <c r="O95" s="196"/>
      <c r="Q95" s="197"/>
      <c r="U95" s="448"/>
      <c r="V95" s="283"/>
      <c r="W95" s="283"/>
    </row>
    <row r="96" spans="1:23" x14ac:dyDescent="0.25">
      <c r="A96" s="264"/>
      <c r="B96" s="264"/>
      <c r="C96" s="264"/>
      <c r="D96" s="264"/>
      <c r="E96" s="264"/>
      <c r="G96" s="264"/>
      <c r="J96" s="264"/>
      <c r="M96" s="264"/>
      <c r="P96" s="264"/>
      <c r="R96" s="264"/>
      <c r="S96" s="264"/>
      <c r="T96" s="264"/>
      <c r="U96" s="448"/>
      <c r="W96" s="283"/>
    </row>
    <row r="97" spans="1:22" ht="75" x14ac:dyDescent="0.25">
      <c r="A97" s="176" t="s">
        <v>186</v>
      </c>
      <c r="U97" s="448"/>
      <c r="V97" s="287" t="s">
        <v>191</v>
      </c>
    </row>
    <row r="98" spans="1:22" ht="45" x14ac:dyDescent="0.25">
      <c r="A98" s="177" t="s">
        <v>95</v>
      </c>
      <c r="B98" s="43" t="s">
        <v>96</v>
      </c>
      <c r="C98" s="43" t="s">
        <v>153</v>
      </c>
      <c r="D98" s="178" t="s">
        <v>97</v>
      </c>
      <c r="E98" s="178" t="s">
        <v>98</v>
      </c>
      <c r="F98" s="198" t="s">
        <v>99</v>
      </c>
      <c r="G98" s="177" t="s">
        <v>100</v>
      </c>
      <c r="H98" s="199" t="s">
        <v>101</v>
      </c>
      <c r="I98" s="198" t="s">
        <v>102</v>
      </c>
      <c r="J98" s="177" t="s">
        <v>103</v>
      </c>
      <c r="K98" s="199" t="s">
        <v>104</v>
      </c>
      <c r="L98" s="198" t="s">
        <v>154</v>
      </c>
      <c r="M98" s="177" t="s">
        <v>155</v>
      </c>
      <c r="N98" s="199" t="s">
        <v>105</v>
      </c>
      <c r="O98" s="198" t="s">
        <v>106</v>
      </c>
      <c r="P98" s="177" t="s">
        <v>107</v>
      </c>
      <c r="Q98" s="199" t="s">
        <v>108</v>
      </c>
      <c r="R98" s="177" t="s">
        <v>109</v>
      </c>
      <c r="S98" s="177" t="s">
        <v>110</v>
      </c>
      <c r="T98" s="177" t="s">
        <v>111</v>
      </c>
      <c r="U98" s="476" t="s">
        <v>112</v>
      </c>
      <c r="V98" s="288">
        <f t="shared" ref="V98:V110" si="37">(O99-O120)/O120</f>
        <v>-0.22818684939660855</v>
      </c>
    </row>
    <row r="99" spans="1:22" x14ac:dyDescent="0.25">
      <c r="A99" s="148" t="s">
        <v>156</v>
      </c>
      <c r="B99" s="46">
        <v>2014</v>
      </c>
      <c r="C99" s="179" t="s">
        <v>113</v>
      </c>
      <c r="D99" s="180">
        <v>6252</v>
      </c>
      <c r="E99" s="180">
        <v>9059</v>
      </c>
      <c r="F99" s="200">
        <v>709954</v>
      </c>
      <c r="G99" s="181">
        <v>0.24212</v>
      </c>
      <c r="H99" s="201">
        <f>F99*G99</f>
        <v>171894.06247999999</v>
      </c>
      <c r="I99" s="200">
        <v>3428911</v>
      </c>
      <c r="J99" s="181">
        <v>4.8599999999999997E-2</v>
      </c>
      <c r="K99" s="201">
        <f>I99*J99</f>
        <v>166645.07459999999</v>
      </c>
      <c r="L99" s="251">
        <v>9059</v>
      </c>
      <c r="M99" s="181">
        <v>7.6</v>
      </c>
      <c r="N99" s="201">
        <f>L99*M99</f>
        <v>68848.399999999994</v>
      </c>
      <c r="O99" s="200">
        <f>+I99+F99</f>
        <v>4138865</v>
      </c>
      <c r="P99" s="148">
        <v>1.0891E-2</v>
      </c>
      <c r="Q99" s="201">
        <f>O99*P99</f>
        <v>45076.378714999999</v>
      </c>
      <c r="R99" s="171">
        <v>14538.47</v>
      </c>
      <c r="S99" s="171">
        <v>0</v>
      </c>
      <c r="T99" s="171">
        <v>25</v>
      </c>
      <c r="U99" s="479">
        <f>+H99+K99+N99+Q99+R99+S99+T99</f>
        <v>467027.38579500001</v>
      </c>
      <c r="V99" s="288">
        <f t="shared" si="37"/>
        <v>-0.18107955910385642</v>
      </c>
    </row>
    <row r="100" spans="1:22" x14ac:dyDescent="0.25">
      <c r="A100" s="148" t="s">
        <v>157</v>
      </c>
      <c r="B100" s="46">
        <v>2014</v>
      </c>
      <c r="C100" s="179" t="s">
        <v>114</v>
      </c>
      <c r="D100" s="180">
        <v>6970</v>
      </c>
      <c r="E100" s="180">
        <v>8672</v>
      </c>
      <c r="F100" s="200">
        <v>735143</v>
      </c>
      <c r="G100" s="181">
        <v>0.24212</v>
      </c>
      <c r="H100" s="201">
        <f>F100*G100</f>
        <v>177992.82316</v>
      </c>
      <c r="I100" s="200">
        <v>3464661</v>
      </c>
      <c r="J100" s="181">
        <v>4.8599999999999997E-2</v>
      </c>
      <c r="K100" s="201">
        <f t="shared" ref="K100:K110" si="38">I100*J100</f>
        <v>168382.5246</v>
      </c>
      <c r="L100" s="294">
        <v>9000</v>
      </c>
      <c r="M100" s="181">
        <v>7.6</v>
      </c>
      <c r="N100" s="201">
        <f t="shared" ref="N100:N110" si="39">L100*M100</f>
        <v>68400</v>
      </c>
      <c r="O100" s="200">
        <f>+I100+F100</f>
        <v>4199804</v>
      </c>
      <c r="P100" s="148">
        <v>6.1310000000000002E-3</v>
      </c>
      <c r="Q100" s="201">
        <f t="shared" ref="Q100:Q110" si="40">O100*P100</f>
        <v>25748.998324</v>
      </c>
      <c r="R100" s="171">
        <v>8609.66</v>
      </c>
      <c r="S100" s="171">
        <v>0</v>
      </c>
      <c r="T100" s="171">
        <v>25</v>
      </c>
      <c r="U100" s="479">
        <f t="shared" ref="U100:U110" si="41">+H100+K100+N100+Q100+R100+S100+T100</f>
        <v>449159.00608399999</v>
      </c>
      <c r="V100" s="288">
        <f t="shared" si="37"/>
        <v>4.0116083620354232E-3</v>
      </c>
    </row>
    <row r="101" spans="1:22" x14ac:dyDescent="0.25">
      <c r="A101" s="148" t="s">
        <v>158</v>
      </c>
      <c r="B101" s="46">
        <v>2014</v>
      </c>
      <c r="C101" s="179" t="s">
        <v>115</v>
      </c>
      <c r="D101" s="180">
        <v>8423</v>
      </c>
      <c r="E101" s="180">
        <v>9043</v>
      </c>
      <c r="F101" s="200">
        <v>856056</v>
      </c>
      <c r="G101" s="181">
        <v>0.24212</v>
      </c>
      <c r="H101" s="201">
        <f>F101*G101</f>
        <v>207268.27872</v>
      </c>
      <c r="I101" s="200">
        <v>3925478</v>
      </c>
      <c r="J101" s="181">
        <v>4.8599999999999997E-2</v>
      </c>
      <c r="K101" s="201">
        <f t="shared" si="38"/>
        <v>190778.23079999999</v>
      </c>
      <c r="L101" s="251">
        <v>9043</v>
      </c>
      <c r="M101" s="181">
        <v>7.6</v>
      </c>
      <c r="N101" s="201">
        <f t="shared" si="39"/>
        <v>68726.8</v>
      </c>
      <c r="O101" s="200">
        <f>+I101+F101</f>
        <v>4781534</v>
      </c>
      <c r="P101" s="148">
        <v>-2.9750000000000002E-3</v>
      </c>
      <c r="Q101" s="201">
        <f t="shared" si="40"/>
        <v>-14225.063650000002</v>
      </c>
      <c r="R101" s="171">
        <v>8844.64</v>
      </c>
      <c r="S101" s="171">
        <v>0</v>
      </c>
      <c r="T101" s="171">
        <v>25</v>
      </c>
      <c r="U101" s="479">
        <f t="shared" si="41"/>
        <v>461417.88586999994</v>
      </c>
      <c r="V101" s="288">
        <f t="shared" si="37"/>
        <v>-5.4408142286972466E-2</v>
      </c>
    </row>
    <row r="102" spans="1:22" x14ac:dyDescent="0.25">
      <c r="A102" s="148" t="s">
        <v>159</v>
      </c>
      <c r="B102" s="46">
        <v>2014</v>
      </c>
      <c r="C102" s="179" t="s">
        <v>116</v>
      </c>
      <c r="D102" s="180">
        <v>8055</v>
      </c>
      <c r="E102" s="180">
        <v>8790</v>
      </c>
      <c r="F102" s="200">
        <v>248895</v>
      </c>
      <c r="G102" s="181">
        <v>0.24212</v>
      </c>
      <c r="H102" s="201">
        <f t="shared" ref="H102:H110" si="42">F102*G102</f>
        <v>60262.457399999999</v>
      </c>
      <c r="I102" s="200">
        <v>3476666</v>
      </c>
      <c r="J102" s="181">
        <v>4.8599999999999997E-2</v>
      </c>
      <c r="K102" s="201">
        <f t="shared" si="38"/>
        <v>168965.9676</v>
      </c>
      <c r="L102" s="294">
        <v>9000</v>
      </c>
      <c r="M102" s="181">
        <v>7.6</v>
      </c>
      <c r="N102" s="201">
        <f t="shared" si="39"/>
        <v>68400</v>
      </c>
      <c r="O102" s="200">
        <f t="shared" ref="O102:O110" si="43">+I102+F102</f>
        <v>3725561</v>
      </c>
      <c r="P102" s="148">
        <v>-5.2560000000000003E-3</v>
      </c>
      <c r="Q102" s="201">
        <f t="shared" si="40"/>
        <v>-19581.548616</v>
      </c>
      <c r="R102" s="171">
        <v>5434.36</v>
      </c>
      <c r="S102" s="171">
        <v>0</v>
      </c>
      <c r="T102" s="171">
        <v>25</v>
      </c>
      <c r="U102" s="479">
        <f t="shared" si="41"/>
        <v>283506.23638399999</v>
      </c>
      <c r="V102" s="288">
        <f t="shared" si="37"/>
        <v>-4.7364275008744371E-2</v>
      </c>
    </row>
    <row r="103" spans="1:22" x14ac:dyDescent="0.25">
      <c r="A103" s="148" t="s">
        <v>160</v>
      </c>
      <c r="B103" s="46">
        <v>2014</v>
      </c>
      <c r="C103" s="179" t="s">
        <v>117</v>
      </c>
      <c r="D103" s="180">
        <v>0</v>
      </c>
      <c r="E103" s="180">
        <v>9414</v>
      </c>
      <c r="F103" s="200">
        <v>0</v>
      </c>
      <c r="G103" s="181">
        <v>0.24212</v>
      </c>
      <c r="H103" s="201">
        <f t="shared" si="42"/>
        <v>0</v>
      </c>
      <c r="I103" s="200">
        <v>3153893</v>
      </c>
      <c r="J103" s="181">
        <v>4.8599999999999997E-2</v>
      </c>
      <c r="K103" s="201">
        <f t="shared" si="38"/>
        <v>153279.1998</v>
      </c>
      <c r="L103" s="251">
        <v>9414</v>
      </c>
      <c r="M103" s="181">
        <v>7.6</v>
      </c>
      <c r="N103" s="201">
        <f t="shared" si="39"/>
        <v>71546.399999999994</v>
      </c>
      <c r="O103" s="200">
        <f t="shared" si="43"/>
        <v>3153893</v>
      </c>
      <c r="P103" s="148">
        <v>-1.4657999999999999E-2</v>
      </c>
      <c r="Q103" s="201">
        <f t="shared" si="40"/>
        <v>-46229.763593999996</v>
      </c>
      <c r="R103" s="171">
        <v>3490.79</v>
      </c>
      <c r="S103" s="171">
        <v>0</v>
      </c>
      <c r="T103" s="171">
        <v>25</v>
      </c>
      <c r="U103" s="479">
        <f t="shared" si="41"/>
        <v>182111.62620600002</v>
      </c>
      <c r="V103" s="288">
        <f t="shared" si="37"/>
        <v>-0.15899465472929764</v>
      </c>
    </row>
    <row r="104" spans="1:22" x14ac:dyDescent="0.25">
      <c r="A104" s="148" t="s">
        <v>161</v>
      </c>
      <c r="B104" s="46">
        <v>2014</v>
      </c>
      <c r="C104" s="179" t="s">
        <v>118</v>
      </c>
      <c r="D104" s="180">
        <v>0</v>
      </c>
      <c r="E104" s="180">
        <v>6699</v>
      </c>
      <c r="F104" s="200">
        <v>0</v>
      </c>
      <c r="G104" s="181">
        <v>0.24212</v>
      </c>
      <c r="H104" s="201">
        <f t="shared" si="42"/>
        <v>0</v>
      </c>
      <c r="I104" s="200">
        <v>2439500</v>
      </c>
      <c r="J104" s="181">
        <v>4.8599999999999997E-2</v>
      </c>
      <c r="K104" s="201">
        <f t="shared" si="38"/>
        <v>118559.7</v>
      </c>
      <c r="L104" s="294">
        <v>9000</v>
      </c>
      <c r="M104" s="181">
        <v>7.6</v>
      </c>
      <c r="N104" s="201">
        <f t="shared" si="39"/>
        <v>68400</v>
      </c>
      <c r="O104" s="200">
        <f t="shared" si="43"/>
        <v>2439500</v>
      </c>
      <c r="P104" s="148">
        <v>-2.222E-3</v>
      </c>
      <c r="Q104" s="201">
        <f t="shared" si="40"/>
        <v>-5420.5690000000004</v>
      </c>
      <c r="R104" s="171">
        <v>3548.31</v>
      </c>
      <c r="S104" s="171">
        <v>0</v>
      </c>
      <c r="T104" s="171">
        <v>25</v>
      </c>
      <c r="U104" s="479">
        <f t="shared" si="41"/>
        <v>185112.44100000002</v>
      </c>
      <c r="V104" s="288">
        <f t="shared" si="37"/>
        <v>9.5676421028653535E-2</v>
      </c>
    </row>
    <row r="105" spans="1:22" x14ac:dyDescent="0.25">
      <c r="A105" s="148" t="s">
        <v>162</v>
      </c>
      <c r="B105" s="46">
        <v>2014</v>
      </c>
      <c r="C105" s="179" t="s">
        <v>119</v>
      </c>
      <c r="D105" s="180">
        <v>0</v>
      </c>
      <c r="E105" s="180">
        <v>7998</v>
      </c>
      <c r="F105" s="200">
        <v>0</v>
      </c>
      <c r="G105" s="181">
        <v>0.24212</v>
      </c>
      <c r="H105" s="201">
        <f t="shared" si="42"/>
        <v>0</v>
      </c>
      <c r="I105" s="200">
        <v>2433860</v>
      </c>
      <c r="J105" s="181">
        <v>4.8599999999999997E-2</v>
      </c>
      <c r="K105" s="201">
        <f t="shared" si="38"/>
        <v>118285.59599999999</v>
      </c>
      <c r="L105" s="294">
        <v>9000</v>
      </c>
      <c r="M105" s="181">
        <v>7.6</v>
      </c>
      <c r="N105" s="201">
        <f t="shared" si="39"/>
        <v>68400</v>
      </c>
      <c r="O105" s="200">
        <f t="shared" si="43"/>
        <v>2433860</v>
      </c>
      <c r="P105" s="148">
        <v>-4.9480000000000001E-3</v>
      </c>
      <c r="Q105" s="201">
        <f t="shared" si="40"/>
        <v>-12042.73928</v>
      </c>
      <c r="R105" s="171">
        <v>3413.53</v>
      </c>
      <c r="S105" s="171">
        <v>-19184.36</v>
      </c>
      <c r="T105" s="171">
        <v>25</v>
      </c>
      <c r="U105" s="479">
        <f t="shared" si="41"/>
        <v>158897.02671999997</v>
      </c>
      <c r="V105" s="288">
        <f t="shared" si="37"/>
        <v>-6.0419237246523823E-2</v>
      </c>
    </row>
    <row r="106" spans="1:22" x14ac:dyDescent="0.25">
      <c r="A106" s="148" t="s">
        <v>163</v>
      </c>
      <c r="B106" s="46">
        <v>2014</v>
      </c>
      <c r="C106" s="179" t="s">
        <v>120</v>
      </c>
      <c r="D106" s="180">
        <v>0</v>
      </c>
      <c r="E106" s="180">
        <v>9071</v>
      </c>
      <c r="F106" s="200">
        <v>0</v>
      </c>
      <c r="G106" s="181">
        <v>0.24212</v>
      </c>
      <c r="H106" s="201">
        <v>0</v>
      </c>
      <c r="I106" s="200">
        <v>2671292</v>
      </c>
      <c r="J106" s="181">
        <v>4.8599999999999997E-2</v>
      </c>
      <c r="K106" s="201">
        <f t="shared" si="38"/>
        <v>129824.79119999999</v>
      </c>
      <c r="L106" s="251">
        <v>9071</v>
      </c>
      <c r="M106" s="181">
        <v>7.6</v>
      </c>
      <c r="N106" s="201">
        <f t="shared" si="39"/>
        <v>68939.599999999991</v>
      </c>
      <c r="O106" s="200">
        <f t="shared" si="43"/>
        <v>2671292</v>
      </c>
      <c r="P106" s="148">
        <v>-3.0439999999999998E-3</v>
      </c>
      <c r="Q106" s="201">
        <f t="shared" si="40"/>
        <v>-8131.4128479999999</v>
      </c>
      <c r="R106" s="171">
        <v>3726.03</v>
      </c>
      <c r="S106" s="171">
        <v>0</v>
      </c>
      <c r="T106" s="171">
        <v>25</v>
      </c>
      <c r="U106" s="479">
        <f t="shared" si="41"/>
        <v>194384.00835199998</v>
      </c>
      <c r="V106" s="288">
        <f t="shared" si="37"/>
        <v>-0.1325010506857234</v>
      </c>
    </row>
    <row r="107" spans="1:22" x14ac:dyDescent="0.25">
      <c r="A107" s="148" t="s">
        <v>164</v>
      </c>
      <c r="B107" s="46">
        <v>2014</v>
      </c>
      <c r="C107" s="179" t="s">
        <v>121</v>
      </c>
      <c r="D107" s="180">
        <v>0</v>
      </c>
      <c r="E107" s="180">
        <v>8134</v>
      </c>
      <c r="F107" s="200">
        <v>0</v>
      </c>
      <c r="G107" s="181">
        <v>0.24212</v>
      </c>
      <c r="H107" s="201">
        <f t="shared" si="42"/>
        <v>0</v>
      </c>
      <c r="I107" s="200">
        <v>2693684</v>
      </c>
      <c r="J107" s="181">
        <v>4.8599999999999997E-2</v>
      </c>
      <c r="K107" s="201">
        <f t="shared" si="38"/>
        <v>130913.04239999999</v>
      </c>
      <c r="L107" s="294">
        <v>9000</v>
      </c>
      <c r="M107" s="181">
        <v>7.6</v>
      </c>
      <c r="N107" s="201">
        <f t="shared" si="39"/>
        <v>68400</v>
      </c>
      <c r="O107" s="200">
        <f t="shared" si="43"/>
        <v>2693684</v>
      </c>
      <c r="P107" s="148">
        <v>-9.2090000000000002E-3</v>
      </c>
      <c r="Q107" s="201">
        <f t="shared" si="40"/>
        <v>-24806.135956000002</v>
      </c>
      <c r="R107" s="171">
        <v>3410.88</v>
      </c>
      <c r="S107" s="171">
        <v>0</v>
      </c>
      <c r="T107" s="171">
        <v>25</v>
      </c>
      <c r="U107" s="479">
        <f t="shared" si="41"/>
        <v>177942.78644399997</v>
      </c>
      <c r="V107" s="288">
        <f t="shared" si="37"/>
        <v>-0.41304723800967119</v>
      </c>
    </row>
    <row r="108" spans="1:22" x14ac:dyDescent="0.25">
      <c r="A108" s="148" t="s">
        <v>165</v>
      </c>
      <c r="B108" s="46">
        <v>2014</v>
      </c>
      <c r="C108" s="179" t="s">
        <v>122</v>
      </c>
      <c r="D108" s="180">
        <v>0</v>
      </c>
      <c r="E108" s="180">
        <v>8250</v>
      </c>
      <c r="F108" s="200">
        <v>0</v>
      </c>
      <c r="G108" s="181">
        <v>0.24212</v>
      </c>
      <c r="H108" s="201">
        <f t="shared" si="42"/>
        <v>0</v>
      </c>
      <c r="I108" s="200">
        <v>3203749</v>
      </c>
      <c r="J108" s="181">
        <v>4.8599999999999997E-2</v>
      </c>
      <c r="K108" s="201">
        <f t="shared" si="38"/>
        <v>155702.20139999999</v>
      </c>
      <c r="L108" s="294">
        <v>9000</v>
      </c>
      <c r="M108" s="181">
        <v>7.6</v>
      </c>
      <c r="N108" s="201">
        <f t="shared" si="39"/>
        <v>68400</v>
      </c>
      <c r="O108" s="200">
        <f t="shared" si="43"/>
        <v>3203749</v>
      </c>
      <c r="P108" s="148">
        <v>-9.2020000000000001E-3</v>
      </c>
      <c r="Q108" s="201">
        <f t="shared" si="40"/>
        <v>-29480.898298</v>
      </c>
      <c r="R108" s="171">
        <v>3803.97</v>
      </c>
      <c r="S108" s="171">
        <v>0</v>
      </c>
      <c r="T108" s="171">
        <v>25</v>
      </c>
      <c r="U108" s="479">
        <f t="shared" si="41"/>
        <v>198450.27310199998</v>
      </c>
      <c r="V108" s="288">
        <f t="shared" si="37"/>
        <v>-4.5422311763077879E-2</v>
      </c>
    </row>
    <row r="109" spans="1:22" x14ac:dyDescent="0.25">
      <c r="A109" s="148" t="s">
        <v>166</v>
      </c>
      <c r="B109" s="46">
        <v>2014</v>
      </c>
      <c r="C109" s="179" t="s">
        <v>123</v>
      </c>
      <c r="D109" s="180">
        <v>0</v>
      </c>
      <c r="E109" s="180">
        <v>8278</v>
      </c>
      <c r="F109" s="200">
        <v>0</v>
      </c>
      <c r="G109" s="181">
        <v>0.24212</v>
      </c>
      <c r="H109" s="201">
        <f t="shared" si="42"/>
        <v>0</v>
      </c>
      <c r="I109" s="200">
        <v>3073155</v>
      </c>
      <c r="J109" s="181">
        <v>4.8599999999999997E-2</v>
      </c>
      <c r="K109" s="201">
        <f t="shared" si="38"/>
        <v>149355.33299999998</v>
      </c>
      <c r="L109" s="294">
        <v>9000</v>
      </c>
      <c r="M109" s="181">
        <v>7.6</v>
      </c>
      <c r="N109" s="201">
        <f t="shared" si="39"/>
        <v>68400</v>
      </c>
      <c r="O109" s="200">
        <f t="shared" si="43"/>
        <v>3073155</v>
      </c>
      <c r="P109" s="148">
        <v>-1.4234999999999999E-2</v>
      </c>
      <c r="Q109" s="201">
        <f t="shared" si="40"/>
        <v>-43746.361424999996</v>
      </c>
      <c r="R109" s="171">
        <v>3401.15</v>
      </c>
      <c r="S109" s="171">
        <v>0</v>
      </c>
      <c r="T109" s="171">
        <v>25</v>
      </c>
      <c r="U109" s="479">
        <f t="shared" si="41"/>
        <v>177435.12157499997</v>
      </c>
      <c r="V109" s="288">
        <f t="shared" si="37"/>
        <v>-9.9746961076844984E-3</v>
      </c>
    </row>
    <row r="110" spans="1:22" x14ac:dyDescent="0.25">
      <c r="A110" s="148" t="s">
        <v>167</v>
      </c>
      <c r="B110" s="46">
        <v>2014</v>
      </c>
      <c r="C110" s="179" t="s">
        <v>124</v>
      </c>
      <c r="D110" s="180">
        <v>9606</v>
      </c>
      <c r="E110" s="180">
        <v>11035</v>
      </c>
      <c r="F110" s="200">
        <v>457009</v>
      </c>
      <c r="G110" s="181">
        <v>0.24212</v>
      </c>
      <c r="H110" s="201">
        <f t="shared" si="42"/>
        <v>110651.01908</v>
      </c>
      <c r="I110" s="200">
        <v>3473139</v>
      </c>
      <c r="J110" s="181">
        <v>4.8599999999999997E-2</v>
      </c>
      <c r="K110" s="201">
        <f t="shared" si="38"/>
        <v>168794.55539999998</v>
      </c>
      <c r="L110" s="251">
        <v>11035</v>
      </c>
      <c r="M110" s="181">
        <v>7.6</v>
      </c>
      <c r="N110" s="201">
        <f t="shared" si="39"/>
        <v>83866</v>
      </c>
      <c r="O110" s="200">
        <f t="shared" si="43"/>
        <v>3930148</v>
      </c>
      <c r="P110" s="148">
        <v>-6.8900000000000003E-3</v>
      </c>
      <c r="Q110" s="201">
        <f t="shared" si="40"/>
        <v>-27078.719720000001</v>
      </c>
      <c r="R110" s="171">
        <v>6571.49</v>
      </c>
      <c r="S110" s="171">
        <v>0</v>
      </c>
      <c r="T110" s="171">
        <v>25</v>
      </c>
      <c r="U110" s="479">
        <f t="shared" si="41"/>
        <v>342829.34475999995</v>
      </c>
      <c r="V110" s="308">
        <f t="shared" si="37"/>
        <v>-0.12497630710210152</v>
      </c>
    </row>
    <row r="111" spans="1:22" x14ac:dyDescent="0.25">
      <c r="A111" s="183" t="s">
        <v>125</v>
      </c>
      <c r="B111" s="184"/>
      <c r="C111" s="184"/>
      <c r="D111" s="185">
        <f>SUM(D99:D110)</f>
        <v>39306</v>
      </c>
      <c r="E111" s="185">
        <f>SUM(E99:E110)</f>
        <v>104443</v>
      </c>
      <c r="F111" s="202">
        <f>SUM(F99:F110)</f>
        <v>3007057</v>
      </c>
      <c r="G111" s="187"/>
      <c r="H111" s="203">
        <f>SUM(H99:H110)</f>
        <v>728068.64084000001</v>
      </c>
      <c r="I111" s="202">
        <f>SUM(I99:I110)</f>
        <v>37437988</v>
      </c>
      <c r="J111" s="187"/>
      <c r="K111" s="203">
        <f>SUM(K99:K110)</f>
        <v>1819486.2167999996</v>
      </c>
      <c r="L111" s="202">
        <f>SUM(L99:L110)</f>
        <v>110622</v>
      </c>
      <c r="M111" s="187"/>
      <c r="N111" s="203">
        <f>SUM(N99:N110)</f>
        <v>840727.2</v>
      </c>
      <c r="O111" s="202">
        <f>SUM(O99:O110)</f>
        <v>40445045</v>
      </c>
      <c r="P111" s="186"/>
      <c r="Q111" s="203">
        <f>SUM(Q99:Q110)</f>
        <v>-159917.83534799999</v>
      </c>
      <c r="R111" s="188">
        <f>SUM(R99:R110)</f>
        <v>68793.279999999999</v>
      </c>
      <c r="S111" s="188">
        <f>SUM(S99:S110)</f>
        <v>-19184.36</v>
      </c>
      <c r="T111" s="186">
        <f>SUM(T99:T110)</f>
        <v>300</v>
      </c>
      <c r="U111" s="481">
        <f>SUM(U99:U110)</f>
        <v>3278273.1422919994</v>
      </c>
      <c r="V111" s="289"/>
    </row>
    <row r="112" spans="1:22" x14ac:dyDescent="0.25">
      <c r="A112" s="189" t="s">
        <v>126</v>
      </c>
      <c r="B112" s="190"/>
      <c r="C112" s="190"/>
      <c r="D112" s="185"/>
      <c r="E112" s="185"/>
      <c r="F112" s="204">
        <f>AVERAGE(F99:F110)</f>
        <v>250588.08333333334</v>
      </c>
      <c r="G112" s="192"/>
      <c r="H112" s="205">
        <f>AVERAGE(H99:H110)</f>
        <v>60672.386736666667</v>
      </c>
      <c r="I112" s="204">
        <f>AVERAGE(I99:I110)</f>
        <v>3119832.3333333335</v>
      </c>
      <c r="J112" s="192"/>
      <c r="K112" s="205">
        <f>AVERAGE(K99:K110)</f>
        <v>151623.85139999996</v>
      </c>
      <c r="L112" s="204">
        <f>AVERAGE(L99:L110)</f>
        <v>9218.5</v>
      </c>
      <c r="M112" s="192"/>
      <c r="N112" s="205">
        <f>AVERAGE(N99:N110)</f>
        <v>70060.599999999991</v>
      </c>
      <c r="O112" s="204">
        <f>AVERAGE(O99:O110)</f>
        <v>3370420.4166666665</v>
      </c>
      <c r="P112" s="191"/>
      <c r="Q112" s="205">
        <f>AVERAGE(Q99:Q110)</f>
        <v>-13326.486278999999</v>
      </c>
      <c r="R112" s="193"/>
      <c r="S112" s="193"/>
      <c r="T112" s="191"/>
      <c r="U112" s="483">
        <f>AVERAGE(U99:U110)</f>
        <v>273189.42852433329</v>
      </c>
      <c r="V112" s="290"/>
    </row>
    <row r="113" spans="1:23" s="264" customFormat="1" x14ac:dyDescent="0.25">
      <c r="A113" s="237"/>
      <c r="B113" s="238"/>
      <c r="C113" s="238"/>
      <c r="D113" s="248"/>
      <c r="E113" s="248"/>
      <c r="F113" s="248"/>
      <c r="G113" s="235"/>
      <c r="H113" s="236"/>
      <c r="I113" s="248"/>
      <c r="J113" s="235"/>
      <c r="K113" s="236"/>
      <c r="L113" s="248"/>
      <c r="M113" s="314" t="s">
        <v>220</v>
      </c>
      <c r="N113" s="315">
        <f>((68400*12)-N111)</f>
        <v>-19927.199999999953</v>
      </c>
      <c r="O113" s="248"/>
      <c r="P113" s="235"/>
      <c r="Q113" s="236"/>
      <c r="R113" s="248"/>
      <c r="S113" s="235"/>
      <c r="T113" s="235"/>
      <c r="U113" s="483"/>
      <c r="V113" s="290"/>
      <c r="W113"/>
    </row>
    <row r="114" spans="1:23" ht="26.25" x14ac:dyDescent="0.25">
      <c r="A114" s="237" t="s">
        <v>223</v>
      </c>
      <c r="B114" s="238"/>
      <c r="C114" s="238"/>
      <c r="D114" s="248">
        <f>(D111-D132)/D132</f>
        <v>-2.8690043739343168E-2</v>
      </c>
      <c r="E114" s="248">
        <f>(E111-E132)/E132</f>
        <v>-2.3285608745663173E-2</v>
      </c>
      <c r="F114" s="248">
        <f>(F111-F132)/F132</f>
        <v>-0.10455779482999875</v>
      </c>
      <c r="G114" s="235"/>
      <c r="H114" s="236"/>
      <c r="I114" s="248">
        <f>(I111-I132)/I132</f>
        <v>-0.12657601544027833</v>
      </c>
      <c r="J114" s="235"/>
      <c r="K114" s="236"/>
      <c r="L114" s="248">
        <f>(L111-L132)/L132</f>
        <v>-4.2001524179021754E-2</v>
      </c>
      <c r="M114" s="235"/>
      <c r="N114" s="236">
        <f>(N111-N132)</f>
        <v>-36860.000000000116</v>
      </c>
      <c r="O114" s="248">
        <f>(O111-O132)/O132</f>
        <v>-0.12497630710210152</v>
      </c>
      <c r="P114" s="235">
        <f>AVERAGE(P99:P110)</f>
        <v>-4.63475E-3</v>
      </c>
      <c r="Q114" s="236"/>
      <c r="R114" s="248">
        <f>(R111-R132)/R132</f>
        <v>-0.44379757137328074</v>
      </c>
      <c r="S114" s="235"/>
      <c r="T114" s="235"/>
      <c r="U114" s="508">
        <f>(U111)</f>
        <v>3278273.1422919994</v>
      </c>
      <c r="V114" s="286"/>
      <c r="W114" s="286"/>
    </row>
    <row r="115" spans="1:23" x14ac:dyDescent="0.25">
      <c r="M115" t="s">
        <v>222</v>
      </c>
      <c r="N115" s="250">
        <f>(N113-N134)/N134</f>
        <v>-0.6490899357601726</v>
      </c>
      <c r="O115" s="196">
        <f>+O111-O131</f>
        <v>36475300</v>
      </c>
      <c r="U115" s="448"/>
      <c r="W115" s="283"/>
    </row>
    <row r="116" spans="1:23" x14ac:dyDescent="0.25">
      <c r="I116" s="281"/>
      <c r="T116" s="293" t="s">
        <v>193</v>
      </c>
      <c r="U116" s="293"/>
      <c r="W116" s="283"/>
    </row>
    <row r="117" spans="1:23" x14ac:dyDescent="0.25">
      <c r="T117" s="293" t="s">
        <v>194</v>
      </c>
      <c r="U117" s="293"/>
      <c r="W117" s="283"/>
    </row>
    <row r="118" spans="1:23" ht="35.25" customHeight="1" x14ac:dyDescent="0.25">
      <c r="A118" s="176" t="s">
        <v>91</v>
      </c>
      <c r="U118" s="284"/>
      <c r="V118" s="284"/>
    </row>
    <row r="119" spans="1:23" ht="45" x14ac:dyDescent="0.25">
      <c r="A119" s="177" t="s">
        <v>95</v>
      </c>
      <c r="B119" s="43" t="s">
        <v>96</v>
      </c>
      <c r="C119" s="43" t="s">
        <v>153</v>
      </c>
      <c r="D119" s="178" t="s">
        <v>97</v>
      </c>
      <c r="E119" s="178" t="s">
        <v>98</v>
      </c>
      <c r="F119" s="198" t="s">
        <v>99</v>
      </c>
      <c r="G119" s="177" t="s">
        <v>100</v>
      </c>
      <c r="H119" s="199" t="s">
        <v>101</v>
      </c>
      <c r="I119" s="198" t="s">
        <v>102</v>
      </c>
      <c r="J119" s="177" t="s">
        <v>103</v>
      </c>
      <c r="K119" s="199" t="s">
        <v>104</v>
      </c>
      <c r="L119" s="198" t="s">
        <v>154</v>
      </c>
      <c r="M119" s="177" t="s">
        <v>155</v>
      </c>
      <c r="N119" s="199" t="s">
        <v>105</v>
      </c>
      <c r="O119" s="198" t="s">
        <v>106</v>
      </c>
      <c r="P119" s="177" t="s">
        <v>107</v>
      </c>
      <c r="Q119" s="199" t="s">
        <v>108</v>
      </c>
      <c r="R119" s="177" t="s">
        <v>109</v>
      </c>
      <c r="S119" s="177" t="s">
        <v>110</v>
      </c>
      <c r="T119" s="177" t="s">
        <v>111</v>
      </c>
      <c r="U119" s="476" t="s">
        <v>112</v>
      </c>
      <c r="V119" s="285"/>
    </row>
    <row r="120" spans="1:23" x14ac:dyDescent="0.25">
      <c r="A120" s="148" t="s">
        <v>156</v>
      </c>
      <c r="B120" s="46">
        <v>2014</v>
      </c>
      <c r="C120" s="179" t="s">
        <v>113</v>
      </c>
      <c r="D120" s="180">
        <v>10161</v>
      </c>
      <c r="E120" s="180">
        <v>12928</v>
      </c>
      <c r="F120" s="200">
        <v>887900</v>
      </c>
      <c r="G120" s="181">
        <v>0.24212</v>
      </c>
      <c r="H120" s="201">
        <f>F120*G120</f>
        <v>214978.348</v>
      </c>
      <c r="I120" s="200">
        <v>4474622</v>
      </c>
      <c r="J120" s="181">
        <v>4.8599999999999997E-2</v>
      </c>
      <c r="K120" s="201">
        <f>I120*J120</f>
        <v>217466.6292</v>
      </c>
      <c r="L120" s="251">
        <v>12928</v>
      </c>
      <c r="M120" s="181">
        <v>7.6</v>
      </c>
      <c r="N120" s="201">
        <f>L120*M120</f>
        <v>98252.799999999988</v>
      </c>
      <c r="O120" s="200">
        <f t="shared" ref="O120:O131" si="44">+I120+F120</f>
        <v>5362522</v>
      </c>
      <c r="P120" s="148">
        <v>4.3540000000000002E-3</v>
      </c>
      <c r="Q120" s="201">
        <f>O120*P120</f>
        <v>23348.420787999999</v>
      </c>
      <c r="R120" s="171">
        <v>19212.419999999998</v>
      </c>
      <c r="S120" s="171">
        <v>0</v>
      </c>
      <c r="T120" s="171">
        <v>25</v>
      </c>
      <c r="U120" s="479">
        <f>+H120+K120+N120+Q120+R120+S120+T120</f>
        <v>573283.61798799993</v>
      </c>
      <c r="V120" s="285"/>
    </row>
    <row r="121" spans="1:23" x14ac:dyDescent="0.25">
      <c r="A121" s="148" t="s">
        <v>157</v>
      </c>
      <c r="B121" s="46">
        <v>2014</v>
      </c>
      <c r="C121" s="179" t="s">
        <v>114</v>
      </c>
      <c r="D121" s="180">
        <v>7536</v>
      </c>
      <c r="E121" s="180">
        <v>9282</v>
      </c>
      <c r="F121" s="200">
        <v>890837</v>
      </c>
      <c r="G121" s="181">
        <v>0.24212</v>
      </c>
      <c r="H121" s="201">
        <f>F121*G121</f>
        <v>215689.45444</v>
      </c>
      <c r="I121" s="200">
        <v>4237627</v>
      </c>
      <c r="J121" s="181">
        <v>4.8599999999999997E-2</v>
      </c>
      <c r="K121" s="201">
        <f t="shared" ref="K121:K131" si="45">I121*J121</f>
        <v>205948.6722</v>
      </c>
      <c r="L121" s="251">
        <v>9282</v>
      </c>
      <c r="M121" s="181">
        <v>7.6</v>
      </c>
      <c r="N121" s="201">
        <f t="shared" ref="N121:N131" si="46">L121*M121</f>
        <v>70543.199999999997</v>
      </c>
      <c r="O121" s="200">
        <f t="shared" si="44"/>
        <v>5128464</v>
      </c>
      <c r="P121" s="148">
        <v>6.0300000000000002E-4</v>
      </c>
      <c r="Q121" s="201">
        <f t="shared" ref="Q121:Q131" si="47">O121*P121</f>
        <v>3092.463792</v>
      </c>
      <c r="R121" s="171">
        <v>17174.490000000002</v>
      </c>
      <c r="S121" s="171">
        <v>-11506.38</v>
      </c>
      <c r="T121" s="171">
        <v>25</v>
      </c>
      <c r="U121" s="479">
        <f t="shared" ref="U121:U131" si="48">+H121+K121+N121+Q121+R121+S121+T121</f>
        <v>500966.90043200005</v>
      </c>
      <c r="V121" s="285"/>
      <c r="W121" s="182"/>
    </row>
    <row r="122" spans="1:23" x14ac:dyDescent="0.25">
      <c r="A122" s="148" t="s">
        <v>158</v>
      </c>
      <c r="B122" s="46">
        <v>2014</v>
      </c>
      <c r="C122" s="179" t="s">
        <v>115</v>
      </c>
      <c r="D122" s="180">
        <v>7899</v>
      </c>
      <c r="E122" s="180">
        <v>9420</v>
      </c>
      <c r="F122" s="200">
        <v>893091</v>
      </c>
      <c r="G122" s="181">
        <v>0.24212</v>
      </c>
      <c r="H122" s="201">
        <f>F122*G122</f>
        <v>216235.19292</v>
      </c>
      <c r="I122" s="200">
        <v>3869338</v>
      </c>
      <c r="J122" s="181">
        <v>4.8599999999999997E-2</v>
      </c>
      <c r="K122" s="201">
        <f t="shared" si="45"/>
        <v>188049.82679999998</v>
      </c>
      <c r="L122" s="251">
        <v>9420</v>
      </c>
      <c r="M122" s="181">
        <v>7.6</v>
      </c>
      <c r="N122" s="201">
        <f t="shared" si="46"/>
        <v>71592</v>
      </c>
      <c r="O122" s="200">
        <f t="shared" si="44"/>
        <v>4762429</v>
      </c>
      <c r="P122" s="148">
        <v>-7.8429999999999993E-3</v>
      </c>
      <c r="Q122" s="201">
        <f t="shared" si="47"/>
        <v>-37351.730646999997</v>
      </c>
      <c r="R122" s="171">
        <v>15206.73</v>
      </c>
      <c r="S122" s="171">
        <v>-15206.73</v>
      </c>
      <c r="T122" s="171">
        <v>25</v>
      </c>
      <c r="U122" s="479">
        <f t="shared" si="48"/>
        <v>438550.28907299996</v>
      </c>
      <c r="V122" s="285"/>
    </row>
    <row r="123" spans="1:23" x14ac:dyDescent="0.25">
      <c r="A123" s="148" t="s">
        <v>159</v>
      </c>
      <c r="B123" s="46">
        <v>2014</v>
      </c>
      <c r="C123" s="179" t="s">
        <v>116</v>
      </c>
      <c r="D123" s="180">
        <v>8345</v>
      </c>
      <c r="E123" s="180">
        <v>9294</v>
      </c>
      <c r="F123" s="200">
        <v>200608</v>
      </c>
      <c r="G123" s="181">
        <v>0.24212</v>
      </c>
      <c r="H123" s="201">
        <f t="shared" ref="H123:H131" si="49">F123*G123</f>
        <v>48571.208960000004</v>
      </c>
      <c r="I123" s="200">
        <v>3739317</v>
      </c>
      <c r="J123" s="181">
        <v>4.8599999999999997E-2</v>
      </c>
      <c r="K123" s="201">
        <f t="shared" si="45"/>
        <v>181730.80619999999</v>
      </c>
      <c r="L123" s="251">
        <v>9294</v>
      </c>
      <c r="M123" s="181">
        <v>7.6</v>
      </c>
      <c r="N123" s="201">
        <f t="shared" si="46"/>
        <v>70634.399999999994</v>
      </c>
      <c r="O123" s="200">
        <f t="shared" si="44"/>
        <v>3939925</v>
      </c>
      <c r="P123" s="148">
        <v>-7.6730000000000001E-3</v>
      </c>
      <c r="Q123" s="201">
        <f t="shared" si="47"/>
        <v>-30231.044525000001</v>
      </c>
      <c r="R123" s="171">
        <v>9387.58</v>
      </c>
      <c r="S123" s="171">
        <v>-9387.58</v>
      </c>
      <c r="T123" s="171">
        <v>25</v>
      </c>
      <c r="U123" s="479">
        <f t="shared" si="48"/>
        <v>270730.370635</v>
      </c>
      <c r="V123" s="285"/>
    </row>
    <row r="124" spans="1:23" x14ac:dyDescent="0.25">
      <c r="A124" s="148" t="s">
        <v>160</v>
      </c>
      <c r="B124" s="46">
        <v>2014</v>
      </c>
      <c r="C124" s="179" t="s">
        <v>117</v>
      </c>
      <c r="D124" s="180">
        <v>0</v>
      </c>
      <c r="E124" s="180">
        <v>7435</v>
      </c>
      <c r="F124" s="200">
        <v>0</v>
      </c>
      <c r="G124" s="181">
        <v>0.24212</v>
      </c>
      <c r="H124" s="201">
        <f t="shared" si="49"/>
        <v>0</v>
      </c>
      <c r="I124" s="200">
        <v>3310702</v>
      </c>
      <c r="J124" s="181">
        <v>4.8599999999999997E-2</v>
      </c>
      <c r="K124" s="201">
        <f t="shared" si="45"/>
        <v>160900.11719999998</v>
      </c>
      <c r="L124" s="200">
        <v>9000</v>
      </c>
      <c r="M124" s="181">
        <v>7.6</v>
      </c>
      <c r="N124" s="201">
        <f t="shared" si="46"/>
        <v>68400</v>
      </c>
      <c r="O124" s="200">
        <f t="shared" si="44"/>
        <v>3310702</v>
      </c>
      <c r="P124" s="148">
        <v>-9.3050000000000008E-3</v>
      </c>
      <c r="Q124" s="201">
        <f t="shared" si="47"/>
        <v>-30806.082110000003</v>
      </c>
      <c r="R124" s="171">
        <v>6883.65</v>
      </c>
      <c r="S124" s="171">
        <v>-6883.65</v>
      </c>
      <c r="T124" s="171">
        <v>25</v>
      </c>
      <c r="U124" s="479">
        <f t="shared" si="48"/>
        <v>198519.03508999996</v>
      </c>
      <c r="V124" s="285"/>
    </row>
    <row r="125" spans="1:23" x14ac:dyDescent="0.25">
      <c r="A125" s="148" t="s">
        <v>161</v>
      </c>
      <c r="B125" s="46">
        <v>2014</v>
      </c>
      <c r="C125" s="179" t="s">
        <v>118</v>
      </c>
      <c r="D125" s="180">
        <v>0</v>
      </c>
      <c r="E125" s="180">
        <v>7245</v>
      </c>
      <c r="F125" s="200">
        <v>0</v>
      </c>
      <c r="G125" s="181">
        <v>0.24212</v>
      </c>
      <c r="H125" s="201">
        <f t="shared" si="49"/>
        <v>0</v>
      </c>
      <c r="I125" s="200">
        <v>2900695</v>
      </c>
      <c r="J125" s="181">
        <v>4.8599999999999997E-2</v>
      </c>
      <c r="K125" s="201">
        <f t="shared" si="45"/>
        <v>140973.777</v>
      </c>
      <c r="L125" s="200">
        <v>9000</v>
      </c>
      <c r="M125" s="181">
        <v>7.6</v>
      </c>
      <c r="N125" s="201">
        <f t="shared" si="46"/>
        <v>68400</v>
      </c>
      <c r="O125" s="200">
        <f t="shared" si="44"/>
        <v>2900695</v>
      </c>
      <c r="P125" s="148">
        <v>-1.1533E-2</v>
      </c>
      <c r="Q125" s="201">
        <f t="shared" si="47"/>
        <v>-33453.715434999998</v>
      </c>
      <c r="R125" s="171">
        <v>6100.89</v>
      </c>
      <c r="S125" s="171">
        <v>-6100.89</v>
      </c>
      <c r="T125" s="171">
        <v>25</v>
      </c>
      <c r="U125" s="479">
        <f t="shared" si="48"/>
        <v>175945.06156500001</v>
      </c>
      <c r="V125" s="285"/>
    </row>
    <row r="126" spans="1:23" x14ac:dyDescent="0.25">
      <c r="A126" s="148" t="s">
        <v>162</v>
      </c>
      <c r="B126" s="46">
        <v>2014</v>
      </c>
      <c r="C126" s="179" t="s">
        <v>119</v>
      </c>
      <c r="D126" s="180">
        <v>0</v>
      </c>
      <c r="E126" s="180">
        <v>6173</v>
      </c>
      <c r="F126" s="200">
        <v>0</v>
      </c>
      <c r="G126" s="181">
        <v>0.24212</v>
      </c>
      <c r="H126" s="201">
        <f t="shared" si="49"/>
        <v>0</v>
      </c>
      <c r="I126" s="200">
        <v>2221331</v>
      </c>
      <c r="J126" s="181">
        <v>4.8599999999999997E-2</v>
      </c>
      <c r="K126" s="201">
        <f t="shared" si="45"/>
        <v>107956.6866</v>
      </c>
      <c r="L126" s="200">
        <v>9000</v>
      </c>
      <c r="M126" s="181">
        <v>7.6</v>
      </c>
      <c r="N126" s="201">
        <f t="shared" si="46"/>
        <v>68400</v>
      </c>
      <c r="O126" s="200">
        <f t="shared" si="44"/>
        <v>2221331</v>
      </c>
      <c r="P126" s="148">
        <v>-1.0772E-2</v>
      </c>
      <c r="Q126" s="201">
        <f t="shared" si="47"/>
        <v>-23928.177532000002</v>
      </c>
      <c r="R126" s="171">
        <v>4898.33</v>
      </c>
      <c r="S126" s="171">
        <v>0</v>
      </c>
      <c r="T126" s="171">
        <v>25</v>
      </c>
      <c r="U126" s="479">
        <f t="shared" si="48"/>
        <v>157351.839068</v>
      </c>
      <c r="V126" s="285"/>
    </row>
    <row r="127" spans="1:23" x14ac:dyDescent="0.25">
      <c r="A127" s="148" t="s">
        <v>163</v>
      </c>
      <c r="B127" s="46">
        <v>2014</v>
      </c>
      <c r="C127" s="179" t="s">
        <v>120</v>
      </c>
      <c r="D127" s="180">
        <v>0</v>
      </c>
      <c r="E127" s="180">
        <v>7238</v>
      </c>
      <c r="F127" s="200">
        <v>0</v>
      </c>
      <c r="G127" s="181">
        <v>0.24212</v>
      </c>
      <c r="H127" s="201">
        <f t="shared" si="49"/>
        <v>0</v>
      </c>
      <c r="I127" s="200">
        <v>2843068</v>
      </c>
      <c r="J127" s="181">
        <v>4.8599999999999997E-2</v>
      </c>
      <c r="K127" s="201">
        <f t="shared" si="45"/>
        <v>138173.1048</v>
      </c>
      <c r="L127" s="200">
        <v>9000</v>
      </c>
      <c r="M127" s="181">
        <v>7.6</v>
      </c>
      <c r="N127" s="201">
        <f t="shared" si="46"/>
        <v>68400</v>
      </c>
      <c r="O127" s="200">
        <f t="shared" si="44"/>
        <v>2843068</v>
      </c>
      <c r="P127" s="148">
        <v>1.794E-3</v>
      </c>
      <c r="Q127" s="201">
        <f t="shared" si="47"/>
        <v>5100.463992</v>
      </c>
      <c r="R127" s="171">
        <v>6801.87</v>
      </c>
      <c r="S127" s="171">
        <v>0</v>
      </c>
      <c r="T127" s="171">
        <v>25</v>
      </c>
      <c r="U127" s="479">
        <f t="shared" si="48"/>
        <v>218500.438792</v>
      </c>
      <c r="V127" s="285"/>
    </row>
    <row r="128" spans="1:23" x14ac:dyDescent="0.25">
      <c r="A128" s="148" t="s">
        <v>164</v>
      </c>
      <c r="B128" s="46">
        <v>2014</v>
      </c>
      <c r="C128" s="179" t="s">
        <v>121</v>
      </c>
      <c r="D128" s="180">
        <v>0</v>
      </c>
      <c r="E128" s="180">
        <v>9647</v>
      </c>
      <c r="F128" s="200">
        <v>0</v>
      </c>
      <c r="G128" s="181">
        <v>0.24212</v>
      </c>
      <c r="H128" s="201">
        <f t="shared" si="49"/>
        <v>0</v>
      </c>
      <c r="I128" s="200">
        <v>3105115</v>
      </c>
      <c r="J128" s="181">
        <v>4.8599999999999997E-2</v>
      </c>
      <c r="K128" s="201">
        <f t="shared" si="45"/>
        <v>150908.58899999998</v>
      </c>
      <c r="L128" s="251">
        <v>9647</v>
      </c>
      <c r="M128" s="181">
        <v>7.6</v>
      </c>
      <c r="N128" s="201">
        <f t="shared" si="46"/>
        <v>73317.2</v>
      </c>
      <c r="O128" s="200">
        <f t="shared" si="44"/>
        <v>3105115</v>
      </c>
      <c r="P128" s="148">
        <v>-2.545E-3</v>
      </c>
      <c r="Q128" s="201">
        <f t="shared" si="47"/>
        <v>-7902.5176750000001</v>
      </c>
      <c r="R128" s="171">
        <v>6951.27</v>
      </c>
      <c r="S128" s="171">
        <v>0</v>
      </c>
      <c r="T128" s="171">
        <v>25</v>
      </c>
      <c r="U128" s="479">
        <f t="shared" si="48"/>
        <v>223299.54132499997</v>
      </c>
      <c r="V128" s="285"/>
    </row>
    <row r="129" spans="1:23" x14ac:dyDescent="0.25">
      <c r="A129" s="148" t="s">
        <v>165</v>
      </c>
      <c r="B129" s="46">
        <v>2014</v>
      </c>
      <c r="C129" s="179" t="s">
        <v>122</v>
      </c>
      <c r="D129" s="180">
        <v>0</v>
      </c>
      <c r="E129" s="180">
        <v>10813</v>
      </c>
      <c r="F129" s="200">
        <v>0</v>
      </c>
      <c r="G129" s="181">
        <v>0.24212</v>
      </c>
      <c r="H129" s="201">
        <f t="shared" si="49"/>
        <v>0</v>
      </c>
      <c r="I129" s="200">
        <v>5458274</v>
      </c>
      <c r="J129" s="181">
        <v>4.8599999999999997E-2</v>
      </c>
      <c r="K129" s="201">
        <f t="shared" si="45"/>
        <v>265272.1164</v>
      </c>
      <c r="L129" s="251">
        <v>10813</v>
      </c>
      <c r="M129" s="181">
        <v>7.6</v>
      </c>
      <c r="N129" s="201">
        <f t="shared" si="46"/>
        <v>82178.8</v>
      </c>
      <c r="O129" s="200">
        <f t="shared" si="44"/>
        <v>5458274</v>
      </c>
      <c r="P129" s="148">
        <v>-1.836E-3</v>
      </c>
      <c r="Q129" s="201">
        <f t="shared" si="47"/>
        <v>-10021.391063999999</v>
      </c>
      <c r="R129" s="171">
        <v>10842.41</v>
      </c>
      <c r="S129" s="171">
        <v>0</v>
      </c>
      <c r="T129" s="171">
        <v>25</v>
      </c>
      <c r="U129" s="479">
        <f t="shared" si="48"/>
        <v>348296.93533599994</v>
      </c>
      <c r="V129" s="285"/>
    </row>
    <row r="130" spans="1:23" x14ac:dyDescent="0.25">
      <c r="A130" s="148" t="s">
        <v>166</v>
      </c>
      <c r="B130" s="46">
        <v>2014</v>
      </c>
      <c r="C130" s="179" t="s">
        <v>123</v>
      </c>
      <c r="D130" s="180">
        <v>0</v>
      </c>
      <c r="E130" s="180">
        <v>9088</v>
      </c>
      <c r="F130" s="200">
        <v>0</v>
      </c>
      <c r="G130" s="181">
        <v>0.24212</v>
      </c>
      <c r="H130" s="201">
        <f t="shared" si="49"/>
        <v>0</v>
      </c>
      <c r="I130" s="200">
        <v>3219387</v>
      </c>
      <c r="J130" s="181">
        <v>4.8599999999999997E-2</v>
      </c>
      <c r="K130" s="201">
        <f t="shared" si="45"/>
        <v>156462.20819999999</v>
      </c>
      <c r="L130" s="251">
        <v>9088</v>
      </c>
      <c r="M130" s="181">
        <v>7.6</v>
      </c>
      <c r="N130" s="201">
        <f t="shared" si="46"/>
        <v>69068.800000000003</v>
      </c>
      <c r="O130" s="200">
        <f t="shared" si="44"/>
        <v>3219387</v>
      </c>
      <c r="P130" s="148">
        <v>4.2370000000000003E-3</v>
      </c>
      <c r="Q130" s="201">
        <f t="shared" si="47"/>
        <v>13640.542719000001</v>
      </c>
      <c r="R130" s="171">
        <v>7685.39</v>
      </c>
      <c r="S130" s="171">
        <v>0</v>
      </c>
      <c r="T130" s="171">
        <v>25</v>
      </c>
      <c r="U130" s="479">
        <f t="shared" si="48"/>
        <v>246881.94091899999</v>
      </c>
      <c r="V130" s="285"/>
    </row>
    <row r="131" spans="1:23" x14ac:dyDescent="0.25">
      <c r="A131" s="148" t="s">
        <v>167</v>
      </c>
      <c r="B131" s="46">
        <v>2014</v>
      </c>
      <c r="C131" s="179" t="s">
        <v>124</v>
      </c>
      <c r="D131" s="180">
        <v>6526</v>
      </c>
      <c r="E131" s="180">
        <v>8370</v>
      </c>
      <c r="F131" s="200">
        <v>485745</v>
      </c>
      <c r="G131" s="181">
        <v>0.24212</v>
      </c>
      <c r="H131" s="201">
        <f t="shared" si="49"/>
        <v>117608.5794</v>
      </c>
      <c r="I131" s="200">
        <v>3484000</v>
      </c>
      <c r="J131" s="181">
        <v>4.8599999999999997E-2</v>
      </c>
      <c r="K131" s="201">
        <f t="shared" si="45"/>
        <v>169322.4</v>
      </c>
      <c r="L131" s="200">
        <v>9000</v>
      </c>
      <c r="M131" s="181">
        <v>7.6</v>
      </c>
      <c r="N131" s="201">
        <f t="shared" si="46"/>
        <v>68400</v>
      </c>
      <c r="O131" s="200">
        <f t="shared" si="44"/>
        <v>3969745</v>
      </c>
      <c r="P131" s="148">
        <v>8.7910000000000002E-3</v>
      </c>
      <c r="Q131" s="201">
        <f t="shared" si="47"/>
        <v>34898.028295000004</v>
      </c>
      <c r="R131" s="171">
        <v>12538.86</v>
      </c>
      <c r="S131" s="171">
        <v>0</v>
      </c>
      <c r="T131" s="171">
        <v>25</v>
      </c>
      <c r="U131" s="479">
        <f t="shared" si="48"/>
        <v>402792.86769500002</v>
      </c>
      <c r="V131" s="282"/>
    </row>
    <row r="132" spans="1:23" x14ac:dyDescent="0.25">
      <c r="A132" s="183" t="s">
        <v>125</v>
      </c>
      <c r="B132" s="184"/>
      <c r="C132" s="184"/>
      <c r="D132" s="185">
        <f>SUM(D120:D131)</f>
        <v>40467</v>
      </c>
      <c r="E132" s="185">
        <f>SUM(E120:E131)</f>
        <v>106933</v>
      </c>
      <c r="F132" s="202">
        <f>SUM(F120:F131)</f>
        <v>3358181</v>
      </c>
      <c r="G132" s="187"/>
      <c r="H132" s="203">
        <f>SUM(H120:H131)</f>
        <v>813082.78372000006</v>
      </c>
      <c r="I132" s="202">
        <f>SUM(I120:I131)</f>
        <v>42863476</v>
      </c>
      <c r="J132" s="187"/>
      <c r="K132" s="203">
        <f>SUM(K120:K131)</f>
        <v>2083164.9335999996</v>
      </c>
      <c r="L132" s="202">
        <f>SUM(L120:L131)</f>
        <v>115472</v>
      </c>
      <c r="M132" s="187"/>
      <c r="N132" s="203">
        <f>SUM(N120:N131)</f>
        <v>877587.20000000007</v>
      </c>
      <c r="O132" s="202">
        <f>SUM(O120:O131)</f>
        <v>46221657</v>
      </c>
      <c r="P132" s="186"/>
      <c r="Q132" s="203">
        <f>SUM(Q120:Q131)</f>
        <v>-93614.739401999977</v>
      </c>
      <c r="R132" s="188">
        <f>SUM(R120:R131)</f>
        <v>123683.89</v>
      </c>
      <c r="S132" s="188">
        <f>SUM(S120:S131)</f>
        <v>-49085.23</v>
      </c>
      <c r="T132" s="186">
        <f>SUM(T120:T131)</f>
        <v>300</v>
      </c>
      <c r="U132" s="481">
        <f>SUM(U120:U131)</f>
        <v>3755118.8379180003</v>
      </c>
      <c r="V132" s="282"/>
    </row>
    <row r="133" spans="1:23" s="264" customFormat="1" x14ac:dyDescent="0.25">
      <c r="A133" s="189" t="s">
        <v>126</v>
      </c>
      <c r="B133" s="190"/>
      <c r="C133" s="190"/>
      <c r="D133" s="185"/>
      <c r="E133" s="185"/>
      <c r="F133" s="204">
        <f>AVERAGE(F120:F131)</f>
        <v>279848.41666666669</v>
      </c>
      <c r="G133" s="192"/>
      <c r="H133" s="205">
        <f>AVERAGE(H120:H131)</f>
        <v>67756.898643333334</v>
      </c>
      <c r="I133" s="204">
        <f>AVERAGE(I120:I131)</f>
        <v>3571956.3333333335</v>
      </c>
      <c r="J133" s="192"/>
      <c r="K133" s="205">
        <f>AVERAGE(K120:K131)</f>
        <v>173597.07779999997</v>
      </c>
      <c r="L133" s="204">
        <f>AVERAGE(L120:L131)</f>
        <v>9622.6666666666661</v>
      </c>
      <c r="M133" s="192"/>
      <c r="N133" s="205">
        <f>AVERAGE(N120:N131)</f>
        <v>73132.266666666677</v>
      </c>
      <c r="O133" s="204">
        <f>AVERAGE(O120:O131)</f>
        <v>3851804.75</v>
      </c>
      <c r="P133" s="191"/>
      <c r="Q133" s="205">
        <f>AVERAGE(Q120:Q131)</f>
        <v>-7801.2282834999978</v>
      </c>
      <c r="R133" s="193"/>
      <c r="S133" s="193"/>
      <c r="T133" s="191"/>
      <c r="U133" s="483">
        <f>AVERAGE(U120:U131)</f>
        <v>312926.56982650002</v>
      </c>
      <c r="V133" s="282"/>
    </row>
    <row r="134" spans="1:23" x14ac:dyDescent="0.25">
      <c r="A134" s="189"/>
      <c r="B134" s="190"/>
      <c r="C134" s="190"/>
      <c r="D134" s="185"/>
      <c r="E134" s="185"/>
      <c r="F134" s="204"/>
      <c r="G134" s="192"/>
      <c r="H134" s="205"/>
      <c r="I134" s="204"/>
      <c r="J134" s="192"/>
      <c r="K134" s="205"/>
      <c r="L134" s="204"/>
      <c r="M134" s="314" t="s">
        <v>220</v>
      </c>
      <c r="N134" s="315">
        <f>((68400*12)-N132)</f>
        <v>-56787.20000000007</v>
      </c>
      <c r="O134" s="204"/>
      <c r="P134" s="191"/>
      <c r="Q134" s="205"/>
      <c r="R134" s="193"/>
      <c r="S134" s="193"/>
      <c r="T134" s="191"/>
      <c r="U134" s="483"/>
      <c r="V134" s="230"/>
    </row>
    <row r="135" spans="1:23" ht="15" customHeight="1" x14ac:dyDescent="0.25">
      <c r="A135" s="237" t="s">
        <v>180</v>
      </c>
      <c r="B135" s="238"/>
      <c r="C135" s="238"/>
      <c r="D135" s="248">
        <f>(D132-D152)/D152</f>
        <v>-5.9737906036525859E-2</v>
      </c>
      <c r="E135" s="248">
        <f>(E132-E152)/E152</f>
        <v>1.7731036451889216E-2</v>
      </c>
      <c r="F135" s="248">
        <f>(F132-F152)/F152</f>
        <v>-0.10098032837881865</v>
      </c>
      <c r="G135" s="235"/>
      <c r="H135" s="236"/>
      <c r="I135" s="248">
        <f>(I132-I152)/I152</f>
        <v>-2.6099772735658836E-2</v>
      </c>
      <c r="J135" s="235"/>
      <c r="K135" s="236"/>
      <c r="L135" s="248">
        <f>(L132-L152)/L152</f>
        <v>-1.023434419625255E-2</v>
      </c>
      <c r="M135" s="235"/>
      <c r="N135" s="236">
        <f>(N132-N152)</f>
        <v>-9074.3999999997905</v>
      </c>
      <c r="O135" s="248">
        <f>(O132-O152)/O152</f>
        <v>-3.1957818163083289E-2</v>
      </c>
      <c r="P135" s="235">
        <f>AVERAGE(P120:P131)</f>
        <v>-2.6440000000000001E-3</v>
      </c>
      <c r="Q135" s="236"/>
      <c r="R135" s="248">
        <f>(R132-R152)/R152</f>
        <v>1.4081665114326491E-2</v>
      </c>
      <c r="S135" s="235"/>
      <c r="T135" s="235"/>
      <c r="U135" s="508">
        <f>(U132)</f>
        <v>3755118.8379180003</v>
      </c>
      <c r="V135" s="286"/>
    </row>
    <row r="136" spans="1:23" ht="15" customHeight="1" x14ac:dyDescent="0.25">
      <c r="M136" t="s">
        <v>221</v>
      </c>
      <c r="N136" s="250">
        <f>(N134-N154)/N154</f>
        <v>-0.13777982921762924</v>
      </c>
      <c r="O136" s="196">
        <f>+O132-O152</f>
        <v>-1525908</v>
      </c>
      <c r="R136">
        <f>123683.89/46221657</f>
        <v>2.6758861111361716E-3</v>
      </c>
    </row>
    <row r="137" spans="1:23" x14ac:dyDescent="0.25">
      <c r="T137" s="293" t="s">
        <v>193</v>
      </c>
    </row>
    <row r="138" spans="1:23" ht="35.25" customHeight="1" x14ac:dyDescent="0.25">
      <c r="A138" s="176" t="s">
        <v>85</v>
      </c>
      <c r="U138" s="284"/>
      <c r="V138" s="284"/>
    </row>
    <row r="139" spans="1:23" ht="45" x14ac:dyDescent="0.25">
      <c r="A139" s="177" t="s">
        <v>95</v>
      </c>
      <c r="B139" s="43" t="s">
        <v>96</v>
      </c>
      <c r="C139" s="43" t="s">
        <v>153</v>
      </c>
      <c r="D139" s="178" t="s">
        <v>97</v>
      </c>
      <c r="E139" s="178" t="s">
        <v>98</v>
      </c>
      <c r="F139" s="198" t="s">
        <v>99</v>
      </c>
      <c r="G139" s="177" t="s">
        <v>100</v>
      </c>
      <c r="H139" s="199" t="s">
        <v>101</v>
      </c>
      <c r="I139" s="198" t="s">
        <v>102</v>
      </c>
      <c r="J139" s="177" t="s">
        <v>103</v>
      </c>
      <c r="K139" s="199" t="s">
        <v>104</v>
      </c>
      <c r="L139" s="198" t="s">
        <v>154</v>
      </c>
      <c r="M139" s="177" t="s">
        <v>155</v>
      </c>
      <c r="N139" s="199" t="s">
        <v>105</v>
      </c>
      <c r="O139" s="198" t="s">
        <v>106</v>
      </c>
      <c r="P139" s="177" t="s">
        <v>107</v>
      </c>
      <c r="Q139" s="199" t="s">
        <v>108</v>
      </c>
      <c r="R139" s="177" t="s">
        <v>109</v>
      </c>
      <c r="S139" s="177" t="s">
        <v>110</v>
      </c>
      <c r="T139" s="177" t="s">
        <v>111</v>
      </c>
      <c r="U139" s="476" t="s">
        <v>112</v>
      </c>
      <c r="V139" s="285"/>
    </row>
    <row r="140" spans="1:23" x14ac:dyDescent="0.25">
      <c r="A140" s="209" t="s">
        <v>156</v>
      </c>
      <c r="B140" s="46">
        <v>2013</v>
      </c>
      <c r="C140" s="179" t="s">
        <v>127</v>
      </c>
      <c r="D140" s="180">
        <v>8446</v>
      </c>
      <c r="E140" s="180">
        <v>10710</v>
      </c>
      <c r="F140" s="200">
        <v>913435</v>
      </c>
      <c r="G140" s="181">
        <v>0.24212</v>
      </c>
      <c r="H140" s="201">
        <f>F140*G140</f>
        <v>221160.88219999999</v>
      </c>
      <c r="I140" s="200">
        <v>3803352</v>
      </c>
      <c r="J140" s="181">
        <v>4.8599999999999997E-2</v>
      </c>
      <c r="K140" s="201">
        <f>I140*J140</f>
        <v>184842.90719999999</v>
      </c>
      <c r="L140" s="251">
        <v>10710</v>
      </c>
      <c r="M140" s="181">
        <v>7.6</v>
      </c>
      <c r="N140" s="201">
        <f>L140*M140</f>
        <v>81396</v>
      </c>
      <c r="O140" s="200">
        <f t="shared" ref="O140:O151" si="50">+I140+F140</f>
        <v>4716787</v>
      </c>
      <c r="P140" s="148">
        <v>-7.4970000000000002E-3</v>
      </c>
      <c r="Q140" s="201">
        <f>O140*P140</f>
        <v>-35361.752139000004</v>
      </c>
      <c r="R140" s="171">
        <v>13185.32</v>
      </c>
      <c r="S140" s="171">
        <v>0</v>
      </c>
      <c r="T140" s="171">
        <v>25</v>
      </c>
      <c r="U140" s="479">
        <f>+H140+K140+N140+Q140+R140+S140+T140</f>
        <v>465248.35726100003</v>
      </c>
      <c r="V140" s="285"/>
    </row>
    <row r="141" spans="1:23" x14ac:dyDescent="0.25">
      <c r="A141" s="209" t="s">
        <v>157</v>
      </c>
      <c r="B141" s="46">
        <v>2013</v>
      </c>
      <c r="C141" s="179" t="s">
        <v>128</v>
      </c>
      <c r="D141" s="180">
        <v>8762</v>
      </c>
      <c r="E141" s="180">
        <v>10131</v>
      </c>
      <c r="F141" s="200">
        <v>939918</v>
      </c>
      <c r="G141" s="181">
        <v>0.24212</v>
      </c>
      <c r="H141" s="201">
        <f t="shared" ref="H141:H151" si="51">F141*G141</f>
        <v>227572.94615999999</v>
      </c>
      <c r="I141" s="200">
        <v>3630213</v>
      </c>
      <c r="J141" s="181">
        <v>4.8599999999999997E-2</v>
      </c>
      <c r="K141" s="201">
        <f t="shared" ref="K141:K151" si="52">I141*J141</f>
        <v>176428.3518</v>
      </c>
      <c r="L141" s="251">
        <v>10131</v>
      </c>
      <c r="M141" s="181">
        <v>7.6</v>
      </c>
      <c r="N141" s="201">
        <f t="shared" ref="N141:N151" si="53">L141*M141</f>
        <v>76995.599999999991</v>
      </c>
      <c r="O141" s="200">
        <f t="shared" si="50"/>
        <v>4570131</v>
      </c>
      <c r="P141" s="148">
        <v>-5.4349999999999997E-3</v>
      </c>
      <c r="Q141" s="201">
        <f t="shared" ref="Q141:Q151" si="54">O141*P141</f>
        <v>-24838.661984999999</v>
      </c>
      <c r="R141" s="171">
        <v>15818.15</v>
      </c>
      <c r="S141" s="171">
        <v>0</v>
      </c>
      <c r="T141" s="171">
        <v>25</v>
      </c>
      <c r="U141" s="479">
        <f t="shared" ref="U141:U151" si="55">+H141+K141+N141+Q141+R141+S141+T141</f>
        <v>472001.38597499998</v>
      </c>
      <c r="V141" s="285"/>
      <c r="W141" s="182"/>
    </row>
    <row r="142" spans="1:23" x14ac:dyDescent="0.25">
      <c r="A142" s="148" t="s">
        <v>158</v>
      </c>
      <c r="B142" s="46">
        <v>2013</v>
      </c>
      <c r="C142" s="179" t="s">
        <v>129</v>
      </c>
      <c r="D142" s="180">
        <v>10094</v>
      </c>
      <c r="E142" s="180">
        <v>10006</v>
      </c>
      <c r="F142" s="200">
        <v>1002447</v>
      </c>
      <c r="G142" s="181">
        <v>0.24212</v>
      </c>
      <c r="H142" s="201">
        <f>F142*G142</f>
        <v>242712.46763999999</v>
      </c>
      <c r="I142" s="200">
        <v>3841092</v>
      </c>
      <c r="J142" s="181">
        <v>4.8599999999999997E-2</v>
      </c>
      <c r="K142" s="201">
        <f t="shared" si="52"/>
        <v>186677.07119999998</v>
      </c>
      <c r="L142" s="251">
        <v>10094</v>
      </c>
      <c r="M142" s="181">
        <v>7.6</v>
      </c>
      <c r="N142" s="201">
        <f t="shared" si="53"/>
        <v>76714.399999999994</v>
      </c>
      <c r="O142" s="200">
        <f t="shared" si="50"/>
        <v>4843539</v>
      </c>
      <c r="P142" s="148">
        <v>-6.9350000000000002E-3</v>
      </c>
      <c r="Q142" s="201">
        <f t="shared" si="54"/>
        <v>-33589.942965000002</v>
      </c>
      <c r="R142" s="171">
        <f>16385.29</f>
        <v>16385.29</v>
      </c>
      <c r="S142" s="171">
        <v>-3566.37</v>
      </c>
      <c r="T142" s="171">
        <v>25</v>
      </c>
      <c r="U142" s="479">
        <f t="shared" si="55"/>
        <v>485357.91587499995</v>
      </c>
      <c r="V142" s="285"/>
    </row>
    <row r="143" spans="1:23" x14ac:dyDescent="0.25">
      <c r="A143" s="148" t="s">
        <v>159</v>
      </c>
      <c r="B143" s="46">
        <v>2013</v>
      </c>
      <c r="C143" s="179" t="s">
        <v>130</v>
      </c>
      <c r="D143" s="180">
        <v>8309</v>
      </c>
      <c r="E143" s="180">
        <v>9429</v>
      </c>
      <c r="F143" s="200">
        <v>347065</v>
      </c>
      <c r="G143" s="181">
        <v>0.24212</v>
      </c>
      <c r="H143" s="201">
        <f t="shared" si="51"/>
        <v>84031.377800000002</v>
      </c>
      <c r="I143" s="200">
        <v>4333016</v>
      </c>
      <c r="J143" s="181">
        <v>4.8599999999999997E-2</v>
      </c>
      <c r="K143" s="201">
        <f t="shared" si="52"/>
        <v>210584.57759999999</v>
      </c>
      <c r="L143" s="251">
        <v>9429</v>
      </c>
      <c r="M143" s="181">
        <v>7.6</v>
      </c>
      <c r="N143" s="201">
        <f t="shared" si="53"/>
        <v>71660.399999999994</v>
      </c>
      <c r="O143" s="200">
        <f t="shared" si="50"/>
        <v>4680081</v>
      </c>
      <c r="P143" s="148">
        <v>-7.2700000000000004E-3</v>
      </c>
      <c r="Q143" s="201">
        <f t="shared" si="54"/>
        <v>-34024.188870000005</v>
      </c>
      <c r="R143" s="171">
        <v>11521.71</v>
      </c>
      <c r="S143" s="171">
        <v>0</v>
      </c>
      <c r="T143" s="171">
        <v>25</v>
      </c>
      <c r="U143" s="479">
        <f t="shared" si="55"/>
        <v>343798.87653000001</v>
      </c>
      <c r="V143" s="285"/>
    </row>
    <row r="144" spans="1:23" x14ac:dyDescent="0.25">
      <c r="A144" s="148" t="s">
        <v>160</v>
      </c>
      <c r="B144" s="46">
        <v>2013</v>
      </c>
      <c r="C144" s="179" t="s">
        <v>131</v>
      </c>
      <c r="D144" s="180">
        <v>0</v>
      </c>
      <c r="E144" s="180">
        <v>9281</v>
      </c>
      <c r="F144" s="200">
        <v>0</v>
      </c>
      <c r="G144" s="181">
        <v>0.24212</v>
      </c>
      <c r="H144" s="201">
        <f t="shared" si="51"/>
        <v>0</v>
      </c>
      <c r="I144" s="200">
        <v>3660453</v>
      </c>
      <c r="J144" s="181">
        <v>4.8599999999999997E-2</v>
      </c>
      <c r="K144" s="201">
        <f t="shared" si="52"/>
        <v>177898.01579999999</v>
      </c>
      <c r="L144" s="251">
        <v>9281</v>
      </c>
      <c r="M144" s="181">
        <v>7.6</v>
      </c>
      <c r="N144" s="201">
        <f t="shared" si="53"/>
        <v>70535.599999999991</v>
      </c>
      <c r="O144" s="200">
        <f t="shared" si="50"/>
        <v>3660453</v>
      </c>
      <c r="P144" s="148">
        <v>-1.5675999999999999E-2</v>
      </c>
      <c r="Q144" s="201">
        <f t="shared" si="54"/>
        <v>-57381.261227999996</v>
      </c>
      <c r="R144" s="171">
        <v>6625.61</v>
      </c>
      <c r="S144" s="171">
        <v>-6625.61</v>
      </c>
      <c r="T144" s="171">
        <v>25</v>
      </c>
      <c r="U144" s="479">
        <f t="shared" si="55"/>
        <v>191077.35457199998</v>
      </c>
      <c r="V144" s="285"/>
    </row>
    <row r="145" spans="1:22" x14ac:dyDescent="0.25">
      <c r="A145" s="148" t="s">
        <v>161</v>
      </c>
      <c r="B145" s="46">
        <v>2013</v>
      </c>
      <c r="C145" s="179" t="s">
        <v>132</v>
      </c>
      <c r="D145" s="180">
        <v>0</v>
      </c>
      <c r="E145" s="180">
        <v>11528</v>
      </c>
      <c r="F145" s="200">
        <v>0</v>
      </c>
      <c r="G145" s="181">
        <v>0.24212</v>
      </c>
      <c r="H145" s="201">
        <f t="shared" si="51"/>
        <v>0</v>
      </c>
      <c r="I145" s="200">
        <v>3789364</v>
      </c>
      <c r="J145" s="181">
        <v>4.8599999999999997E-2</v>
      </c>
      <c r="K145" s="201">
        <f t="shared" si="52"/>
        <v>184163.09039999999</v>
      </c>
      <c r="L145" s="251">
        <v>11528</v>
      </c>
      <c r="M145" s="181">
        <v>7.6</v>
      </c>
      <c r="N145" s="201">
        <f t="shared" si="53"/>
        <v>87612.800000000003</v>
      </c>
      <c r="O145" s="200">
        <f t="shared" si="50"/>
        <v>3789364</v>
      </c>
      <c r="P145" s="148">
        <v>-8.4770000000000002E-3</v>
      </c>
      <c r="Q145" s="201">
        <f t="shared" si="54"/>
        <v>-32122.438628</v>
      </c>
      <c r="R145" s="171">
        <v>8310.85</v>
      </c>
      <c r="S145" s="171">
        <v>-8310.85</v>
      </c>
      <c r="T145" s="171">
        <v>25</v>
      </c>
      <c r="U145" s="479">
        <f t="shared" si="55"/>
        <v>239678.45177199997</v>
      </c>
      <c r="V145" s="285"/>
    </row>
    <row r="146" spans="1:22" x14ac:dyDescent="0.25">
      <c r="A146" s="148" t="s">
        <v>162</v>
      </c>
      <c r="B146" s="46">
        <v>2013</v>
      </c>
      <c r="C146" s="179" t="s">
        <v>133</v>
      </c>
      <c r="D146" s="180">
        <v>0</v>
      </c>
      <c r="E146" s="180">
        <v>7466</v>
      </c>
      <c r="F146" s="200">
        <v>0</v>
      </c>
      <c r="G146" s="181">
        <v>0.24212</v>
      </c>
      <c r="H146" s="201">
        <f t="shared" si="51"/>
        <v>0</v>
      </c>
      <c r="I146" s="200">
        <v>2579575</v>
      </c>
      <c r="J146" s="181">
        <v>4.8599999999999997E-2</v>
      </c>
      <c r="K146" s="201">
        <f t="shared" si="52"/>
        <v>125367.34499999999</v>
      </c>
      <c r="L146" s="200">
        <v>9000</v>
      </c>
      <c r="M146" s="181">
        <v>7.6</v>
      </c>
      <c r="N146" s="201">
        <f t="shared" si="53"/>
        <v>68400</v>
      </c>
      <c r="O146" s="200">
        <f t="shared" si="50"/>
        <v>2579575</v>
      </c>
      <c r="P146" s="148">
        <v>-1.2555E-2</v>
      </c>
      <c r="Q146" s="201">
        <f t="shared" si="54"/>
        <v>-32386.564125000001</v>
      </c>
      <c r="R146" s="171">
        <v>5596.75</v>
      </c>
      <c r="S146" s="171">
        <v>0</v>
      </c>
      <c r="T146" s="171">
        <v>25</v>
      </c>
      <c r="U146" s="479">
        <f t="shared" si="55"/>
        <v>167002.53087499997</v>
      </c>
      <c r="V146" s="285"/>
    </row>
    <row r="147" spans="1:22" x14ac:dyDescent="0.25">
      <c r="A147" s="148" t="s">
        <v>163</v>
      </c>
      <c r="B147" s="46">
        <v>2013</v>
      </c>
      <c r="C147" s="179" t="s">
        <v>134</v>
      </c>
      <c r="D147" s="180"/>
      <c r="E147" s="180"/>
      <c r="F147" s="200">
        <v>0</v>
      </c>
      <c r="G147" s="181">
        <v>0.24212</v>
      </c>
      <c r="H147" s="201">
        <f t="shared" si="51"/>
        <v>0</v>
      </c>
      <c r="I147" s="200">
        <v>3178669</v>
      </c>
      <c r="J147" s="181">
        <v>4.8599999999999997E-2</v>
      </c>
      <c r="K147" s="201">
        <f t="shared" si="52"/>
        <v>154483.31339999998</v>
      </c>
      <c r="L147" s="200">
        <v>9000</v>
      </c>
      <c r="M147" s="181">
        <v>7.6</v>
      </c>
      <c r="N147" s="201">
        <f t="shared" si="53"/>
        <v>68400</v>
      </c>
      <c r="O147" s="200">
        <f t="shared" si="50"/>
        <v>3178669</v>
      </c>
      <c r="P147" s="148">
        <v>-6.4619999999999999E-3</v>
      </c>
      <c r="Q147" s="201">
        <f t="shared" si="54"/>
        <v>-20540.559077999998</v>
      </c>
      <c r="R147" s="171">
        <v>7017.1</v>
      </c>
      <c r="S147" s="171">
        <v>0</v>
      </c>
      <c r="T147" s="171">
        <v>25</v>
      </c>
      <c r="U147" s="479">
        <f t="shared" si="55"/>
        <v>209384.854322</v>
      </c>
      <c r="V147" s="285"/>
    </row>
    <row r="148" spans="1:22" x14ac:dyDescent="0.25">
      <c r="A148" s="148" t="s">
        <v>164</v>
      </c>
      <c r="B148" s="46">
        <v>2013</v>
      </c>
      <c r="C148" s="179" t="s">
        <v>135</v>
      </c>
      <c r="D148" s="180">
        <v>0</v>
      </c>
      <c r="E148" s="180">
        <v>8026</v>
      </c>
      <c r="F148" s="200">
        <v>0</v>
      </c>
      <c r="G148" s="181">
        <v>0.24212</v>
      </c>
      <c r="H148" s="201">
        <f t="shared" si="51"/>
        <v>0</v>
      </c>
      <c r="I148" s="200">
        <v>3294129</v>
      </c>
      <c r="J148" s="181">
        <v>4.8599999999999997E-2</v>
      </c>
      <c r="K148" s="201">
        <f t="shared" si="52"/>
        <v>160094.66939999998</v>
      </c>
      <c r="L148" s="200">
        <v>9000</v>
      </c>
      <c r="M148" s="181">
        <v>7.6</v>
      </c>
      <c r="N148" s="201">
        <f t="shared" si="53"/>
        <v>68400</v>
      </c>
      <c r="O148" s="200">
        <f t="shared" si="50"/>
        <v>3294129</v>
      </c>
      <c r="P148" s="148">
        <v>-7.5230000000000002E-3</v>
      </c>
      <c r="Q148" s="201">
        <f t="shared" si="54"/>
        <v>-24781.732467000002</v>
      </c>
      <c r="R148" s="171">
        <v>7064.61</v>
      </c>
      <c r="S148" s="171">
        <v>0</v>
      </c>
      <c r="T148" s="171">
        <v>25</v>
      </c>
      <c r="U148" s="479">
        <f t="shared" si="55"/>
        <v>210802.54693299998</v>
      </c>
      <c r="V148" s="285"/>
    </row>
    <row r="149" spans="1:22" x14ac:dyDescent="0.25">
      <c r="A149" s="148" t="s">
        <v>165</v>
      </c>
      <c r="B149" s="46">
        <v>2013</v>
      </c>
      <c r="C149" s="179" t="s">
        <v>136</v>
      </c>
      <c r="D149" s="180">
        <v>0</v>
      </c>
      <c r="E149" s="180">
        <v>10282</v>
      </c>
      <c r="F149" s="200">
        <v>0</v>
      </c>
      <c r="G149" s="181">
        <v>0.24212</v>
      </c>
      <c r="H149" s="201">
        <f t="shared" si="51"/>
        <v>0</v>
      </c>
      <c r="I149" s="200">
        <v>4352645</v>
      </c>
      <c r="J149" s="181">
        <v>4.8599999999999997E-2</v>
      </c>
      <c r="K149" s="201">
        <f t="shared" si="52"/>
        <v>211538.54699999999</v>
      </c>
      <c r="L149" s="251">
        <v>10282</v>
      </c>
      <c r="M149" s="181">
        <v>7.6</v>
      </c>
      <c r="N149" s="201">
        <f t="shared" si="53"/>
        <v>78143.199999999997</v>
      </c>
      <c r="O149" s="200">
        <f t="shared" si="50"/>
        <v>4352645</v>
      </c>
      <c r="P149" s="148">
        <v>-1.0522999999999999E-2</v>
      </c>
      <c r="Q149" s="201">
        <f t="shared" si="54"/>
        <v>-45802.883334999999</v>
      </c>
      <c r="R149" s="171">
        <v>8457.3700000000008</v>
      </c>
      <c r="S149" s="171">
        <v>0</v>
      </c>
      <c r="T149" s="171">
        <v>25</v>
      </c>
      <c r="U149" s="479">
        <f t="shared" si="55"/>
        <v>252361.23366499998</v>
      </c>
      <c r="V149" s="285"/>
    </row>
    <row r="150" spans="1:22" x14ac:dyDescent="0.25">
      <c r="A150" s="148" t="s">
        <v>166</v>
      </c>
      <c r="B150" s="46">
        <v>2013</v>
      </c>
      <c r="C150" s="179" t="s">
        <v>137</v>
      </c>
      <c r="D150" s="180">
        <v>0</v>
      </c>
      <c r="E150" s="180">
        <v>9119</v>
      </c>
      <c r="F150" s="200">
        <v>0</v>
      </c>
      <c r="G150" s="181">
        <v>0.24212</v>
      </c>
      <c r="H150" s="201">
        <f t="shared" si="51"/>
        <v>0</v>
      </c>
      <c r="I150" s="200">
        <v>3557325</v>
      </c>
      <c r="J150" s="181">
        <v>4.8599999999999997E-2</v>
      </c>
      <c r="K150" s="201">
        <f t="shared" si="52"/>
        <v>172885.995</v>
      </c>
      <c r="L150" s="251">
        <v>9119</v>
      </c>
      <c r="M150" s="181">
        <v>7.6</v>
      </c>
      <c r="N150" s="201">
        <f t="shared" si="53"/>
        <v>69304.399999999994</v>
      </c>
      <c r="O150" s="200">
        <f t="shared" si="50"/>
        <v>3557325</v>
      </c>
      <c r="P150" s="148">
        <v>-4.829E-3</v>
      </c>
      <c r="Q150" s="201">
        <f t="shared" si="54"/>
        <v>-17178.322424999998</v>
      </c>
      <c r="R150" s="171">
        <v>7803.16</v>
      </c>
      <c r="S150" s="171">
        <v>0</v>
      </c>
      <c r="T150" s="171">
        <v>25</v>
      </c>
      <c r="U150" s="479">
        <f t="shared" si="55"/>
        <v>232840.232575</v>
      </c>
      <c r="V150" s="285"/>
    </row>
    <row r="151" spans="1:22" x14ac:dyDescent="0.25">
      <c r="A151" s="148" t="s">
        <v>167</v>
      </c>
      <c r="B151" s="46">
        <v>2013</v>
      </c>
      <c r="C151" s="179" t="s">
        <v>138</v>
      </c>
      <c r="D151" s="180">
        <v>7427</v>
      </c>
      <c r="E151" s="180">
        <v>9092</v>
      </c>
      <c r="F151" s="200">
        <v>532516</v>
      </c>
      <c r="G151" s="181">
        <v>0.24212</v>
      </c>
      <c r="H151" s="201">
        <f t="shared" si="51"/>
        <v>128932.77392000001</v>
      </c>
      <c r="I151" s="200">
        <v>3992351</v>
      </c>
      <c r="J151" s="181">
        <v>4.8599999999999997E-2</v>
      </c>
      <c r="K151" s="201">
        <f t="shared" si="52"/>
        <v>194028.2586</v>
      </c>
      <c r="L151" s="251">
        <v>9092</v>
      </c>
      <c r="M151" s="181">
        <v>7.6</v>
      </c>
      <c r="N151" s="201">
        <f t="shared" si="53"/>
        <v>69099.199999999997</v>
      </c>
      <c r="O151" s="200">
        <f t="shared" si="50"/>
        <v>4524867</v>
      </c>
      <c r="P151" s="148">
        <v>3.728E-3</v>
      </c>
      <c r="Q151" s="201">
        <f t="shared" si="54"/>
        <v>16868.704175999999</v>
      </c>
      <c r="R151" s="171">
        <v>14180.48</v>
      </c>
      <c r="S151" s="171">
        <v>0</v>
      </c>
      <c r="T151" s="171">
        <v>25</v>
      </c>
      <c r="U151" s="479">
        <f t="shared" si="55"/>
        <v>423134.41669600003</v>
      </c>
      <c r="V151" s="282"/>
    </row>
    <row r="152" spans="1:22" x14ac:dyDescent="0.25">
      <c r="A152" s="183" t="s">
        <v>125</v>
      </c>
      <c r="B152" s="184"/>
      <c r="C152" s="184"/>
      <c r="D152" s="185">
        <f>SUM(D140:D151)</f>
        <v>43038</v>
      </c>
      <c r="E152" s="185">
        <f>SUM(E140:E151)</f>
        <v>105070</v>
      </c>
      <c r="F152" s="202">
        <f>SUM(F140:F151)</f>
        <v>3735381</v>
      </c>
      <c r="G152" s="187"/>
      <c r="H152" s="203">
        <f>SUM(H140:H151)</f>
        <v>904410.44772000005</v>
      </c>
      <c r="I152" s="202">
        <f>SUM(I140:I151)</f>
        <v>44012184</v>
      </c>
      <c r="J152" s="187"/>
      <c r="K152" s="203">
        <f>SUM(K140:K151)</f>
        <v>2138992.1423999998</v>
      </c>
      <c r="L152" s="202">
        <f>SUM(L140:L151)</f>
        <v>116666</v>
      </c>
      <c r="M152" s="187"/>
      <c r="N152" s="203">
        <f>SUM(N140:N151)</f>
        <v>886661.59999999986</v>
      </c>
      <c r="O152" s="202">
        <f>SUM(O140:O151)</f>
        <v>47747565</v>
      </c>
      <c r="P152" s="186"/>
      <c r="Q152" s="203">
        <f>SUM(Q140:Q151)</f>
        <v>-341139.60306900006</v>
      </c>
      <c r="R152" s="188">
        <f>SUM(R140:R151)</f>
        <v>121966.40000000001</v>
      </c>
      <c r="S152" s="188">
        <f>SUM(S140:S151)</f>
        <v>-18502.830000000002</v>
      </c>
      <c r="T152" s="186">
        <f>SUM(T140:T151)</f>
        <v>300</v>
      </c>
      <c r="U152" s="481">
        <f>SUM(U140:U151)</f>
        <v>3692688.1570509998</v>
      </c>
      <c r="V152" s="282"/>
    </row>
    <row r="153" spans="1:22" s="264" customFormat="1" x14ac:dyDescent="0.25">
      <c r="A153" s="189" t="s">
        <v>126</v>
      </c>
      <c r="B153" s="190"/>
      <c r="C153" s="190"/>
      <c r="D153" s="185"/>
      <c r="E153" s="185"/>
      <c r="F153" s="204">
        <f>AVERAGE(F140:F151)</f>
        <v>311281.75</v>
      </c>
      <c r="G153" s="192"/>
      <c r="H153" s="205">
        <f>AVERAGE(H140:H151)</f>
        <v>75367.53731</v>
      </c>
      <c r="I153" s="204">
        <f>AVERAGE(I140:I151)</f>
        <v>3667682</v>
      </c>
      <c r="J153" s="192"/>
      <c r="K153" s="205">
        <f>AVERAGE(K140:K151)</f>
        <v>178249.34519999998</v>
      </c>
      <c r="L153" s="204">
        <f>AVERAGE(L140:L151)</f>
        <v>9722.1666666666661</v>
      </c>
      <c r="M153" s="192"/>
      <c r="N153" s="205">
        <f>AVERAGE(N140:N151)</f>
        <v>73888.46666666666</v>
      </c>
      <c r="O153" s="204">
        <f>AVERAGE(O140:O151)</f>
        <v>3978963.75</v>
      </c>
      <c r="P153" s="191"/>
      <c r="Q153" s="205">
        <f>AVERAGE(Q140:Q151)</f>
        <v>-28428.300255750004</v>
      </c>
      <c r="R153" s="193"/>
      <c r="S153" s="193"/>
      <c r="T153" s="191"/>
      <c r="U153" s="483">
        <f>AVERAGE(U140:U151)</f>
        <v>307724.0130875833</v>
      </c>
      <c r="V153" s="282"/>
    </row>
    <row r="154" spans="1:22" s="239" customFormat="1" x14ac:dyDescent="0.25">
      <c r="A154" s="189"/>
      <c r="B154" s="190"/>
      <c r="C154" s="190"/>
      <c r="D154" s="185"/>
      <c r="E154" s="185"/>
      <c r="F154" s="204"/>
      <c r="G154" s="192"/>
      <c r="H154" s="205"/>
      <c r="I154" s="204"/>
      <c r="J154" s="192"/>
      <c r="K154" s="205"/>
      <c r="L154" s="204"/>
      <c r="M154" s="314" t="s">
        <v>220</v>
      </c>
      <c r="N154" s="315">
        <f>((68400*12)-N152)</f>
        <v>-65861.59999999986</v>
      </c>
      <c r="O154" s="204"/>
      <c r="P154" s="191"/>
      <c r="Q154" s="205"/>
      <c r="R154" s="193"/>
      <c r="S154" s="193"/>
      <c r="T154" s="191"/>
      <c r="U154" s="483"/>
      <c r="V154" s="230"/>
    </row>
    <row r="155" spans="1:22" s="239" customFormat="1" ht="26.25" x14ac:dyDescent="0.25">
      <c r="A155" s="237" t="s">
        <v>179</v>
      </c>
      <c r="B155" s="247"/>
      <c r="C155" s="247"/>
      <c r="D155" s="248">
        <f>(D152-D172)/D172</f>
        <v>-5.9587020648967551E-2</v>
      </c>
      <c r="E155" s="248">
        <f>(E152-E172)/E172</f>
        <v>-0.10726878796890267</v>
      </c>
      <c r="F155" s="248">
        <f>(F152-F172)/F172</f>
        <v>-3.2961250718434127E-3</v>
      </c>
      <c r="G155" s="235"/>
      <c r="H155" s="236"/>
      <c r="I155" s="248">
        <f>(I152-I172)/I172</f>
        <v>1.2324537395703661E-2</v>
      </c>
      <c r="J155" s="235"/>
      <c r="K155" s="236"/>
      <c r="L155" s="248">
        <f>(L152-L172)/L172</f>
        <v>-4.1985892477356526E-2</v>
      </c>
      <c r="M155" s="235"/>
      <c r="N155" s="236">
        <f>(N152-N172)</f>
        <v>-38858.800000000047</v>
      </c>
      <c r="O155" s="248">
        <f>(O152-O172)/O172</f>
        <v>1.1084871679480888E-2</v>
      </c>
      <c r="P155" s="235">
        <f>AVERAGE(P140:P151)</f>
        <v>-7.4545000000000002E-3</v>
      </c>
      <c r="Q155" s="236"/>
      <c r="R155" s="235"/>
      <c r="S155" s="235"/>
      <c r="T155" s="235"/>
      <c r="U155" s="508">
        <f>(U152)</f>
        <v>3692688.1570509998</v>
      </c>
      <c r="V155" s="282"/>
    </row>
    <row r="156" spans="1:22" ht="15" customHeight="1" x14ac:dyDescent="0.25">
      <c r="A156" s="242"/>
      <c r="B156" s="243"/>
      <c r="C156" s="243"/>
      <c r="D156" s="244"/>
      <c r="E156" s="244"/>
      <c r="F156" s="244"/>
      <c r="G156" s="245"/>
      <c r="H156" s="246"/>
      <c r="I156" s="244"/>
      <c r="J156" s="245"/>
      <c r="K156" s="246"/>
      <c r="L156" s="244"/>
      <c r="M156" s="245"/>
      <c r="N156" s="246"/>
      <c r="O156" s="244"/>
      <c r="P156" s="245"/>
      <c r="Q156" s="246"/>
      <c r="R156" s="273">
        <f>121966.4/47747565</f>
        <v>2.5544004181155622E-3</v>
      </c>
      <c r="S156" s="245"/>
      <c r="T156" s="245"/>
    </row>
    <row r="157" spans="1:22" ht="15.75" customHeight="1" x14ac:dyDescent="0.25"/>
    <row r="158" spans="1:22" ht="33" customHeight="1" x14ac:dyDescent="0.25">
      <c r="A158" s="176" t="s">
        <v>48</v>
      </c>
      <c r="B158" s="194"/>
      <c r="C158" s="194"/>
      <c r="D158" s="194"/>
      <c r="E158" s="194"/>
      <c r="F158" s="206"/>
      <c r="G158" s="194"/>
      <c r="H158" s="207"/>
      <c r="I158" s="206"/>
      <c r="J158" s="194"/>
      <c r="K158" s="207"/>
      <c r="L158" s="206"/>
      <c r="U158" s="284"/>
      <c r="V158" s="284"/>
    </row>
    <row r="159" spans="1:22" ht="45" x14ac:dyDescent="0.25">
      <c r="A159" s="177" t="s">
        <v>95</v>
      </c>
      <c r="B159" s="43" t="s">
        <v>96</v>
      </c>
      <c r="C159" s="43" t="s">
        <v>153</v>
      </c>
      <c r="D159" s="178" t="s">
        <v>139</v>
      </c>
      <c r="E159" s="178" t="s">
        <v>140</v>
      </c>
      <c r="F159" s="198" t="s">
        <v>99</v>
      </c>
      <c r="G159" s="177" t="s">
        <v>100</v>
      </c>
      <c r="H159" s="199" t="s">
        <v>101</v>
      </c>
      <c r="I159" s="198" t="s">
        <v>102</v>
      </c>
      <c r="J159" s="177" t="s">
        <v>103</v>
      </c>
      <c r="K159" s="199" t="s">
        <v>104</v>
      </c>
      <c r="L159" s="198" t="s">
        <v>154</v>
      </c>
      <c r="M159" s="177" t="s">
        <v>155</v>
      </c>
      <c r="N159" s="199" t="s">
        <v>105</v>
      </c>
      <c r="O159" s="198" t="s">
        <v>106</v>
      </c>
      <c r="P159" s="177" t="s">
        <v>107</v>
      </c>
      <c r="Q159" s="199" t="s">
        <v>108</v>
      </c>
      <c r="R159" s="177" t="s">
        <v>109</v>
      </c>
      <c r="S159" s="177" t="s">
        <v>110</v>
      </c>
      <c r="T159" s="177" t="s">
        <v>111</v>
      </c>
      <c r="U159" s="476" t="s">
        <v>112</v>
      </c>
      <c r="V159" s="285"/>
    </row>
    <row r="160" spans="1:22" x14ac:dyDescent="0.25">
      <c r="A160" s="148" t="s">
        <v>156</v>
      </c>
      <c r="B160" s="46">
        <v>2012</v>
      </c>
      <c r="C160" s="195" t="s">
        <v>141</v>
      </c>
      <c r="D160" s="180">
        <v>9097</v>
      </c>
      <c r="E160" s="180">
        <v>11563</v>
      </c>
      <c r="F160" s="200">
        <v>960173</v>
      </c>
      <c r="G160" s="181">
        <v>0.24212</v>
      </c>
      <c r="H160" s="201">
        <f>F160*G160</f>
        <v>232477.08676000001</v>
      </c>
      <c r="I160" s="200">
        <v>3995293</v>
      </c>
      <c r="J160" s="181">
        <v>4.8599999999999997E-2</v>
      </c>
      <c r="K160" s="201">
        <f>I160*J160</f>
        <v>194171.23979999998</v>
      </c>
      <c r="L160" s="251">
        <v>11563</v>
      </c>
      <c r="M160" s="181">
        <v>7.6</v>
      </c>
      <c r="N160" s="201">
        <f>L160*M160</f>
        <v>87878.8</v>
      </c>
      <c r="O160" s="200">
        <f t="shared" ref="O160:O171" si="56">+I160+F160</f>
        <v>4955466</v>
      </c>
      <c r="P160" s="148">
        <v>5.62E-4</v>
      </c>
      <c r="Q160" s="201">
        <f>O160*P160</f>
        <v>2784.971892</v>
      </c>
      <c r="R160" s="171">
        <v>9338.9699999999993</v>
      </c>
      <c r="S160" s="171">
        <v>0</v>
      </c>
      <c r="T160" s="171">
        <v>25</v>
      </c>
      <c r="U160" s="479">
        <f>+H160+K160+N160+Q160+R160+S160+T160</f>
        <v>526676.06845199992</v>
      </c>
      <c r="V160" s="285"/>
    </row>
    <row r="161" spans="1:22" x14ac:dyDescent="0.25">
      <c r="A161" s="148" t="s">
        <v>157</v>
      </c>
      <c r="B161" s="46">
        <v>2012</v>
      </c>
      <c r="C161" s="179" t="s">
        <v>142</v>
      </c>
      <c r="D161" s="180">
        <v>10665</v>
      </c>
      <c r="E161" s="180">
        <v>13323</v>
      </c>
      <c r="F161" s="200">
        <v>939443</v>
      </c>
      <c r="G161" s="181">
        <v>0.24212</v>
      </c>
      <c r="H161" s="201">
        <f t="shared" ref="H161:H171" si="57">F161*G161</f>
        <v>227457.93916000001</v>
      </c>
      <c r="I161" s="200">
        <v>3761677</v>
      </c>
      <c r="J161" s="181">
        <v>4.8599999999999997E-2</v>
      </c>
      <c r="K161" s="201">
        <f t="shared" ref="K161:K171" si="58">I161*J161</f>
        <v>182817.50219999999</v>
      </c>
      <c r="L161" s="251">
        <v>13323</v>
      </c>
      <c r="M161" s="181">
        <v>7.6</v>
      </c>
      <c r="N161" s="201">
        <f t="shared" ref="N161:N171" si="59">L161*M161</f>
        <v>101254.79999999999</v>
      </c>
      <c r="O161" s="200">
        <f t="shared" si="56"/>
        <v>4701120</v>
      </c>
      <c r="P161" s="148">
        <v>-4.2400000000000001E-4</v>
      </c>
      <c r="Q161" s="201">
        <f t="shared" ref="Q161:Q171" si="60">O161*P161</f>
        <v>-1993.2748799999999</v>
      </c>
      <c r="R161" s="171">
        <v>9198.61</v>
      </c>
      <c r="S161" s="171">
        <v>0</v>
      </c>
      <c r="T161" s="171">
        <v>25</v>
      </c>
      <c r="U161" s="479">
        <f t="shared" ref="U161:U171" si="61">+H161+K161+N161+Q161+R161+S161+T161</f>
        <v>518760.57647999999</v>
      </c>
      <c r="V161" s="285"/>
    </row>
    <row r="162" spans="1:22" x14ac:dyDescent="0.25">
      <c r="A162" s="209" t="s">
        <v>158</v>
      </c>
      <c r="B162" s="46">
        <v>2012</v>
      </c>
      <c r="C162" s="179" t="s">
        <v>143</v>
      </c>
      <c r="D162" s="180">
        <v>9607</v>
      </c>
      <c r="E162" s="180">
        <v>10916</v>
      </c>
      <c r="F162" s="200">
        <v>1096671</v>
      </c>
      <c r="G162" s="181">
        <v>0.24212</v>
      </c>
      <c r="H162" s="201">
        <f t="shared" si="57"/>
        <v>265525.98252000002</v>
      </c>
      <c r="I162" s="200">
        <v>4337526</v>
      </c>
      <c r="J162" s="181">
        <v>4.8599999999999997E-2</v>
      </c>
      <c r="K162" s="201">
        <f t="shared" si="58"/>
        <v>210803.76359999998</v>
      </c>
      <c r="L162" s="251">
        <v>10916</v>
      </c>
      <c r="M162" s="181">
        <v>7.6</v>
      </c>
      <c r="N162" s="201">
        <f t="shared" si="59"/>
        <v>82961.599999999991</v>
      </c>
      <c r="O162" s="200">
        <f t="shared" si="56"/>
        <v>5434197</v>
      </c>
      <c r="P162" s="148">
        <v>-5.1489999999999999E-3</v>
      </c>
      <c r="Q162" s="201">
        <f t="shared" si="60"/>
        <v>-27980.680353</v>
      </c>
      <c r="R162" s="171">
        <v>9591.67</v>
      </c>
      <c r="S162" s="171">
        <v>0</v>
      </c>
      <c r="T162" s="171">
        <v>25</v>
      </c>
      <c r="U162" s="479">
        <f t="shared" si="61"/>
        <v>540927.3357670001</v>
      </c>
      <c r="V162" s="285"/>
    </row>
    <row r="163" spans="1:22" x14ac:dyDescent="0.25">
      <c r="A163" s="209" t="s">
        <v>159</v>
      </c>
      <c r="B163" s="46">
        <v>2012</v>
      </c>
      <c r="C163" s="179" t="s">
        <v>144</v>
      </c>
      <c r="D163" s="180">
        <v>8395</v>
      </c>
      <c r="E163" s="180">
        <v>9123</v>
      </c>
      <c r="F163" s="200">
        <v>182923</v>
      </c>
      <c r="G163" s="181">
        <v>0.24212</v>
      </c>
      <c r="H163" s="201">
        <f t="shared" si="57"/>
        <v>44289.316760000002</v>
      </c>
      <c r="I163" s="200">
        <v>3778341</v>
      </c>
      <c r="J163" s="181">
        <v>4.8599999999999997E-2</v>
      </c>
      <c r="K163" s="201">
        <f t="shared" si="58"/>
        <v>183627.3726</v>
      </c>
      <c r="L163" s="251">
        <v>9123</v>
      </c>
      <c r="M163" s="181">
        <v>7.6</v>
      </c>
      <c r="N163" s="201">
        <f t="shared" si="59"/>
        <v>69334.8</v>
      </c>
      <c r="O163" s="200">
        <f t="shared" si="56"/>
        <v>3961264</v>
      </c>
      <c r="P163" s="148">
        <v>1.292E-3</v>
      </c>
      <c r="Q163" s="201">
        <f t="shared" si="60"/>
        <v>5117.9530880000002</v>
      </c>
      <c r="R163" s="171">
        <v>5458.82</v>
      </c>
      <c r="S163" s="171">
        <v>0</v>
      </c>
      <c r="T163" s="171">
        <v>25</v>
      </c>
      <c r="U163" s="479">
        <f t="shared" si="61"/>
        <v>307853.26244800002</v>
      </c>
      <c r="V163" s="285"/>
    </row>
    <row r="164" spans="1:22" x14ac:dyDescent="0.25">
      <c r="A164" s="209" t="s">
        <v>160</v>
      </c>
      <c r="B164" s="46">
        <v>2012</v>
      </c>
      <c r="C164" s="179" t="s">
        <v>145</v>
      </c>
      <c r="D164" s="180">
        <v>0</v>
      </c>
      <c r="E164" s="180">
        <v>7558</v>
      </c>
      <c r="F164" s="200">
        <v>0</v>
      </c>
      <c r="G164" s="181">
        <v>0.24212</v>
      </c>
      <c r="H164" s="201">
        <f t="shared" si="57"/>
        <v>0</v>
      </c>
      <c r="I164" s="200">
        <v>3107539</v>
      </c>
      <c r="J164" s="181">
        <v>4.8599999999999997E-2</v>
      </c>
      <c r="K164" s="201">
        <f t="shared" si="58"/>
        <v>151026.39539999998</v>
      </c>
      <c r="L164" s="200">
        <v>9000</v>
      </c>
      <c r="M164" s="181">
        <v>7.6</v>
      </c>
      <c r="N164" s="201">
        <f t="shared" si="59"/>
        <v>68400</v>
      </c>
      <c r="O164" s="200">
        <f t="shared" si="56"/>
        <v>3107539</v>
      </c>
      <c r="P164" s="148">
        <v>-1.0200000000000001E-2</v>
      </c>
      <c r="Q164" s="201">
        <f t="shared" si="60"/>
        <v>-31696.897800000002</v>
      </c>
      <c r="R164" s="171">
        <v>3389.34</v>
      </c>
      <c r="S164" s="171">
        <v>0</v>
      </c>
      <c r="T164" s="171">
        <v>25</v>
      </c>
      <c r="U164" s="479">
        <f t="shared" si="61"/>
        <v>191143.83759999997</v>
      </c>
      <c r="V164" s="285"/>
    </row>
    <row r="165" spans="1:22" x14ac:dyDescent="0.25">
      <c r="A165" s="209" t="s">
        <v>161</v>
      </c>
      <c r="B165" s="46">
        <v>2012</v>
      </c>
      <c r="C165" s="179" t="s">
        <v>146</v>
      </c>
      <c r="D165" s="180">
        <v>0</v>
      </c>
      <c r="E165" s="180">
        <v>6668</v>
      </c>
      <c r="F165" s="200">
        <v>0</v>
      </c>
      <c r="G165" s="181">
        <v>0.24212</v>
      </c>
      <c r="H165" s="201">
        <f t="shared" si="57"/>
        <v>0</v>
      </c>
      <c r="I165" s="200">
        <v>2965682</v>
      </c>
      <c r="J165" s="181">
        <v>4.8599999999999997E-2</v>
      </c>
      <c r="K165" s="201">
        <f t="shared" si="58"/>
        <v>144132.1452</v>
      </c>
      <c r="L165" s="200">
        <v>9000</v>
      </c>
      <c r="M165" s="181">
        <v>7.6</v>
      </c>
      <c r="N165" s="201">
        <f t="shared" si="59"/>
        <v>68400</v>
      </c>
      <c r="O165" s="200">
        <f t="shared" si="56"/>
        <v>2965682</v>
      </c>
      <c r="P165" s="148">
        <v>-5.2090000000000001E-3</v>
      </c>
      <c r="Q165" s="201">
        <f t="shared" si="60"/>
        <v>-15448.237537999999</v>
      </c>
      <c r="R165" s="171">
        <v>3558.21</v>
      </c>
      <c r="S165" s="171">
        <v>0</v>
      </c>
      <c r="T165" s="171">
        <v>25</v>
      </c>
      <c r="U165" s="479">
        <f t="shared" si="61"/>
        <v>200667.117662</v>
      </c>
      <c r="V165" s="285"/>
    </row>
    <row r="166" spans="1:22" x14ac:dyDescent="0.25">
      <c r="A166" s="209" t="s">
        <v>162</v>
      </c>
      <c r="B166" s="46">
        <v>2012</v>
      </c>
      <c r="C166" s="179" t="s">
        <v>147</v>
      </c>
      <c r="D166" s="180">
        <v>0</v>
      </c>
      <c r="E166" s="180">
        <v>9316</v>
      </c>
      <c r="F166" s="200">
        <v>0</v>
      </c>
      <c r="G166" s="181">
        <v>0.24212</v>
      </c>
      <c r="H166" s="201">
        <f t="shared" si="57"/>
        <v>0</v>
      </c>
      <c r="I166" s="200">
        <v>2696385</v>
      </c>
      <c r="J166" s="181">
        <v>4.8599999999999997E-2</v>
      </c>
      <c r="K166" s="201">
        <f t="shared" si="58"/>
        <v>131044.31099999999</v>
      </c>
      <c r="L166" s="251">
        <v>9316</v>
      </c>
      <c r="M166" s="181">
        <v>7.6</v>
      </c>
      <c r="N166" s="201">
        <f t="shared" si="59"/>
        <v>70801.599999999991</v>
      </c>
      <c r="O166" s="200">
        <f t="shared" si="56"/>
        <v>2696385</v>
      </c>
      <c r="P166" s="148">
        <v>-1.0151E-2</v>
      </c>
      <c r="Q166" s="201">
        <f t="shared" si="60"/>
        <v>-27371.004134999999</v>
      </c>
      <c r="R166" s="171">
        <v>3150.07</v>
      </c>
      <c r="S166" s="171">
        <v>0</v>
      </c>
      <c r="T166" s="171">
        <v>25</v>
      </c>
      <c r="U166" s="479">
        <f t="shared" si="61"/>
        <v>177649.97686499998</v>
      </c>
      <c r="V166" s="285"/>
    </row>
    <row r="167" spans="1:22" x14ac:dyDescent="0.25">
      <c r="A167" s="209" t="s">
        <v>163</v>
      </c>
      <c r="B167" s="46">
        <v>2012</v>
      </c>
      <c r="C167" s="179" t="s">
        <v>148</v>
      </c>
      <c r="D167" s="180">
        <v>0</v>
      </c>
      <c r="E167" s="180">
        <v>9140</v>
      </c>
      <c r="F167" s="200">
        <v>0</v>
      </c>
      <c r="G167" s="181">
        <v>0.24212</v>
      </c>
      <c r="H167" s="201">
        <f t="shared" si="57"/>
        <v>0</v>
      </c>
      <c r="I167" s="200">
        <v>3315028</v>
      </c>
      <c r="J167" s="181">
        <v>4.8599999999999997E-2</v>
      </c>
      <c r="K167" s="201">
        <f t="shared" si="58"/>
        <v>161110.36079999999</v>
      </c>
      <c r="L167" s="251">
        <v>9140</v>
      </c>
      <c r="M167" s="181">
        <v>7.6</v>
      </c>
      <c r="N167" s="201">
        <f t="shared" si="59"/>
        <v>69464</v>
      </c>
      <c r="O167" s="200">
        <f t="shared" si="56"/>
        <v>3315028</v>
      </c>
      <c r="P167" s="148">
        <v>-7.3099999999999997E-3</v>
      </c>
      <c r="Q167" s="201">
        <f t="shared" si="60"/>
        <v>-24232.85468</v>
      </c>
      <c r="R167" s="171">
        <v>3725.33</v>
      </c>
      <c r="S167" s="171">
        <v>0</v>
      </c>
      <c r="T167" s="171">
        <v>25</v>
      </c>
      <c r="U167" s="479">
        <f t="shared" si="61"/>
        <v>210091.83611999999</v>
      </c>
      <c r="V167" s="285"/>
    </row>
    <row r="168" spans="1:22" x14ac:dyDescent="0.25">
      <c r="A168" s="209" t="s">
        <v>164</v>
      </c>
      <c r="B168" s="46">
        <v>2012</v>
      </c>
      <c r="C168" s="179" t="s">
        <v>149</v>
      </c>
      <c r="D168" s="180">
        <v>0</v>
      </c>
      <c r="E168" s="180">
        <v>10584</v>
      </c>
      <c r="F168" s="200">
        <v>0</v>
      </c>
      <c r="G168" s="181">
        <v>0.24212</v>
      </c>
      <c r="H168" s="201">
        <f t="shared" si="57"/>
        <v>0</v>
      </c>
      <c r="I168" s="200">
        <v>4028474</v>
      </c>
      <c r="J168" s="181">
        <v>4.8599999999999997E-2</v>
      </c>
      <c r="K168" s="201">
        <f t="shared" si="58"/>
        <v>195783.8364</v>
      </c>
      <c r="L168" s="251">
        <v>10584</v>
      </c>
      <c r="M168" s="181">
        <v>7.6</v>
      </c>
      <c r="N168" s="201">
        <f t="shared" si="59"/>
        <v>80438.399999999994</v>
      </c>
      <c r="O168" s="200">
        <f t="shared" si="56"/>
        <v>4028474</v>
      </c>
      <c r="P168" s="148">
        <v>-1.1108E-2</v>
      </c>
      <c r="Q168" s="201">
        <f t="shared" si="60"/>
        <v>-44748.289191999997</v>
      </c>
      <c r="R168" s="171">
        <v>4179.0200000000004</v>
      </c>
      <c r="S168" s="171">
        <v>0</v>
      </c>
      <c r="T168" s="171">
        <v>25</v>
      </c>
      <c r="U168" s="479">
        <f t="shared" si="61"/>
        <v>235677.96720799999</v>
      </c>
      <c r="V168" s="285"/>
    </row>
    <row r="169" spans="1:22" x14ac:dyDescent="0.25">
      <c r="A169" s="209" t="s">
        <v>165</v>
      </c>
      <c r="B169" s="46">
        <v>2012</v>
      </c>
      <c r="C169" s="179" t="s">
        <v>150</v>
      </c>
      <c r="D169" s="180">
        <v>0</v>
      </c>
      <c r="E169" s="180">
        <v>11442</v>
      </c>
      <c r="F169" s="200">
        <v>0</v>
      </c>
      <c r="G169" s="181">
        <v>0.24212</v>
      </c>
      <c r="H169" s="201">
        <f t="shared" si="57"/>
        <v>0</v>
      </c>
      <c r="I169" s="200">
        <v>4206595</v>
      </c>
      <c r="J169" s="181">
        <v>4.8599999999999997E-2</v>
      </c>
      <c r="K169" s="201">
        <f t="shared" si="58"/>
        <v>204440.51699999999</v>
      </c>
      <c r="L169" s="251">
        <v>11442</v>
      </c>
      <c r="M169" s="181">
        <v>7.6</v>
      </c>
      <c r="N169" s="201">
        <f t="shared" si="59"/>
        <v>86959.2</v>
      </c>
      <c r="O169" s="200">
        <f t="shared" si="56"/>
        <v>4206595</v>
      </c>
      <c r="P169" s="148">
        <v>-1.3346999999999999E-2</v>
      </c>
      <c r="Q169" s="201">
        <f t="shared" si="60"/>
        <v>-56145.423465</v>
      </c>
      <c r="R169" s="171">
        <v>6862.39</v>
      </c>
      <c r="S169" s="171">
        <v>0</v>
      </c>
      <c r="T169" s="171">
        <v>25</v>
      </c>
      <c r="U169" s="479">
        <f t="shared" si="61"/>
        <v>242141.68353500002</v>
      </c>
      <c r="V169" s="285"/>
    </row>
    <row r="170" spans="1:22" x14ac:dyDescent="0.25">
      <c r="A170" s="209" t="s">
        <v>166</v>
      </c>
      <c r="B170" s="46">
        <v>2012</v>
      </c>
      <c r="C170" s="179" t="s">
        <v>151</v>
      </c>
      <c r="D170" s="180">
        <v>0</v>
      </c>
      <c r="E170" s="180">
        <v>9372</v>
      </c>
      <c r="F170" s="200">
        <v>0</v>
      </c>
      <c r="G170" s="181">
        <v>0.24212</v>
      </c>
      <c r="H170" s="201">
        <f t="shared" si="57"/>
        <v>0</v>
      </c>
      <c r="I170" s="200">
        <v>3846677</v>
      </c>
      <c r="J170" s="181">
        <v>4.8599999999999997E-2</v>
      </c>
      <c r="K170" s="201">
        <f t="shared" si="58"/>
        <v>186948.50219999999</v>
      </c>
      <c r="L170" s="251">
        <v>9372</v>
      </c>
      <c r="M170" s="181">
        <v>7.6</v>
      </c>
      <c r="N170" s="201">
        <f t="shared" si="59"/>
        <v>71227.199999999997</v>
      </c>
      <c r="O170" s="200">
        <f t="shared" si="56"/>
        <v>3846677</v>
      </c>
      <c r="P170" s="148">
        <v>-1.3258000000000001E-2</v>
      </c>
      <c r="Q170" s="201">
        <f t="shared" si="60"/>
        <v>-50999.243666000002</v>
      </c>
      <c r="R170" s="171">
        <v>6043.44</v>
      </c>
      <c r="S170" s="171">
        <v>0</v>
      </c>
      <c r="T170" s="171">
        <v>25</v>
      </c>
      <c r="U170" s="479">
        <f t="shared" si="61"/>
        <v>213244.89853400001</v>
      </c>
      <c r="V170" s="285"/>
    </row>
    <row r="171" spans="1:22" x14ac:dyDescent="0.25">
      <c r="A171" s="209" t="s">
        <v>167</v>
      </c>
      <c r="B171" s="46">
        <v>2012</v>
      </c>
      <c r="C171" s="179" t="s">
        <v>152</v>
      </c>
      <c r="D171" s="180">
        <v>8001</v>
      </c>
      <c r="E171" s="180">
        <v>8690</v>
      </c>
      <c r="F171" s="200">
        <v>568524</v>
      </c>
      <c r="G171" s="181">
        <v>0.24212</v>
      </c>
      <c r="H171" s="201">
        <f t="shared" si="57"/>
        <v>137651.03088000001</v>
      </c>
      <c r="I171" s="200">
        <v>3437141</v>
      </c>
      <c r="J171" s="181">
        <v>4.8599999999999997E-2</v>
      </c>
      <c r="K171" s="201">
        <f t="shared" si="58"/>
        <v>167045.0526</v>
      </c>
      <c r="L171" s="200">
        <v>9000</v>
      </c>
      <c r="M171" s="181">
        <v>7.6</v>
      </c>
      <c r="N171" s="201">
        <f t="shared" si="59"/>
        <v>68400</v>
      </c>
      <c r="O171" s="200">
        <f t="shared" si="56"/>
        <v>4005665</v>
      </c>
      <c r="P171" s="148">
        <v>-1.4255E-2</v>
      </c>
      <c r="Q171" s="201">
        <f t="shared" si="60"/>
        <v>-57100.754574999999</v>
      </c>
      <c r="R171" s="171">
        <v>9217.36</v>
      </c>
      <c r="S171" s="171">
        <v>0</v>
      </c>
      <c r="T171" s="171">
        <v>25</v>
      </c>
      <c r="U171" s="479">
        <f t="shared" si="61"/>
        <v>325237.68890499999</v>
      </c>
      <c r="V171" s="282"/>
    </row>
    <row r="172" spans="1:22" x14ac:dyDescent="0.25">
      <c r="A172" s="183" t="s">
        <v>125</v>
      </c>
      <c r="B172" s="184"/>
      <c r="C172" s="184"/>
      <c r="D172" s="185">
        <f>SUM(D160:D171)</f>
        <v>45765</v>
      </c>
      <c r="E172" s="185">
        <f>SUM(E160:E171)</f>
        <v>117695</v>
      </c>
      <c r="F172" s="202">
        <f>SUM(F160:F171)</f>
        <v>3747734</v>
      </c>
      <c r="G172" s="187"/>
      <c r="H172" s="203">
        <f>SUM(H160:H171)</f>
        <v>907401.35607999994</v>
      </c>
      <c r="I172" s="202">
        <f>SUM(I160:I171)</f>
        <v>43476358</v>
      </c>
      <c r="J172" s="187"/>
      <c r="K172" s="203">
        <f>SUM(K160:K171)</f>
        <v>2112950.9987999997</v>
      </c>
      <c r="L172" s="202">
        <f>SUM(L160:L171)</f>
        <v>121779</v>
      </c>
      <c r="M172" s="187"/>
      <c r="N172" s="203">
        <f>SUM(N160:N171)</f>
        <v>925520.39999999991</v>
      </c>
      <c r="O172" s="202">
        <f>SUM(O160:O171)</f>
        <v>47224092</v>
      </c>
      <c r="P172" s="186"/>
      <c r="Q172" s="203">
        <f>SUM(Q160:Q171)</f>
        <v>-329813.73530399997</v>
      </c>
      <c r="R172" s="188">
        <f>SUM(R160:R171)</f>
        <v>73713.23000000001</v>
      </c>
      <c r="S172" s="188">
        <f>SUM(S160:S171)</f>
        <v>0</v>
      </c>
      <c r="T172" s="186">
        <f>SUM(T160:T171)</f>
        <v>300</v>
      </c>
      <c r="U172" s="481">
        <f>SUM(U160:U171)</f>
        <v>3690072.2495759996</v>
      </c>
      <c r="V172" s="282"/>
    </row>
    <row r="173" spans="1:22" x14ac:dyDescent="0.25">
      <c r="A173" s="189" t="s">
        <v>126</v>
      </c>
      <c r="B173" s="190"/>
      <c r="C173" s="190"/>
      <c r="D173" s="185"/>
      <c r="E173" s="185"/>
      <c r="F173" s="204">
        <f>AVERAGE(F160:F171)</f>
        <v>312311.16666666669</v>
      </c>
      <c r="G173" s="192"/>
      <c r="H173" s="205">
        <f>AVERAGE(H160:H171)</f>
        <v>75616.779673333323</v>
      </c>
      <c r="I173" s="204">
        <f>AVERAGE(I160:I171)</f>
        <v>3623029.8333333335</v>
      </c>
      <c r="J173" s="192"/>
      <c r="K173" s="205">
        <f>AVERAGE(K160:K171)</f>
        <v>176079.24989999997</v>
      </c>
      <c r="L173" s="204">
        <f>AVERAGE(L160:L171)</f>
        <v>10148.25</v>
      </c>
      <c r="M173" s="192"/>
      <c r="N173" s="205">
        <f>AVERAGE(N160:N171)</f>
        <v>77126.7</v>
      </c>
      <c r="O173" s="204">
        <f>AVERAGE(O160:O171)</f>
        <v>3935341</v>
      </c>
      <c r="P173" s="235">
        <f>AVERAGE(P160:P171)</f>
        <v>-7.37975E-3</v>
      </c>
      <c r="Q173" s="205">
        <f>AVERAGE(Q160:Q171)</f>
        <v>-27484.477941999998</v>
      </c>
      <c r="R173" s="193"/>
      <c r="S173" s="193"/>
      <c r="T173" s="191"/>
      <c r="U173" s="483">
        <f>AVERAGE(U160:U171)</f>
        <v>307506.02079799998</v>
      </c>
    </row>
    <row r="174" spans="1:22" x14ac:dyDescent="0.25">
      <c r="U174" s="483"/>
    </row>
    <row r="175" spans="1:22" x14ac:dyDescent="0.25">
      <c r="U175" s="508">
        <f>(U172)</f>
        <v>3690072.2495759996</v>
      </c>
    </row>
  </sheetData>
  <sheetProtection algorithmName="SHA-512" hashValue="z9L1bcLEyi/Cgk1g5ayeo0Z2ZdVce6OTbDoVYg2/CUJpYdAiA8VUTqJ8bLvD9w8Q4gc6laPnFJM/RXZt2wl99Q==" saltValue="6QXNrVjvEosP3JcAc2LqKQ==" spinCount="100000" sheet="1" objects="1" scenarios="1"/>
  <pageMargins left="0.5" right="0.5" top="0.5" bottom="0.5" header="0.3" footer="0.3"/>
  <pageSetup scale="43" orientation="landscape" r:id="rId1"/>
  <rowBreaks count="2" manualBreakCount="2">
    <brk id="95" max="22" man="1"/>
    <brk id="157" max="22" man="1"/>
  </rowBreaks>
  <colBreaks count="1" manualBreakCount="1">
    <brk id="23"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238C6"/>
    <pageSetUpPr fitToPage="1"/>
  </sheetPr>
  <dimension ref="A1:R171"/>
  <sheetViews>
    <sheetView topLeftCell="P49" zoomScale="60" zoomScaleNormal="60" zoomScaleSheetLayoutView="80" workbookViewId="0">
      <selection activeCell="AR79" sqref="AR79"/>
    </sheetView>
  </sheetViews>
  <sheetFormatPr defaultRowHeight="15" x14ac:dyDescent="0.25"/>
  <cols>
    <col min="1" max="1" width="13.7109375" customWidth="1"/>
    <col min="2" max="2" width="10.28515625" customWidth="1"/>
    <col min="3" max="3" width="11.7109375" customWidth="1"/>
    <col min="4" max="4" width="13.28515625" bestFit="1" customWidth="1"/>
    <col min="5" max="5" width="11.7109375" customWidth="1"/>
    <col min="6" max="6" width="15" bestFit="1" customWidth="1"/>
    <col min="7" max="7" width="11.7109375" customWidth="1"/>
    <col min="8" max="8" width="15" bestFit="1" customWidth="1"/>
    <col min="9" max="9" width="11.7109375" customWidth="1"/>
    <col min="10" max="10" width="15.85546875" customWidth="1"/>
    <col min="11" max="11" width="12.140625" customWidth="1"/>
    <col min="12" max="12" width="15.42578125" customWidth="1"/>
    <col min="13" max="13" width="11.7109375" customWidth="1"/>
    <col min="14" max="14" width="15.7109375" customWidth="1"/>
    <col min="15" max="15" width="13.7109375" customWidth="1"/>
    <col min="16" max="16" width="16.42578125" bestFit="1" customWidth="1"/>
    <col min="17" max="17" width="9.7109375" bestFit="1" customWidth="1"/>
    <col min="18" max="18" width="16.42578125" bestFit="1" customWidth="1"/>
  </cols>
  <sheetData>
    <row r="1" spans="1:18" x14ac:dyDescent="0.25">
      <c r="A1" s="1" t="s">
        <v>0</v>
      </c>
      <c r="B1" s="1"/>
    </row>
    <row r="2" spans="1:18" x14ac:dyDescent="0.25">
      <c r="A2" s="1" t="s">
        <v>93</v>
      </c>
      <c r="B2" s="1"/>
    </row>
    <row r="3" spans="1:18" x14ac:dyDescent="0.25">
      <c r="A3" s="1" t="s">
        <v>168</v>
      </c>
      <c r="B3" s="1"/>
    </row>
    <row r="4" spans="1:18" x14ac:dyDescent="0.25">
      <c r="A4" s="1" t="s">
        <v>69</v>
      </c>
      <c r="B4" s="1"/>
    </row>
    <row r="6" spans="1:18" s="264" customFormat="1" x14ac:dyDescent="0.25">
      <c r="A6" s="455" t="s">
        <v>290</v>
      </c>
      <c r="B6" s="455"/>
      <c r="C6" s="584" t="s">
        <v>169</v>
      </c>
      <c r="D6" s="584"/>
      <c r="E6" s="585" t="s">
        <v>172</v>
      </c>
      <c r="F6" s="585"/>
      <c r="G6" s="585"/>
      <c r="H6" s="585"/>
      <c r="I6" s="585"/>
      <c r="J6" s="585"/>
      <c r="K6" s="585"/>
      <c r="L6" s="585"/>
      <c r="M6" s="491"/>
      <c r="N6" s="491"/>
      <c r="O6" s="448"/>
      <c r="P6" s="448"/>
      <c r="Q6" s="448"/>
      <c r="R6" s="448"/>
    </row>
    <row r="7" spans="1:18" s="448" customFormat="1" x14ac:dyDescent="0.25">
      <c r="A7" s="484" t="s">
        <v>95</v>
      </c>
      <c r="B7" s="515"/>
      <c r="C7" s="487"/>
      <c r="D7" s="487"/>
      <c r="E7" s="586" t="s">
        <v>55</v>
      </c>
      <c r="F7" s="586"/>
      <c r="G7" s="586" t="s">
        <v>59</v>
      </c>
      <c r="H7" s="586"/>
      <c r="I7" s="586" t="s">
        <v>295</v>
      </c>
      <c r="J7" s="586"/>
      <c r="K7" s="586" t="s">
        <v>296</v>
      </c>
      <c r="L7" s="586"/>
      <c r="M7" s="586" t="s">
        <v>297</v>
      </c>
      <c r="N7" s="586"/>
      <c r="O7" s="587" t="s">
        <v>174</v>
      </c>
      <c r="P7" s="587" t="s">
        <v>175</v>
      </c>
      <c r="Q7" s="582" t="s">
        <v>176</v>
      </c>
      <c r="R7" s="582" t="s">
        <v>177</v>
      </c>
    </row>
    <row r="8" spans="1:18" s="448" customFormat="1" ht="30" x14ac:dyDescent="0.25">
      <c r="A8" s="484"/>
      <c r="B8" s="518" t="s">
        <v>183</v>
      </c>
      <c r="C8" s="564" t="s">
        <v>170</v>
      </c>
      <c r="D8" s="564" t="s">
        <v>171</v>
      </c>
      <c r="E8" s="564" t="s">
        <v>170</v>
      </c>
      <c r="F8" s="564" t="s">
        <v>171</v>
      </c>
      <c r="G8" s="564" t="s">
        <v>170</v>
      </c>
      <c r="H8" s="564" t="s">
        <v>171</v>
      </c>
      <c r="I8" s="564" t="s">
        <v>170</v>
      </c>
      <c r="J8" s="564" t="s">
        <v>171</v>
      </c>
      <c r="K8" s="564" t="s">
        <v>170</v>
      </c>
      <c r="L8" s="564" t="s">
        <v>171</v>
      </c>
      <c r="M8" s="564" t="s">
        <v>170</v>
      </c>
      <c r="N8" s="564" t="s">
        <v>171</v>
      </c>
      <c r="O8" s="587"/>
      <c r="P8" s="587"/>
      <c r="Q8" s="583"/>
      <c r="R8" s="583"/>
    </row>
    <row r="9" spans="1:18" s="448" customFormat="1" x14ac:dyDescent="0.25">
      <c r="A9" s="485" t="s">
        <v>156</v>
      </c>
      <c r="B9" s="516">
        <v>2.8565</v>
      </c>
      <c r="C9" s="450">
        <v>847</v>
      </c>
      <c r="D9" s="489">
        <v>4225.7</v>
      </c>
      <c r="E9" s="450">
        <v>35493</v>
      </c>
      <c r="F9" s="499">
        <v>114976.58</v>
      </c>
      <c r="G9" s="450">
        <v>0</v>
      </c>
      <c r="H9" s="489">
        <v>1064.28</v>
      </c>
      <c r="I9" s="450">
        <v>5103</v>
      </c>
      <c r="J9" s="489">
        <v>17442</v>
      </c>
      <c r="K9" s="450">
        <v>0</v>
      </c>
      <c r="L9" s="499">
        <v>1064.28</v>
      </c>
      <c r="M9" s="450">
        <v>0</v>
      </c>
      <c r="N9" s="499">
        <v>1064.28</v>
      </c>
      <c r="O9" s="488">
        <f>+E9+G9+I9+K9+M9</f>
        <v>40596</v>
      </c>
      <c r="P9" s="490">
        <f>+F9+H9+J9+L9+N9</f>
        <v>135611.41999999998</v>
      </c>
      <c r="Q9" s="491">
        <f t="shared" ref="Q9:Q10" si="0">+C9+E9+G9+I9</f>
        <v>41443</v>
      </c>
      <c r="R9" s="492">
        <f t="shared" ref="R9:R10" si="1">+D9+F9+H9+J9</f>
        <v>137708.56</v>
      </c>
    </row>
    <row r="10" spans="1:18" s="448" customFormat="1" x14ac:dyDescent="0.25">
      <c r="A10" s="485" t="s">
        <v>157</v>
      </c>
      <c r="B10" s="516">
        <v>3.0615000000000001</v>
      </c>
      <c r="C10" s="450">
        <v>922</v>
      </c>
      <c r="D10" s="489">
        <v>4715.03</v>
      </c>
      <c r="E10" s="450">
        <v>38021</v>
      </c>
      <c r="F10" s="499">
        <v>131040.21</v>
      </c>
      <c r="G10" s="450">
        <v>0</v>
      </c>
      <c r="H10" s="489">
        <v>1064.28</v>
      </c>
      <c r="I10" s="450">
        <v>11069</v>
      </c>
      <c r="J10" s="489">
        <v>38903.980000000003</v>
      </c>
      <c r="K10" s="450">
        <v>0</v>
      </c>
      <c r="L10" s="499">
        <v>1064.28</v>
      </c>
      <c r="M10" s="450">
        <v>0</v>
      </c>
      <c r="N10" s="499">
        <v>1064.28</v>
      </c>
      <c r="O10" s="488">
        <f t="shared" ref="O10:O20" si="2">+E10+G10+I10+K10+M10</f>
        <v>49090</v>
      </c>
      <c r="P10" s="490">
        <f t="shared" ref="P10" si="3">+F10+H10+J10</f>
        <v>171008.47000000003</v>
      </c>
      <c r="Q10" s="491">
        <f t="shared" si="0"/>
        <v>50012</v>
      </c>
      <c r="R10" s="492">
        <f t="shared" si="1"/>
        <v>175723.50000000003</v>
      </c>
    </row>
    <row r="11" spans="1:18" s="448" customFormat="1" x14ac:dyDescent="0.25">
      <c r="A11" s="486" t="s">
        <v>158</v>
      </c>
      <c r="B11" s="516">
        <v>2.8626</v>
      </c>
      <c r="C11" s="450">
        <v>1143</v>
      </c>
      <c r="D11" s="489">
        <v>5403.2</v>
      </c>
      <c r="E11" s="450">
        <v>41879</v>
      </c>
      <c r="F11" s="499">
        <v>135732.57</v>
      </c>
      <c r="G11" s="450">
        <v>0</v>
      </c>
      <c r="H11" s="489">
        <v>1064.28</v>
      </c>
      <c r="I11" s="450">
        <v>7275</v>
      </c>
      <c r="J11" s="489">
        <v>24458.15</v>
      </c>
      <c r="K11" s="450">
        <v>0</v>
      </c>
      <c r="L11" s="499">
        <v>1064.28</v>
      </c>
      <c r="M11" s="450">
        <v>0</v>
      </c>
      <c r="N11" s="499">
        <v>1064.28</v>
      </c>
      <c r="O11" s="488">
        <f t="shared" si="2"/>
        <v>49154</v>
      </c>
      <c r="P11" s="490">
        <f t="shared" ref="P11:P20" si="4">+F11+H11+J11+L11+N11</f>
        <v>163383.56</v>
      </c>
      <c r="Q11" s="491">
        <f t="shared" ref="Q11:Q20" si="5">+C11+E11+G11+I11+K11+M11</f>
        <v>50297</v>
      </c>
      <c r="R11" s="492">
        <f t="shared" ref="R11:R20" si="6">+D11+F11+H11+J11+L11+N11</f>
        <v>168786.76</v>
      </c>
    </row>
    <row r="12" spans="1:18" s="448" customFormat="1" x14ac:dyDescent="0.25">
      <c r="A12" s="486" t="s">
        <v>159</v>
      </c>
      <c r="B12" s="516">
        <v>2.6063999999999998</v>
      </c>
      <c r="C12" s="450">
        <v>2164</v>
      </c>
      <c r="D12" s="489">
        <v>8881.11</v>
      </c>
      <c r="E12" s="450">
        <v>32832</v>
      </c>
      <c r="F12" s="499">
        <v>98060.78</v>
      </c>
      <c r="G12" s="450">
        <v>0</v>
      </c>
      <c r="H12" s="489">
        <v>1064.28</v>
      </c>
      <c r="I12" s="450">
        <v>4223</v>
      </c>
      <c r="J12" s="489">
        <v>13540.41</v>
      </c>
      <c r="K12" s="450">
        <v>2213</v>
      </c>
      <c r="L12" s="499">
        <v>7602.2</v>
      </c>
      <c r="M12" s="450">
        <v>1824</v>
      </c>
      <c r="N12" s="499">
        <v>6452.97</v>
      </c>
      <c r="O12" s="488">
        <f t="shared" si="2"/>
        <v>41092</v>
      </c>
      <c r="P12" s="490">
        <f t="shared" si="4"/>
        <v>126720.64</v>
      </c>
      <c r="Q12" s="491">
        <f t="shared" si="5"/>
        <v>43256</v>
      </c>
      <c r="R12" s="492">
        <f t="shared" si="6"/>
        <v>135601.75</v>
      </c>
    </row>
    <row r="13" spans="1:18" s="448" customFormat="1" x14ac:dyDescent="0.25">
      <c r="A13" s="486" t="s">
        <v>160</v>
      </c>
      <c r="B13" s="516">
        <v>2.8933</v>
      </c>
      <c r="C13" s="450">
        <v>5052</v>
      </c>
      <c r="D13" s="489">
        <v>21042.02</v>
      </c>
      <c r="E13" s="450">
        <v>45232</v>
      </c>
      <c r="F13" s="499">
        <v>147931.04999999999</v>
      </c>
      <c r="G13" s="450">
        <v>0</v>
      </c>
      <c r="H13" s="489">
        <v>1064.28</v>
      </c>
      <c r="I13" s="450">
        <v>4031</v>
      </c>
      <c r="J13" s="489">
        <v>14152.8</v>
      </c>
      <c r="K13" s="450">
        <v>4544</v>
      </c>
      <c r="L13" s="499">
        <v>15818.5</v>
      </c>
      <c r="M13" s="450">
        <v>2056</v>
      </c>
      <c r="N13" s="499">
        <v>7740.05</v>
      </c>
      <c r="O13" s="488">
        <f t="shared" si="2"/>
        <v>55863</v>
      </c>
      <c r="P13" s="490">
        <f t="shared" si="4"/>
        <v>186706.67999999996</v>
      </c>
      <c r="Q13" s="491">
        <f t="shared" si="5"/>
        <v>60915</v>
      </c>
      <c r="R13" s="492">
        <f t="shared" si="6"/>
        <v>207748.69999999995</v>
      </c>
    </row>
    <row r="14" spans="1:18" s="448" customFormat="1" x14ac:dyDescent="0.25">
      <c r="A14" s="486" t="s">
        <v>161</v>
      </c>
      <c r="B14" s="516">
        <v>4.0204000000000004</v>
      </c>
      <c r="C14" s="450">
        <v>4603</v>
      </c>
      <c r="D14" s="489">
        <v>24541.61</v>
      </c>
      <c r="E14" s="450">
        <v>31173</v>
      </c>
      <c r="F14" s="499">
        <v>138119.74</v>
      </c>
      <c r="G14" s="450">
        <v>0</v>
      </c>
      <c r="H14" s="489">
        <v>1064.28</v>
      </c>
      <c r="I14" s="450">
        <v>3322</v>
      </c>
      <c r="J14" s="489">
        <v>15669.81</v>
      </c>
      <c r="K14" s="450">
        <v>4749</v>
      </c>
      <c r="L14" s="499">
        <v>21943.77</v>
      </c>
      <c r="M14" s="450">
        <v>2734</v>
      </c>
      <c r="N14" s="499">
        <v>13084.64</v>
      </c>
      <c r="O14" s="488">
        <f t="shared" si="2"/>
        <v>41978</v>
      </c>
      <c r="P14" s="490">
        <f t="shared" si="4"/>
        <v>189882.23999999999</v>
      </c>
      <c r="Q14" s="491">
        <f t="shared" si="5"/>
        <v>46581</v>
      </c>
      <c r="R14" s="492">
        <f t="shared" si="6"/>
        <v>214423.84999999998</v>
      </c>
    </row>
    <row r="15" spans="1:18" s="448" customFormat="1" x14ac:dyDescent="0.25">
      <c r="A15" s="486" t="s">
        <v>162</v>
      </c>
      <c r="B15" s="516">
        <v>4.0102000000000002</v>
      </c>
      <c r="C15" s="450">
        <v>8938</v>
      </c>
      <c r="D15" s="489">
        <v>46735.76</v>
      </c>
      <c r="E15" s="450">
        <v>42339</v>
      </c>
      <c r="F15" s="499">
        <v>186771.77</v>
      </c>
      <c r="G15" s="450">
        <v>0</v>
      </c>
      <c r="H15" s="489">
        <v>1064.28</v>
      </c>
      <c r="I15" s="450">
        <v>4662</v>
      </c>
      <c r="J15" s="489">
        <v>21512.76</v>
      </c>
      <c r="K15" s="450">
        <v>8790</v>
      </c>
      <c r="L15" s="499">
        <v>39619.01</v>
      </c>
      <c r="M15" s="450">
        <v>1428</v>
      </c>
      <c r="N15" s="499">
        <v>7327.78</v>
      </c>
      <c r="O15" s="488">
        <f t="shared" si="2"/>
        <v>57219</v>
      </c>
      <c r="P15" s="490">
        <f t="shared" si="4"/>
        <v>256295.6</v>
      </c>
      <c r="Q15" s="491">
        <f t="shared" si="5"/>
        <v>66157</v>
      </c>
      <c r="R15" s="492">
        <f t="shared" si="6"/>
        <v>303031.36000000004</v>
      </c>
    </row>
    <row r="16" spans="1:18" s="448" customFormat="1" x14ac:dyDescent="0.25">
      <c r="A16" s="486" t="s">
        <v>163</v>
      </c>
      <c r="B16" s="516">
        <v>3.4540000000000002</v>
      </c>
      <c r="C16" s="450">
        <v>7524</v>
      </c>
      <c r="D16" s="489">
        <v>35212.26</v>
      </c>
      <c r="E16" s="450">
        <v>41058</v>
      </c>
      <c r="F16" s="499">
        <v>157859.85</v>
      </c>
      <c r="G16" s="450">
        <v>0</v>
      </c>
      <c r="H16" s="489">
        <v>1064.28</v>
      </c>
      <c r="I16" s="450">
        <v>4676</v>
      </c>
      <c r="J16" s="489">
        <v>18921.36</v>
      </c>
      <c r="K16" s="450">
        <v>6422</v>
      </c>
      <c r="L16" s="499">
        <v>25589.13</v>
      </c>
      <c r="M16" s="450">
        <v>1793</v>
      </c>
      <c r="N16" s="499">
        <v>7911.53</v>
      </c>
      <c r="O16" s="488">
        <f t="shared" si="2"/>
        <v>53949</v>
      </c>
      <c r="P16" s="490">
        <f t="shared" si="4"/>
        <v>211346.15</v>
      </c>
      <c r="Q16" s="491">
        <f t="shared" si="5"/>
        <v>61473</v>
      </c>
      <c r="R16" s="492">
        <f t="shared" si="6"/>
        <v>246558.41</v>
      </c>
    </row>
    <row r="17" spans="1:18" s="448" customFormat="1" x14ac:dyDescent="0.25">
      <c r="A17" s="486" t="s">
        <v>164</v>
      </c>
      <c r="B17" s="516">
        <v>2.8809999999999998</v>
      </c>
      <c r="C17" s="450">
        <v>5193</v>
      </c>
      <c r="D17" s="489">
        <v>21539.68</v>
      </c>
      <c r="E17" s="450">
        <v>36458</v>
      </c>
      <c r="F17" s="499">
        <v>118984.77</v>
      </c>
      <c r="G17" s="450">
        <v>6</v>
      </c>
      <c r="H17" s="489">
        <v>1083.69</v>
      </c>
      <c r="I17" s="450">
        <v>3546</v>
      </c>
      <c r="J17" s="489">
        <v>12533.54</v>
      </c>
      <c r="K17" s="450">
        <v>4912</v>
      </c>
      <c r="L17" s="499">
        <v>16951.75</v>
      </c>
      <c r="M17" s="450">
        <v>158</v>
      </c>
      <c r="N17" s="499">
        <v>1575.32</v>
      </c>
      <c r="O17" s="488">
        <f t="shared" si="2"/>
        <v>45080</v>
      </c>
      <c r="P17" s="490">
        <f t="shared" si="4"/>
        <v>151129.07</v>
      </c>
      <c r="Q17" s="491">
        <f t="shared" si="5"/>
        <v>50273</v>
      </c>
      <c r="R17" s="492">
        <f t="shared" si="6"/>
        <v>172668.75000000003</v>
      </c>
    </row>
    <row r="18" spans="1:18" s="448" customFormat="1" x14ac:dyDescent="0.25">
      <c r="A18" s="486" t="s">
        <v>165</v>
      </c>
      <c r="B18" s="516">
        <v>2.2159</v>
      </c>
      <c r="C18" s="450">
        <v>1979</v>
      </c>
      <c r="D18" s="489">
        <v>7408.56</v>
      </c>
      <c r="E18" s="450">
        <v>41855</v>
      </c>
      <c r="F18" s="499">
        <v>108046.42</v>
      </c>
      <c r="G18" s="450">
        <v>0</v>
      </c>
      <c r="H18" s="489">
        <v>1064.28</v>
      </c>
      <c r="I18" s="450">
        <v>4672</v>
      </c>
      <c r="J18" s="489">
        <v>13006</v>
      </c>
      <c r="K18" s="450">
        <v>4453</v>
      </c>
      <c r="L18" s="499">
        <v>12446.22</v>
      </c>
      <c r="M18" s="450">
        <v>2044</v>
      </c>
      <c r="N18" s="499">
        <v>6288.78</v>
      </c>
      <c r="O18" s="488">
        <f t="shared" si="2"/>
        <v>53024</v>
      </c>
      <c r="P18" s="490">
        <f t="shared" si="4"/>
        <v>140851.69999999998</v>
      </c>
      <c r="Q18" s="491">
        <f t="shared" si="5"/>
        <v>55003</v>
      </c>
      <c r="R18" s="492">
        <f t="shared" si="6"/>
        <v>148260.25999999998</v>
      </c>
    </row>
    <row r="19" spans="1:18" s="448" customFormat="1" x14ac:dyDescent="0.25">
      <c r="A19" s="486" t="s">
        <v>166</v>
      </c>
      <c r="B19" s="516">
        <v>2.0726</v>
      </c>
      <c r="C19" s="450">
        <v>1355</v>
      </c>
      <c r="D19" s="489">
        <v>5150.91</v>
      </c>
      <c r="E19" s="450">
        <v>35040</v>
      </c>
      <c r="F19" s="499">
        <v>85505.49</v>
      </c>
      <c r="G19" s="450">
        <v>0</v>
      </c>
      <c r="H19" s="489">
        <v>1064.28</v>
      </c>
      <c r="I19" s="450">
        <v>5463</v>
      </c>
      <c r="J19" s="489">
        <v>14229.3</v>
      </c>
      <c r="K19" s="450">
        <v>2869</v>
      </c>
      <c r="L19" s="499">
        <v>7978.14</v>
      </c>
      <c r="M19" s="450">
        <v>573</v>
      </c>
      <c r="N19" s="499">
        <v>2445.12</v>
      </c>
      <c r="O19" s="488">
        <f t="shared" si="2"/>
        <v>43945</v>
      </c>
      <c r="P19" s="490">
        <f t="shared" si="4"/>
        <v>111222.33</v>
      </c>
      <c r="Q19" s="491">
        <f t="shared" si="5"/>
        <v>45300</v>
      </c>
      <c r="R19" s="492">
        <f t="shared" si="6"/>
        <v>116373.24</v>
      </c>
    </row>
    <row r="20" spans="1:18" s="448" customFormat="1" x14ac:dyDescent="0.25">
      <c r="A20" s="486" t="s">
        <v>167</v>
      </c>
      <c r="B20" s="516">
        <v>2.3898000000000001</v>
      </c>
      <c r="C20" s="450">
        <v>874</v>
      </c>
      <c r="D20" s="489">
        <v>3916.4</v>
      </c>
      <c r="E20" s="450">
        <v>42003</v>
      </c>
      <c r="F20" s="499">
        <v>115875.11</v>
      </c>
      <c r="G20" s="450">
        <v>0</v>
      </c>
      <c r="H20" s="489">
        <v>1064.28</v>
      </c>
      <c r="I20" s="450">
        <v>3938</v>
      </c>
      <c r="J20" s="489">
        <v>11828.39</v>
      </c>
      <c r="K20" s="450">
        <v>180</v>
      </c>
      <c r="L20" s="499">
        <v>1556.29</v>
      </c>
      <c r="M20" s="450">
        <v>0</v>
      </c>
      <c r="N20" s="499">
        <v>1064.28</v>
      </c>
      <c r="O20" s="488">
        <f t="shared" si="2"/>
        <v>46121</v>
      </c>
      <c r="P20" s="490">
        <f t="shared" si="4"/>
        <v>131388.35</v>
      </c>
      <c r="Q20" s="491">
        <f t="shared" si="5"/>
        <v>46995</v>
      </c>
      <c r="R20" s="492">
        <f t="shared" si="6"/>
        <v>135304.75</v>
      </c>
    </row>
    <row r="21" spans="1:18" s="448" customFormat="1" x14ac:dyDescent="0.25">
      <c r="A21" s="500" t="s">
        <v>125</v>
      </c>
      <c r="B21" s="517"/>
      <c r="C21" s="496">
        <f t="shared" ref="C21" si="7">SUM(C9:C20)</f>
        <v>40594</v>
      </c>
      <c r="D21" s="497">
        <f>SUM(D9:D20)</f>
        <v>188772.24</v>
      </c>
      <c r="E21" s="496">
        <f t="shared" ref="E21:N21" si="8">SUM(E9:E20)</f>
        <v>463383</v>
      </c>
      <c r="F21" s="497">
        <f t="shared" si="8"/>
        <v>1538904.34</v>
      </c>
      <c r="G21" s="496">
        <f t="shared" si="8"/>
        <v>6</v>
      </c>
      <c r="H21" s="497">
        <f t="shared" si="8"/>
        <v>12790.770000000002</v>
      </c>
      <c r="I21" s="496">
        <f t="shared" si="8"/>
        <v>61980</v>
      </c>
      <c r="J21" s="497">
        <f t="shared" si="8"/>
        <v>216198.5</v>
      </c>
      <c r="K21" s="496">
        <f t="shared" si="8"/>
        <v>39132</v>
      </c>
      <c r="L21" s="497">
        <f t="shared" si="8"/>
        <v>152697.85000000003</v>
      </c>
      <c r="M21" s="496">
        <f t="shared" si="8"/>
        <v>12610</v>
      </c>
      <c r="N21" s="497">
        <f t="shared" si="8"/>
        <v>57083.31</v>
      </c>
      <c r="O21" s="519">
        <f>SUM(O9:O20)</f>
        <v>577111</v>
      </c>
      <c r="P21" s="493">
        <f t="shared" ref="P21:R21" si="9">SUM(P9:P20)</f>
        <v>1975546.21</v>
      </c>
      <c r="Q21" s="494">
        <f t="shared" si="9"/>
        <v>617705</v>
      </c>
      <c r="R21" s="495">
        <f t="shared" si="9"/>
        <v>2162189.8899999997</v>
      </c>
    </row>
    <row r="22" spans="1:18" s="448" customFormat="1" x14ac:dyDescent="0.25">
      <c r="A22" s="500" t="s">
        <v>126</v>
      </c>
      <c r="B22" s="517">
        <f>AVERAGE(B9:B20)</f>
        <v>2.9436833333333339</v>
      </c>
      <c r="C22" s="496"/>
      <c r="D22" s="497"/>
      <c r="E22" s="496"/>
      <c r="F22" s="497"/>
      <c r="G22" s="496"/>
      <c r="H22" s="497"/>
      <c r="I22" s="496"/>
      <c r="J22" s="497"/>
      <c r="K22" s="496"/>
      <c r="L22" s="497"/>
      <c r="M22" s="496"/>
      <c r="N22" s="497"/>
      <c r="O22" s="496"/>
      <c r="P22" s="497"/>
      <c r="Q22" s="496"/>
      <c r="R22" s="497"/>
    </row>
    <row r="23" spans="1:18" s="448" customFormat="1" x14ac:dyDescent="0.25">
      <c r="A23" s="501"/>
      <c r="B23" s="501"/>
      <c r="C23" s="501"/>
      <c r="D23" s="502"/>
      <c r="E23" s="501"/>
      <c r="F23" s="502"/>
      <c r="G23" s="501"/>
      <c r="H23" s="502"/>
      <c r="I23" s="503"/>
      <c r="K23" s="504"/>
      <c r="L23" s="504"/>
      <c r="M23" s="504"/>
      <c r="N23" s="504" t="s">
        <v>287</v>
      </c>
      <c r="O23" s="505" t="e">
        <f>(O21-K43)/K43</f>
        <v>#DIV/0!</v>
      </c>
      <c r="P23" s="506">
        <f>+P21-L43</f>
        <v>1974481.93</v>
      </c>
      <c r="Q23" s="511" t="e">
        <f>(Q21-M43)/M43</f>
        <v>#DIV/0!</v>
      </c>
      <c r="R23" s="512">
        <f>+R21-N43</f>
        <v>2161125.61</v>
      </c>
    </row>
    <row r="24" spans="1:18" s="448" customFormat="1" x14ac:dyDescent="0.25">
      <c r="O24" s="504" t="s">
        <v>184</v>
      </c>
      <c r="P24" s="505">
        <f>(P21-L43)/L43</f>
        <v>1855.227881760439</v>
      </c>
    </row>
    <row r="25" spans="1:18" s="448" customFormat="1" x14ac:dyDescent="0.25"/>
    <row r="26" spans="1:18" s="448" customFormat="1" x14ac:dyDescent="0.25"/>
    <row r="27" spans="1:18" s="448" customFormat="1" x14ac:dyDescent="0.25"/>
    <row r="28" spans="1:18" s="448" customFormat="1" x14ac:dyDescent="0.25"/>
    <row r="29" spans="1:18" s="448" customFormat="1" x14ac:dyDescent="0.25">
      <c r="A29" s="455" t="s">
        <v>261</v>
      </c>
      <c r="B29" s="455"/>
      <c r="C29" s="584" t="s">
        <v>169</v>
      </c>
      <c r="D29" s="584"/>
      <c r="E29" s="585" t="s">
        <v>172</v>
      </c>
      <c r="F29" s="585"/>
      <c r="G29" s="585"/>
      <c r="H29" s="585"/>
      <c r="I29" s="585"/>
      <c r="J29" s="585"/>
      <c r="K29" s="585"/>
      <c r="L29" s="585"/>
      <c r="M29" s="491"/>
      <c r="N29" s="491"/>
    </row>
    <row r="30" spans="1:18" s="448" customFormat="1" x14ac:dyDescent="0.25">
      <c r="A30" s="484" t="s">
        <v>95</v>
      </c>
      <c r="B30" s="515"/>
      <c r="C30" s="487"/>
      <c r="D30" s="487"/>
      <c r="E30" s="586" t="s">
        <v>55</v>
      </c>
      <c r="F30" s="586"/>
      <c r="G30" s="586" t="s">
        <v>59</v>
      </c>
      <c r="H30" s="586"/>
      <c r="I30" s="586" t="s">
        <v>173</v>
      </c>
      <c r="J30" s="586"/>
      <c r="K30" s="586" t="s">
        <v>265</v>
      </c>
      <c r="L30" s="586"/>
      <c r="M30" s="586" t="s">
        <v>266</v>
      </c>
      <c r="N30" s="586"/>
      <c r="O30" s="587" t="s">
        <v>174</v>
      </c>
      <c r="P30" s="587" t="s">
        <v>175</v>
      </c>
      <c r="Q30" s="582" t="s">
        <v>176</v>
      </c>
      <c r="R30" s="582" t="s">
        <v>177</v>
      </c>
    </row>
    <row r="31" spans="1:18" s="448" customFormat="1" ht="30" x14ac:dyDescent="0.25">
      <c r="A31" s="484"/>
      <c r="B31" s="518" t="s">
        <v>183</v>
      </c>
      <c r="C31" s="514" t="s">
        <v>170</v>
      </c>
      <c r="D31" s="514" t="s">
        <v>171</v>
      </c>
      <c r="E31" s="514" t="s">
        <v>170</v>
      </c>
      <c r="F31" s="514" t="s">
        <v>171</v>
      </c>
      <c r="G31" s="514" t="s">
        <v>170</v>
      </c>
      <c r="H31" s="514" t="s">
        <v>171</v>
      </c>
      <c r="I31" s="514" t="s">
        <v>170</v>
      </c>
      <c r="J31" s="514" t="s">
        <v>171</v>
      </c>
      <c r="K31" s="534" t="s">
        <v>170</v>
      </c>
      <c r="L31" s="534" t="s">
        <v>171</v>
      </c>
      <c r="M31" s="534" t="s">
        <v>170</v>
      </c>
      <c r="N31" s="534" t="s">
        <v>171</v>
      </c>
      <c r="O31" s="587"/>
      <c r="P31" s="587"/>
      <c r="Q31" s="583"/>
      <c r="R31" s="583"/>
    </row>
    <row r="32" spans="1:18" s="448" customFormat="1" x14ac:dyDescent="0.25">
      <c r="A32" s="485" t="s">
        <v>156</v>
      </c>
      <c r="B32" s="516">
        <v>3.3816000000000002</v>
      </c>
      <c r="C32" s="450">
        <v>866</v>
      </c>
      <c r="D32" s="489">
        <v>4764.66</v>
      </c>
      <c r="E32" s="450">
        <v>0</v>
      </c>
      <c r="F32" s="499">
        <v>1064.28</v>
      </c>
      <c r="G32" s="450">
        <v>40292</v>
      </c>
      <c r="H32" s="489">
        <v>151959.10999999999</v>
      </c>
      <c r="I32" s="450">
        <v>4182</v>
      </c>
      <c r="J32" s="489">
        <v>16726</v>
      </c>
      <c r="K32" s="450"/>
      <c r="L32" s="499"/>
      <c r="M32" s="450"/>
      <c r="N32" s="499"/>
      <c r="O32" s="488">
        <f>+E32+G32+I32+K32+M32</f>
        <v>44474</v>
      </c>
      <c r="P32" s="490">
        <f>+F32+H32+J32+L32+N32</f>
        <v>169749.38999999998</v>
      </c>
      <c r="Q32" s="491">
        <f t="shared" ref="Q32:Q33" si="10">+C32+E32+G32+I32</f>
        <v>45340</v>
      </c>
      <c r="R32" s="492">
        <f t="shared" ref="R32:R33" si="11">+D32+F32+H32+J32</f>
        <v>174514.05</v>
      </c>
    </row>
    <row r="33" spans="1:18" s="448" customFormat="1" x14ac:dyDescent="0.25">
      <c r="A33" s="485" t="s">
        <v>157</v>
      </c>
      <c r="B33" s="516">
        <v>3.3405</v>
      </c>
      <c r="C33" s="450">
        <v>995</v>
      </c>
      <c r="D33" s="489">
        <v>5302.1</v>
      </c>
      <c r="E33" s="450">
        <v>0</v>
      </c>
      <c r="F33" s="489">
        <v>1064.28</v>
      </c>
      <c r="G33" s="450">
        <v>38742</v>
      </c>
      <c r="H33" s="489">
        <v>144530.17000000001</v>
      </c>
      <c r="I33" s="450">
        <v>4680</v>
      </c>
      <c r="J33" s="489">
        <v>18394.830000000002</v>
      </c>
      <c r="K33" s="450"/>
      <c r="L33" s="489"/>
      <c r="M33" s="450"/>
      <c r="N33" s="489"/>
      <c r="O33" s="488">
        <f t="shared" ref="O33:O38" si="12">+E33+G33+I33+K33+M33</f>
        <v>43422</v>
      </c>
      <c r="P33" s="490">
        <f t="shared" ref="P33" si="13">+F33+H33+J33</f>
        <v>163989.28000000003</v>
      </c>
      <c r="Q33" s="491">
        <f t="shared" si="10"/>
        <v>44417</v>
      </c>
      <c r="R33" s="492">
        <f t="shared" si="11"/>
        <v>169291.38</v>
      </c>
    </row>
    <row r="34" spans="1:18" s="448" customFormat="1" x14ac:dyDescent="0.25">
      <c r="A34" s="486" t="s">
        <v>158</v>
      </c>
      <c r="B34" s="516">
        <v>3.2850000000000001</v>
      </c>
      <c r="C34" s="450">
        <v>1098</v>
      </c>
      <c r="D34" s="489">
        <v>5698.06</v>
      </c>
      <c r="E34" s="450">
        <v>0</v>
      </c>
      <c r="F34" s="489">
        <v>1064.28</v>
      </c>
      <c r="G34" s="450">
        <v>38408</v>
      </c>
      <c r="H34" s="489">
        <v>141119.04999999999</v>
      </c>
      <c r="I34" s="450">
        <v>6047</v>
      </c>
      <c r="J34" s="489">
        <v>23114.57</v>
      </c>
      <c r="K34" s="450">
        <v>0</v>
      </c>
      <c r="L34" s="489">
        <v>461.15</v>
      </c>
      <c r="M34" s="450">
        <v>0</v>
      </c>
      <c r="N34" s="489">
        <v>461.15</v>
      </c>
      <c r="O34" s="488">
        <f t="shared" si="12"/>
        <v>44455</v>
      </c>
      <c r="P34" s="490">
        <f t="shared" ref="P34:P38" si="14">+F34+H34+J34+L34+N34</f>
        <v>166220.19999999998</v>
      </c>
      <c r="Q34" s="491">
        <f t="shared" ref="Q34:Q38" si="15">+C34+E34+G34+I34+K34+M34</f>
        <v>45553</v>
      </c>
      <c r="R34" s="492">
        <f t="shared" ref="R34:R38" si="16">+D34+F34+H34+J34+L34+N34</f>
        <v>171918.25999999998</v>
      </c>
    </row>
    <row r="35" spans="1:18" s="448" customFormat="1" x14ac:dyDescent="0.25">
      <c r="A35" s="486" t="s">
        <v>159</v>
      </c>
      <c r="B35" s="516">
        <v>3.1311</v>
      </c>
      <c r="C35" s="450">
        <v>1592</v>
      </c>
      <c r="D35" s="489">
        <v>7617.35</v>
      </c>
      <c r="E35" s="450">
        <v>0</v>
      </c>
      <c r="F35" s="489">
        <v>1064.28</v>
      </c>
      <c r="G35" s="450">
        <v>39404</v>
      </c>
      <c r="H35" s="489">
        <v>138565.4</v>
      </c>
      <c r="I35" s="450">
        <v>6486</v>
      </c>
      <c r="J35" s="489">
        <v>23697.32</v>
      </c>
      <c r="K35" s="450">
        <v>0</v>
      </c>
      <c r="L35" s="489">
        <v>1064.28</v>
      </c>
      <c r="M35" s="450">
        <v>0</v>
      </c>
      <c r="N35" s="489">
        <v>1064.28</v>
      </c>
      <c r="O35" s="488">
        <f t="shared" si="12"/>
        <v>45890</v>
      </c>
      <c r="P35" s="490">
        <f t="shared" si="14"/>
        <v>165455.56</v>
      </c>
      <c r="Q35" s="491">
        <f t="shared" si="15"/>
        <v>47482</v>
      </c>
      <c r="R35" s="492">
        <f t="shared" si="16"/>
        <v>173072.91</v>
      </c>
    </row>
    <row r="36" spans="1:18" s="448" customFormat="1" x14ac:dyDescent="0.25">
      <c r="A36" s="486" t="s">
        <v>160</v>
      </c>
      <c r="B36" s="516">
        <v>3.1619000000000002</v>
      </c>
      <c r="C36" s="450">
        <v>2824</v>
      </c>
      <c r="D36" s="489">
        <v>12922.51</v>
      </c>
      <c r="E36" s="450">
        <v>0</v>
      </c>
      <c r="F36" s="489">
        <v>1064.28</v>
      </c>
      <c r="G36" s="450">
        <v>39507</v>
      </c>
      <c r="H36" s="489">
        <v>140165.97</v>
      </c>
      <c r="I36" s="450">
        <v>3981</v>
      </c>
      <c r="J36" s="489">
        <v>15081.13</v>
      </c>
      <c r="K36" s="450">
        <v>0</v>
      </c>
      <c r="L36" s="489">
        <v>1064.28</v>
      </c>
      <c r="M36" s="450">
        <v>0</v>
      </c>
      <c r="N36" s="489">
        <v>1064.28</v>
      </c>
      <c r="O36" s="488">
        <f t="shared" si="12"/>
        <v>43488</v>
      </c>
      <c r="P36" s="490">
        <f t="shared" si="14"/>
        <v>158439.94</v>
      </c>
      <c r="Q36" s="491">
        <f t="shared" si="15"/>
        <v>46312</v>
      </c>
      <c r="R36" s="492">
        <f t="shared" si="16"/>
        <v>171362.45</v>
      </c>
    </row>
    <row r="37" spans="1:18" s="448" customFormat="1" x14ac:dyDescent="0.25">
      <c r="A37" s="486" t="s">
        <v>161</v>
      </c>
      <c r="B37" s="516">
        <v>3.2747000000000002</v>
      </c>
      <c r="C37" s="450">
        <v>6989</v>
      </c>
      <c r="D37" s="489">
        <v>31492.6</v>
      </c>
      <c r="E37" s="450">
        <v>0</v>
      </c>
      <c r="F37" s="489">
        <v>1064.28</v>
      </c>
      <c r="G37" s="450">
        <v>37084</v>
      </c>
      <c r="H37" s="489">
        <v>135901.49</v>
      </c>
      <c r="I37" s="450">
        <v>11403</v>
      </c>
      <c r="J37" s="489">
        <v>42525.51</v>
      </c>
      <c r="K37" s="450">
        <v>0</v>
      </c>
      <c r="L37" s="489">
        <v>1064.28</v>
      </c>
      <c r="M37" s="450">
        <v>0</v>
      </c>
      <c r="N37" s="489">
        <v>1064.28</v>
      </c>
      <c r="O37" s="488">
        <f t="shared" si="12"/>
        <v>48487</v>
      </c>
      <c r="P37" s="490">
        <f t="shared" si="14"/>
        <v>181619.84</v>
      </c>
      <c r="Q37" s="491">
        <f t="shared" si="15"/>
        <v>55476</v>
      </c>
      <c r="R37" s="492">
        <f t="shared" si="16"/>
        <v>213112.44</v>
      </c>
    </row>
    <row r="38" spans="1:18" s="448" customFormat="1" x14ac:dyDescent="0.25">
      <c r="A38" s="486" t="s">
        <v>162</v>
      </c>
      <c r="B38" s="516">
        <v>3.1640000000000001</v>
      </c>
      <c r="C38" s="450">
        <v>8761</v>
      </c>
      <c r="D38" s="489">
        <v>38265.769999999997</v>
      </c>
      <c r="E38" s="450">
        <v>0</v>
      </c>
      <c r="F38" s="489">
        <v>1064.28</v>
      </c>
      <c r="G38" s="450">
        <v>44953</v>
      </c>
      <c r="H38" s="489">
        <v>159437.29</v>
      </c>
      <c r="I38" s="450">
        <v>17914</v>
      </c>
      <c r="J38" s="489">
        <v>64176.74</v>
      </c>
      <c r="K38" s="450">
        <v>0</v>
      </c>
      <c r="L38" s="489">
        <v>1064.28</v>
      </c>
      <c r="M38" s="450">
        <v>0</v>
      </c>
      <c r="N38" s="489">
        <v>1064.28</v>
      </c>
      <c r="O38" s="488">
        <f t="shared" si="12"/>
        <v>62867</v>
      </c>
      <c r="P38" s="490">
        <f t="shared" si="14"/>
        <v>226806.87</v>
      </c>
      <c r="Q38" s="491">
        <f t="shared" si="15"/>
        <v>71628</v>
      </c>
      <c r="R38" s="492">
        <f t="shared" si="16"/>
        <v>265072.64000000007</v>
      </c>
    </row>
    <row r="39" spans="1:18" s="448" customFormat="1" x14ac:dyDescent="0.25">
      <c r="A39" s="486" t="s">
        <v>163</v>
      </c>
      <c r="B39" s="516">
        <v>3.4407000000000001</v>
      </c>
      <c r="C39" s="450">
        <v>5170</v>
      </c>
      <c r="D39" s="489">
        <v>24399.69</v>
      </c>
      <c r="E39" s="450">
        <v>0</v>
      </c>
      <c r="F39" s="489">
        <v>1064.28</v>
      </c>
      <c r="G39" s="450">
        <v>40644</v>
      </c>
      <c r="H39" s="489">
        <v>155727.46</v>
      </c>
      <c r="I39" s="450">
        <v>12199</v>
      </c>
      <c r="J39" s="489">
        <v>47485.3</v>
      </c>
      <c r="K39" s="450">
        <v>0</v>
      </c>
      <c r="L39" s="489">
        <v>1064.28</v>
      </c>
      <c r="M39" s="450">
        <v>0</v>
      </c>
      <c r="N39" s="489">
        <v>1064.28</v>
      </c>
      <c r="O39" s="488">
        <f t="shared" ref="O39:P43" si="17">+E39+G39+I39+K39+M39</f>
        <v>52843</v>
      </c>
      <c r="P39" s="490">
        <f t="shared" si="17"/>
        <v>206405.59999999998</v>
      </c>
      <c r="Q39" s="491">
        <f t="shared" ref="Q39:R43" si="18">+C39+E39+G39+I39+K39+M39</f>
        <v>58013</v>
      </c>
      <c r="R39" s="492">
        <f t="shared" si="18"/>
        <v>230805.28999999998</v>
      </c>
    </row>
    <row r="40" spans="1:18" s="448" customFormat="1" x14ac:dyDescent="0.25">
      <c r="A40" s="486" t="s">
        <v>164</v>
      </c>
      <c r="B40" s="516">
        <v>2.7746</v>
      </c>
      <c r="C40" s="450">
        <v>4858</v>
      </c>
      <c r="D40" s="489">
        <v>19679.48</v>
      </c>
      <c r="E40" s="450">
        <v>0</v>
      </c>
      <c r="F40" s="489">
        <v>1064.28</v>
      </c>
      <c r="G40" s="450">
        <v>36085</v>
      </c>
      <c r="H40" s="489">
        <v>113862.09</v>
      </c>
      <c r="I40" s="450">
        <v>4884</v>
      </c>
      <c r="J40" s="489">
        <v>25708.81</v>
      </c>
      <c r="K40" s="450">
        <v>0</v>
      </c>
      <c r="L40" s="489">
        <v>1064.28</v>
      </c>
      <c r="M40" s="450">
        <v>0</v>
      </c>
      <c r="N40" s="489">
        <v>1064.28</v>
      </c>
      <c r="O40" s="488">
        <f t="shared" si="17"/>
        <v>40969</v>
      </c>
      <c r="P40" s="490">
        <f t="shared" si="17"/>
        <v>142763.74</v>
      </c>
      <c r="Q40" s="491">
        <f t="shared" si="18"/>
        <v>45827</v>
      </c>
      <c r="R40" s="492">
        <f t="shared" si="18"/>
        <v>162443.22</v>
      </c>
    </row>
    <row r="41" spans="1:18" s="448" customFormat="1" x14ac:dyDescent="0.25">
      <c r="A41" s="486" t="s">
        <v>165</v>
      </c>
      <c r="B41" s="516">
        <v>2.2315</v>
      </c>
      <c r="C41" s="450">
        <v>2095</v>
      </c>
      <c r="D41" s="489">
        <v>7824.76</v>
      </c>
      <c r="E41" s="498">
        <v>0</v>
      </c>
      <c r="F41" s="499">
        <v>1064.28</v>
      </c>
      <c r="G41" s="450">
        <v>39023</v>
      </c>
      <c r="H41" s="489">
        <v>101428.71</v>
      </c>
      <c r="I41" s="450">
        <v>3413</v>
      </c>
      <c r="J41" s="489">
        <v>9842.2800000000007</v>
      </c>
      <c r="K41" s="498">
        <v>0</v>
      </c>
      <c r="L41" s="499">
        <v>1064.28</v>
      </c>
      <c r="M41" s="498">
        <v>0</v>
      </c>
      <c r="N41" s="499">
        <v>1064.28</v>
      </c>
      <c r="O41" s="488">
        <f t="shared" si="17"/>
        <v>42436</v>
      </c>
      <c r="P41" s="490">
        <f t="shared" si="17"/>
        <v>114463.83</v>
      </c>
      <c r="Q41" s="491">
        <f t="shared" si="18"/>
        <v>44531</v>
      </c>
      <c r="R41" s="492">
        <f t="shared" si="18"/>
        <v>122288.59</v>
      </c>
    </row>
    <row r="42" spans="1:18" s="448" customFormat="1" x14ac:dyDescent="0.25">
      <c r="A42" s="486" t="s">
        <v>166</v>
      </c>
      <c r="B42" s="516">
        <v>2.4262000000000001</v>
      </c>
      <c r="C42" s="450">
        <v>1444</v>
      </c>
      <c r="D42" s="489">
        <v>5952.47</v>
      </c>
      <c r="E42" s="450">
        <v>0</v>
      </c>
      <c r="F42" s="489">
        <v>1064.28</v>
      </c>
      <c r="G42" s="450">
        <v>3559</v>
      </c>
      <c r="H42" s="489">
        <v>10924.58</v>
      </c>
      <c r="I42" s="498">
        <v>17608</v>
      </c>
      <c r="J42" s="489">
        <v>49847.67</v>
      </c>
      <c r="K42" s="450">
        <v>0</v>
      </c>
      <c r="L42" s="489">
        <v>1064.28</v>
      </c>
      <c r="M42" s="450">
        <v>0</v>
      </c>
      <c r="N42" s="489">
        <v>1064.28</v>
      </c>
      <c r="O42" s="488">
        <f t="shared" si="17"/>
        <v>21167</v>
      </c>
      <c r="P42" s="490">
        <f t="shared" si="17"/>
        <v>63965.09</v>
      </c>
      <c r="Q42" s="491">
        <f t="shared" si="18"/>
        <v>22611</v>
      </c>
      <c r="R42" s="492">
        <f t="shared" si="18"/>
        <v>69917.56</v>
      </c>
    </row>
    <row r="43" spans="1:18" s="448" customFormat="1" x14ac:dyDescent="0.25">
      <c r="A43" s="486" t="s">
        <v>167</v>
      </c>
      <c r="B43" s="516">
        <v>2.6926000000000001</v>
      </c>
      <c r="C43" s="450">
        <v>875</v>
      </c>
      <c r="D43" s="489">
        <v>4190.13</v>
      </c>
      <c r="E43" s="450">
        <v>20733</v>
      </c>
      <c r="F43" s="489">
        <v>64139.29</v>
      </c>
      <c r="G43" s="450">
        <v>3</v>
      </c>
      <c r="H43" s="489">
        <v>1073.4100000000001</v>
      </c>
      <c r="I43" s="450">
        <v>12335</v>
      </c>
      <c r="J43" s="489">
        <v>38590.46</v>
      </c>
      <c r="K43" s="450">
        <v>0</v>
      </c>
      <c r="L43" s="489">
        <v>1064.28</v>
      </c>
      <c r="M43" s="450">
        <v>0</v>
      </c>
      <c r="N43" s="489">
        <v>1064.28</v>
      </c>
      <c r="O43" s="488">
        <f t="shared" si="17"/>
        <v>33071</v>
      </c>
      <c r="P43" s="490">
        <f t="shared" si="17"/>
        <v>105931.72</v>
      </c>
      <c r="Q43" s="491">
        <f t="shared" si="18"/>
        <v>33946</v>
      </c>
      <c r="R43" s="492">
        <f t="shared" si="18"/>
        <v>110121.85</v>
      </c>
    </row>
    <row r="44" spans="1:18" s="448" customFormat="1" x14ac:dyDescent="0.25">
      <c r="A44" s="500" t="s">
        <v>125</v>
      </c>
      <c r="B44" s="517"/>
      <c r="C44" s="496">
        <f t="shared" ref="C44" si="19">SUM(C32:C43)</f>
        <v>37567</v>
      </c>
      <c r="D44" s="497">
        <f>SUM(D32:D43)</f>
        <v>168109.58000000002</v>
      </c>
      <c r="E44" s="496">
        <f t="shared" ref="E44:R44" si="20">SUM(E32:E43)</f>
        <v>20733</v>
      </c>
      <c r="F44" s="497">
        <f t="shared" si="20"/>
        <v>75846.37</v>
      </c>
      <c r="G44" s="496">
        <f t="shared" si="20"/>
        <v>397704</v>
      </c>
      <c r="H44" s="497">
        <f t="shared" si="20"/>
        <v>1394694.73</v>
      </c>
      <c r="I44" s="496">
        <f t="shared" si="20"/>
        <v>105132</v>
      </c>
      <c r="J44" s="497">
        <f t="shared" si="20"/>
        <v>375190.62000000005</v>
      </c>
      <c r="K44" s="496">
        <f t="shared" ref="K44:N44" si="21">SUM(K32:K43)</f>
        <v>0</v>
      </c>
      <c r="L44" s="497">
        <f t="shared" si="21"/>
        <v>10039.67</v>
      </c>
      <c r="M44" s="496">
        <f t="shared" si="21"/>
        <v>0</v>
      </c>
      <c r="N44" s="497">
        <f t="shared" si="21"/>
        <v>10039.67</v>
      </c>
      <c r="O44" s="519">
        <f>SUM(O32:O43)</f>
        <v>523569</v>
      </c>
      <c r="P44" s="493">
        <f t="shared" si="20"/>
        <v>1865811.0599999998</v>
      </c>
      <c r="Q44" s="494">
        <f t="shared" si="20"/>
        <v>561136</v>
      </c>
      <c r="R44" s="495">
        <f t="shared" si="20"/>
        <v>2033920.6400000004</v>
      </c>
    </row>
    <row r="45" spans="1:18" s="448" customFormat="1" x14ac:dyDescent="0.25">
      <c r="A45" s="500" t="s">
        <v>126</v>
      </c>
      <c r="B45" s="517">
        <f>AVERAGE(B32:B43)</f>
        <v>3.0253666666666668</v>
      </c>
      <c r="C45" s="496"/>
      <c r="D45" s="497"/>
      <c r="E45" s="496"/>
      <c r="F45" s="497"/>
      <c r="G45" s="496"/>
      <c r="H45" s="497"/>
      <c r="I45" s="496"/>
      <c r="J45" s="497"/>
      <c r="K45" s="496"/>
      <c r="L45" s="497"/>
      <c r="M45" s="496"/>
      <c r="N45" s="497"/>
      <c r="O45" s="496"/>
      <c r="P45" s="497"/>
      <c r="Q45" s="496"/>
      <c r="R45" s="497"/>
    </row>
    <row r="46" spans="1:18" s="448" customFormat="1" x14ac:dyDescent="0.25">
      <c r="A46" s="501"/>
      <c r="B46" s="501"/>
      <c r="C46" s="501"/>
      <c r="D46" s="502"/>
      <c r="E46" s="501"/>
      <c r="F46" s="502"/>
      <c r="G46" s="501"/>
      <c r="H46" s="502"/>
      <c r="I46" s="503"/>
      <c r="K46" s="504"/>
      <c r="L46" s="504"/>
      <c r="M46" s="504"/>
      <c r="N46" s="504" t="s">
        <v>287</v>
      </c>
      <c r="O46" s="505">
        <f>(O44-K66)/K66</f>
        <v>-0.10356523421515366</v>
      </c>
      <c r="P46" s="506">
        <f>+P44-L66</f>
        <v>-415001.92999999993</v>
      </c>
      <c r="Q46" s="511">
        <f>(Q44-M66)/M66</f>
        <v>-0.10086030499246092</v>
      </c>
      <c r="R46" s="512">
        <f>+R44-N66</f>
        <v>-450156.32999999938</v>
      </c>
    </row>
    <row r="47" spans="1:18" s="448" customFormat="1" x14ac:dyDescent="0.25">
      <c r="O47" s="504" t="s">
        <v>184</v>
      </c>
      <c r="P47" s="505">
        <f>(P44-L66)/L66</f>
        <v>-0.18195351035772556</v>
      </c>
    </row>
    <row r="48" spans="1:18" s="448" customFormat="1" x14ac:dyDescent="0.25"/>
    <row r="49" spans="1:16" s="448" customFormat="1" x14ac:dyDescent="0.25"/>
    <row r="50" spans="1:16" s="448" customFormat="1" x14ac:dyDescent="0.25"/>
    <row r="51" spans="1:16" s="341" customFormat="1" x14ac:dyDescent="0.25">
      <c r="A51" s="350" t="s">
        <v>248</v>
      </c>
      <c r="B51" s="350"/>
      <c r="C51" s="584" t="s">
        <v>169</v>
      </c>
      <c r="D51" s="584"/>
      <c r="E51" s="585" t="s">
        <v>172</v>
      </c>
      <c r="F51" s="585"/>
      <c r="G51" s="585"/>
      <c r="H51" s="585"/>
      <c r="I51" s="585"/>
      <c r="J51" s="585"/>
      <c r="K51" s="585"/>
      <c r="L51" s="585"/>
      <c r="M51" s="384"/>
      <c r="N51" s="384"/>
    </row>
    <row r="52" spans="1:16" s="341" customFormat="1" x14ac:dyDescent="0.25">
      <c r="A52" s="377" t="s">
        <v>95</v>
      </c>
      <c r="B52" s="406"/>
      <c r="C52" s="380"/>
      <c r="D52" s="380"/>
      <c r="E52" s="586" t="s">
        <v>55</v>
      </c>
      <c r="F52" s="586"/>
      <c r="G52" s="586" t="s">
        <v>59</v>
      </c>
      <c r="H52" s="586"/>
      <c r="I52" s="586" t="s">
        <v>173</v>
      </c>
      <c r="J52" s="586"/>
      <c r="K52" s="587" t="s">
        <v>174</v>
      </c>
      <c r="L52" s="587" t="s">
        <v>175</v>
      </c>
      <c r="M52" s="582" t="s">
        <v>176</v>
      </c>
      <c r="N52" s="582" t="s">
        <v>177</v>
      </c>
    </row>
    <row r="53" spans="1:16" s="341" customFormat="1" ht="30" x14ac:dyDescent="0.25">
      <c r="A53" s="377"/>
      <c r="B53" s="409" t="s">
        <v>183</v>
      </c>
      <c r="C53" s="342" t="s">
        <v>170</v>
      </c>
      <c r="D53" s="342" t="s">
        <v>171</v>
      </c>
      <c r="E53" s="342" t="s">
        <v>170</v>
      </c>
      <c r="F53" s="342" t="s">
        <v>171</v>
      </c>
      <c r="G53" s="342" t="s">
        <v>170</v>
      </c>
      <c r="H53" s="342" t="s">
        <v>171</v>
      </c>
      <c r="I53" s="342" t="s">
        <v>170</v>
      </c>
      <c r="J53" s="342" t="s">
        <v>171</v>
      </c>
      <c r="K53" s="587"/>
      <c r="L53" s="587"/>
      <c r="M53" s="583"/>
      <c r="N53" s="583"/>
      <c r="P53" s="435"/>
    </row>
    <row r="54" spans="1:16" s="341" customFormat="1" ht="14.45" customHeight="1" x14ac:dyDescent="0.25">
      <c r="A54" s="378" t="s">
        <v>156</v>
      </c>
      <c r="B54" s="407">
        <v>3.2814999999999999</v>
      </c>
      <c r="C54" s="344">
        <v>679</v>
      </c>
      <c r="D54" s="382">
        <v>3855.76</v>
      </c>
      <c r="E54" s="344">
        <v>0</v>
      </c>
      <c r="F54" s="227">
        <v>0</v>
      </c>
      <c r="G54" s="344">
        <v>38326</v>
      </c>
      <c r="H54" s="382">
        <v>140683.22</v>
      </c>
      <c r="I54" s="344">
        <v>7448</v>
      </c>
      <c r="J54" s="382">
        <v>28196.82</v>
      </c>
      <c r="K54" s="381">
        <f t="shared" ref="K54:K59" si="22">+E54+G54+I54</f>
        <v>45774</v>
      </c>
      <c r="L54" s="383">
        <f t="shared" ref="L54:L65" si="23">+F54+H54+J54</f>
        <v>168880.04</v>
      </c>
      <c r="M54" s="384">
        <f t="shared" ref="M54:M65" si="24">+C54+E54+G54+I54</f>
        <v>46453</v>
      </c>
      <c r="N54" s="385">
        <f t="shared" ref="N54:N65" si="25">+D54+F54+H54+J54</f>
        <v>172735.80000000002</v>
      </c>
      <c r="P54" s="435">
        <f>SUM(L64:L65)</f>
        <v>329406.30000000005</v>
      </c>
    </row>
    <row r="55" spans="1:16" s="341" customFormat="1" x14ac:dyDescent="0.25">
      <c r="A55" s="378" t="s">
        <v>157</v>
      </c>
      <c r="B55" s="407">
        <v>3.2614999999999998</v>
      </c>
      <c r="C55" s="344">
        <v>835</v>
      </c>
      <c r="D55" s="382">
        <v>4523.18</v>
      </c>
      <c r="E55" s="344">
        <v>0</v>
      </c>
      <c r="F55" s="382">
        <v>1064.28</v>
      </c>
      <c r="G55" s="344">
        <v>40559</v>
      </c>
      <c r="H55" s="382">
        <v>147990.47</v>
      </c>
      <c r="I55" s="344">
        <v>9314</v>
      </c>
      <c r="J55" s="382">
        <v>34804.519999999997</v>
      </c>
      <c r="K55" s="381">
        <f t="shared" si="22"/>
        <v>49873</v>
      </c>
      <c r="L55" s="383">
        <f t="shared" si="23"/>
        <v>183859.27</v>
      </c>
      <c r="M55" s="384">
        <f t="shared" si="24"/>
        <v>50708</v>
      </c>
      <c r="N55" s="385">
        <f t="shared" si="25"/>
        <v>188382.44999999998</v>
      </c>
      <c r="P55" s="435">
        <f>SUM(P41:P42)</f>
        <v>178428.91999999998</v>
      </c>
    </row>
    <row r="56" spans="1:16" s="341" customFormat="1" x14ac:dyDescent="0.25">
      <c r="A56" s="379" t="s">
        <v>158</v>
      </c>
      <c r="B56" s="407">
        <v>3.3224</v>
      </c>
      <c r="C56" s="344">
        <v>1117</v>
      </c>
      <c r="D56" s="382">
        <v>5824.1</v>
      </c>
      <c r="E56" s="344">
        <v>0</v>
      </c>
      <c r="F56" s="382">
        <v>1064.28</v>
      </c>
      <c r="G56" s="344">
        <v>40598</v>
      </c>
      <c r="H56" s="382">
        <v>151759.01999999999</v>
      </c>
      <c r="I56" s="344">
        <v>12239</v>
      </c>
      <c r="J56" s="382">
        <v>46160.68</v>
      </c>
      <c r="K56" s="381">
        <f t="shared" si="22"/>
        <v>52837</v>
      </c>
      <c r="L56" s="383">
        <f t="shared" si="23"/>
        <v>198983.97999999998</v>
      </c>
      <c r="M56" s="384">
        <f t="shared" si="24"/>
        <v>53954</v>
      </c>
      <c r="N56" s="385">
        <f t="shared" si="25"/>
        <v>204808.08</v>
      </c>
      <c r="P56" s="435">
        <f>+P54-P55</f>
        <v>150977.38000000006</v>
      </c>
    </row>
    <row r="57" spans="1:16" s="341" customFormat="1" x14ac:dyDescent="0.25">
      <c r="A57" s="379" t="s">
        <v>159</v>
      </c>
      <c r="B57" s="407">
        <v>3.4453999999999998</v>
      </c>
      <c r="C57" s="344">
        <v>1591</v>
      </c>
      <c r="D57" s="382">
        <v>8123.17</v>
      </c>
      <c r="E57" s="344">
        <v>0</v>
      </c>
      <c r="F57" s="382">
        <v>1064.28</v>
      </c>
      <c r="G57" s="344">
        <v>39374</v>
      </c>
      <c r="H57" s="382">
        <v>151083.47</v>
      </c>
      <c r="I57" s="344">
        <v>13728</v>
      </c>
      <c r="J57" s="382">
        <v>53369.440000000002</v>
      </c>
      <c r="K57" s="381">
        <f t="shared" si="22"/>
        <v>53102</v>
      </c>
      <c r="L57" s="383">
        <f t="shared" si="23"/>
        <v>205517.19</v>
      </c>
      <c r="M57" s="384">
        <f t="shared" si="24"/>
        <v>54693</v>
      </c>
      <c r="N57" s="385">
        <f t="shared" si="25"/>
        <v>213640.36000000002</v>
      </c>
    </row>
    <row r="58" spans="1:16" s="341" customFormat="1" x14ac:dyDescent="0.25">
      <c r="A58" s="379" t="s">
        <v>160</v>
      </c>
      <c r="B58" s="407">
        <v>3.2507999999999999</v>
      </c>
      <c r="C58" s="344">
        <v>2775</v>
      </c>
      <c r="D58" s="382">
        <v>12965.13</v>
      </c>
      <c r="E58" s="344">
        <v>0</v>
      </c>
      <c r="F58" s="382">
        <v>1064.28</v>
      </c>
      <c r="G58" s="344">
        <v>38748</v>
      </c>
      <c r="H58" s="382">
        <v>141007.18</v>
      </c>
      <c r="I58" s="344">
        <v>6892</v>
      </c>
      <c r="J58" s="382">
        <v>25955.53</v>
      </c>
      <c r="K58" s="381">
        <f t="shared" si="22"/>
        <v>45640</v>
      </c>
      <c r="L58" s="383">
        <f t="shared" si="23"/>
        <v>168026.99</v>
      </c>
      <c r="M58" s="384">
        <f t="shared" si="24"/>
        <v>48415</v>
      </c>
      <c r="N58" s="385">
        <f t="shared" si="25"/>
        <v>180992.12</v>
      </c>
    </row>
    <row r="59" spans="1:16" s="341" customFormat="1" x14ac:dyDescent="0.25">
      <c r="A59" s="379" t="s">
        <v>161</v>
      </c>
      <c r="B59" s="407">
        <v>3.8856000000000002</v>
      </c>
      <c r="C59" s="344">
        <v>8455</v>
      </c>
      <c r="D59" s="382">
        <v>43183.02</v>
      </c>
      <c r="E59" s="344">
        <v>0</v>
      </c>
      <c r="F59" s="382">
        <v>1064.28</v>
      </c>
      <c r="G59" s="344">
        <v>46694</v>
      </c>
      <c r="H59" s="382">
        <v>199939.25</v>
      </c>
      <c r="I59" s="344">
        <v>12453</v>
      </c>
      <c r="J59" s="382">
        <v>54103.01</v>
      </c>
      <c r="K59" s="381">
        <f t="shared" si="22"/>
        <v>59147</v>
      </c>
      <c r="L59" s="383">
        <f t="shared" si="23"/>
        <v>255106.54</v>
      </c>
      <c r="M59" s="384">
        <f t="shared" si="24"/>
        <v>67602</v>
      </c>
      <c r="N59" s="385">
        <f t="shared" si="25"/>
        <v>298289.56</v>
      </c>
    </row>
    <row r="60" spans="1:16" s="341" customFormat="1" x14ac:dyDescent="0.25">
      <c r="A60" s="379" t="s">
        <v>162</v>
      </c>
      <c r="B60" s="407">
        <v>4.2122999999999999</v>
      </c>
      <c r="C60" s="344">
        <v>8631</v>
      </c>
      <c r="D60" s="382">
        <v>46939.81</v>
      </c>
      <c r="E60" s="344">
        <v>0</v>
      </c>
      <c r="F60" s="382">
        <v>1064.28</v>
      </c>
      <c r="G60" s="344">
        <v>27475</v>
      </c>
      <c r="H60" s="382">
        <v>127238.98</v>
      </c>
      <c r="I60" s="344">
        <v>12675</v>
      </c>
      <c r="J60" s="382">
        <v>59272.26</v>
      </c>
      <c r="K60" s="381">
        <f>+E60+G60+I60</f>
        <v>40150</v>
      </c>
      <c r="L60" s="383">
        <f t="shared" si="23"/>
        <v>187575.52</v>
      </c>
      <c r="M60" s="384">
        <f t="shared" si="24"/>
        <v>48781</v>
      </c>
      <c r="N60" s="385">
        <f t="shared" si="25"/>
        <v>234515.33000000002</v>
      </c>
    </row>
    <row r="61" spans="1:16" s="341" customFormat="1" x14ac:dyDescent="0.25">
      <c r="A61" s="379" t="s">
        <v>163</v>
      </c>
      <c r="B61" s="407">
        <v>3.8431000000000002</v>
      </c>
      <c r="C61" s="344">
        <v>7079</v>
      </c>
      <c r="D61" s="382">
        <v>35991.040000000001</v>
      </c>
      <c r="E61" s="344">
        <v>0</v>
      </c>
      <c r="F61" s="382">
        <v>1064.28</v>
      </c>
      <c r="G61" s="344">
        <v>40300</v>
      </c>
      <c r="H61" s="382">
        <v>170959.49</v>
      </c>
      <c r="I61" s="344">
        <v>16171</v>
      </c>
      <c r="J61" s="382">
        <v>69237.37</v>
      </c>
      <c r="K61" s="381">
        <f t="shared" ref="K61:K65" si="26">+E61+G61+I61</f>
        <v>56471</v>
      </c>
      <c r="L61" s="383">
        <f t="shared" si="23"/>
        <v>241261.13999999998</v>
      </c>
      <c r="M61" s="384">
        <f t="shared" si="24"/>
        <v>63550</v>
      </c>
      <c r="N61" s="385">
        <f t="shared" si="25"/>
        <v>277252.18</v>
      </c>
    </row>
    <row r="62" spans="1:16" s="341" customFormat="1" x14ac:dyDescent="0.25">
      <c r="A62" s="379" t="s">
        <v>164</v>
      </c>
      <c r="B62" s="407">
        <v>3.0226000000000002</v>
      </c>
      <c r="C62" s="344">
        <v>3555</v>
      </c>
      <c r="D62" s="382">
        <v>15535.5</v>
      </c>
      <c r="E62" s="344">
        <v>0</v>
      </c>
      <c r="F62" s="382">
        <v>1064.28</v>
      </c>
      <c r="G62" s="344">
        <v>43426</v>
      </c>
      <c r="H62" s="382">
        <v>147794.31</v>
      </c>
      <c r="I62" s="344">
        <v>10668</v>
      </c>
      <c r="J62" s="382">
        <v>37109.870000000003</v>
      </c>
      <c r="K62" s="381">
        <f t="shared" si="26"/>
        <v>54094</v>
      </c>
      <c r="L62" s="383">
        <f t="shared" si="23"/>
        <v>185968.46</v>
      </c>
      <c r="M62" s="384">
        <f t="shared" si="24"/>
        <v>57649</v>
      </c>
      <c r="N62" s="385">
        <f t="shared" si="25"/>
        <v>201503.96</v>
      </c>
    </row>
    <row r="63" spans="1:16" s="341" customFormat="1" x14ac:dyDescent="0.25">
      <c r="A63" s="379" t="s">
        <v>165</v>
      </c>
      <c r="B63" s="407">
        <v>3.3405</v>
      </c>
      <c r="C63" s="344">
        <v>2705</v>
      </c>
      <c r="D63" s="382">
        <v>12907.68</v>
      </c>
      <c r="E63" s="391">
        <v>0</v>
      </c>
      <c r="F63" s="227">
        <v>1064.28</v>
      </c>
      <c r="G63" s="344">
        <v>37658</v>
      </c>
      <c r="H63" s="382">
        <v>140516</v>
      </c>
      <c r="I63" s="344">
        <v>3668</v>
      </c>
      <c r="J63" s="382">
        <v>14647.28</v>
      </c>
      <c r="K63" s="381">
        <f t="shared" si="26"/>
        <v>41326</v>
      </c>
      <c r="L63" s="383">
        <f t="shared" si="23"/>
        <v>156227.56</v>
      </c>
      <c r="M63" s="384">
        <f t="shared" si="24"/>
        <v>44031</v>
      </c>
      <c r="N63" s="385">
        <f t="shared" si="25"/>
        <v>169135.24</v>
      </c>
    </row>
    <row r="64" spans="1:16" s="341" customFormat="1" x14ac:dyDescent="0.25">
      <c r="A64" s="379" t="s">
        <v>166</v>
      </c>
      <c r="B64" s="407">
        <v>3.3098000000000001</v>
      </c>
      <c r="C64" s="344">
        <v>1694</v>
      </c>
      <c r="D64" s="382">
        <v>8358</v>
      </c>
      <c r="E64" s="344">
        <v>0</v>
      </c>
      <c r="F64" s="382">
        <v>1064.28</v>
      </c>
      <c r="G64" s="344">
        <v>37952</v>
      </c>
      <c r="H64" s="382">
        <v>140416.28</v>
      </c>
      <c r="I64" s="391">
        <v>2221</v>
      </c>
      <c r="J64" s="382">
        <v>9219.34</v>
      </c>
      <c r="K64" s="381">
        <f t="shared" si="26"/>
        <v>40173</v>
      </c>
      <c r="L64" s="383">
        <f t="shared" si="23"/>
        <v>150699.9</v>
      </c>
      <c r="M64" s="384">
        <f t="shared" si="24"/>
        <v>41867</v>
      </c>
      <c r="N64" s="385">
        <f t="shared" si="25"/>
        <v>159057.9</v>
      </c>
    </row>
    <row r="65" spans="1:14" s="341" customFormat="1" x14ac:dyDescent="0.25">
      <c r="A65" s="379" t="s">
        <v>167</v>
      </c>
      <c r="B65" s="407">
        <v>3.4943</v>
      </c>
      <c r="C65" s="344">
        <v>908</v>
      </c>
      <c r="D65" s="382">
        <v>5057.59</v>
      </c>
      <c r="E65" s="344">
        <v>0</v>
      </c>
      <c r="F65" s="382">
        <v>1064.28</v>
      </c>
      <c r="G65" s="344">
        <v>40796</v>
      </c>
      <c r="H65" s="382">
        <v>158536.26</v>
      </c>
      <c r="I65" s="344">
        <v>4674</v>
      </c>
      <c r="J65" s="382">
        <v>19105.86</v>
      </c>
      <c r="K65" s="381">
        <f t="shared" si="26"/>
        <v>45470</v>
      </c>
      <c r="L65" s="383">
        <f t="shared" si="23"/>
        <v>178706.40000000002</v>
      </c>
      <c r="M65" s="384">
        <f t="shared" si="24"/>
        <v>46378</v>
      </c>
      <c r="N65" s="385">
        <f t="shared" si="25"/>
        <v>183763.99</v>
      </c>
    </row>
    <row r="66" spans="1:14" s="341" customFormat="1" x14ac:dyDescent="0.25">
      <c r="A66" s="392" t="s">
        <v>125</v>
      </c>
      <c r="B66" s="408"/>
      <c r="C66" s="389">
        <f t="shared" ref="C66" si="27">SUM(C54:C65)</f>
        <v>40024</v>
      </c>
      <c r="D66" s="390">
        <f>SUM(D54:D65)</f>
        <v>203263.97999999998</v>
      </c>
      <c r="E66" s="389">
        <f t="shared" ref="E66:N66" si="28">SUM(E54:E65)</f>
        <v>0</v>
      </c>
      <c r="F66" s="390">
        <f t="shared" si="28"/>
        <v>11707.080000000002</v>
      </c>
      <c r="G66" s="389">
        <f t="shared" si="28"/>
        <v>471906</v>
      </c>
      <c r="H66" s="390">
        <f t="shared" si="28"/>
        <v>1817923.93</v>
      </c>
      <c r="I66" s="389">
        <f t="shared" si="28"/>
        <v>112151</v>
      </c>
      <c r="J66" s="390">
        <f t="shared" si="28"/>
        <v>451181.98000000004</v>
      </c>
      <c r="K66" s="411">
        <f t="shared" si="28"/>
        <v>584057</v>
      </c>
      <c r="L66" s="386">
        <f t="shared" si="28"/>
        <v>2280812.9899999998</v>
      </c>
      <c r="M66" s="387">
        <f t="shared" si="28"/>
        <v>624081</v>
      </c>
      <c r="N66" s="388">
        <f t="shared" si="28"/>
        <v>2484076.9699999997</v>
      </c>
    </row>
    <row r="67" spans="1:14" s="341" customFormat="1" x14ac:dyDescent="0.25">
      <c r="A67" s="392" t="s">
        <v>126</v>
      </c>
      <c r="B67" s="408">
        <f>AVERAGE(B54:B65)</f>
        <v>3.4724833333333334</v>
      </c>
      <c r="C67" s="389"/>
      <c r="D67" s="390"/>
      <c r="E67" s="389"/>
      <c r="F67" s="390"/>
      <c r="G67" s="389"/>
      <c r="H67" s="390"/>
      <c r="I67" s="389"/>
      <c r="J67" s="390"/>
      <c r="K67" s="389"/>
      <c r="L67" s="390"/>
      <c r="M67" s="389"/>
      <c r="N67" s="390"/>
    </row>
    <row r="68" spans="1:14" s="341" customFormat="1" x14ac:dyDescent="0.25">
      <c r="A68" s="393"/>
      <c r="B68" s="393"/>
      <c r="C68" s="393"/>
      <c r="D68" s="394"/>
      <c r="E68" s="393"/>
      <c r="F68" s="394"/>
      <c r="G68" s="393"/>
      <c r="H68" s="394"/>
      <c r="I68" s="395"/>
      <c r="J68" s="396" t="s">
        <v>286</v>
      </c>
      <c r="K68" s="397">
        <f>(K66-K87)/K87</f>
        <v>2.6247665348275106E-3</v>
      </c>
      <c r="L68" s="398">
        <f>+L66-L87</f>
        <v>409835.75</v>
      </c>
      <c r="M68" s="403">
        <f>(M66-M87)/M87</f>
        <v>-3.7036977910316236E-3</v>
      </c>
      <c r="N68" s="404">
        <f>+N66-N87</f>
        <v>434557.50999999954</v>
      </c>
    </row>
    <row r="69" spans="1:14" s="341" customFormat="1" x14ac:dyDescent="0.25">
      <c r="K69" s="396" t="s">
        <v>184</v>
      </c>
      <c r="L69" s="397">
        <f>(L66-L87)/L87</f>
        <v>0.21904903022764727</v>
      </c>
    </row>
    <row r="70" spans="1:14" s="341" customFormat="1" x14ac:dyDescent="0.25"/>
    <row r="71" spans="1:14" s="341" customFormat="1" x14ac:dyDescent="0.25"/>
    <row r="72" spans="1:14" s="264" customFormat="1" x14ac:dyDescent="0.25">
      <c r="A72" s="176" t="s">
        <v>214</v>
      </c>
      <c r="B72" s="176"/>
      <c r="C72" s="584" t="s">
        <v>169</v>
      </c>
      <c r="D72" s="584"/>
      <c r="E72" s="585" t="s">
        <v>172</v>
      </c>
      <c r="F72" s="585"/>
      <c r="G72" s="585"/>
      <c r="H72" s="585"/>
      <c r="I72" s="585"/>
      <c r="J72" s="585"/>
      <c r="K72" s="585"/>
      <c r="L72" s="585"/>
      <c r="M72" s="218"/>
      <c r="N72" s="218"/>
    </row>
    <row r="73" spans="1:14" s="264" customFormat="1" x14ac:dyDescent="0.25">
      <c r="A73" s="210" t="s">
        <v>95</v>
      </c>
      <c r="B73" s="252"/>
      <c r="C73" s="214"/>
      <c r="D73" s="214"/>
      <c r="E73" s="586" t="s">
        <v>55</v>
      </c>
      <c r="F73" s="586"/>
      <c r="G73" s="586" t="s">
        <v>59</v>
      </c>
      <c r="H73" s="586"/>
      <c r="I73" s="586" t="s">
        <v>173</v>
      </c>
      <c r="J73" s="586"/>
      <c r="K73" s="587" t="s">
        <v>174</v>
      </c>
      <c r="L73" s="587" t="s">
        <v>175</v>
      </c>
      <c r="M73" s="582" t="s">
        <v>176</v>
      </c>
      <c r="N73" s="582" t="s">
        <v>177</v>
      </c>
    </row>
    <row r="74" spans="1:14" s="264" customFormat="1" ht="30" x14ac:dyDescent="0.25">
      <c r="A74" s="210"/>
      <c r="B74" s="255" t="s">
        <v>183</v>
      </c>
      <c r="C74" s="312" t="s">
        <v>170</v>
      </c>
      <c r="D74" s="312" t="s">
        <v>171</v>
      </c>
      <c r="E74" s="312" t="s">
        <v>170</v>
      </c>
      <c r="F74" s="312" t="s">
        <v>171</v>
      </c>
      <c r="G74" s="312" t="s">
        <v>170</v>
      </c>
      <c r="H74" s="312" t="s">
        <v>171</v>
      </c>
      <c r="I74" s="312" t="s">
        <v>170</v>
      </c>
      <c r="J74" s="312" t="s">
        <v>171</v>
      </c>
      <c r="K74" s="587"/>
      <c r="L74" s="587"/>
      <c r="M74" s="583"/>
      <c r="N74" s="583"/>
    </row>
    <row r="75" spans="1:14" s="264" customFormat="1" x14ac:dyDescent="0.25">
      <c r="A75" s="211" t="s">
        <v>156</v>
      </c>
      <c r="B75" s="253">
        <v>3.3805000000000001</v>
      </c>
      <c r="C75" s="148">
        <v>696</v>
      </c>
      <c r="D75" s="216">
        <v>4000.64</v>
      </c>
      <c r="E75" s="148">
        <v>0</v>
      </c>
      <c r="F75" s="216">
        <v>1064.28</v>
      </c>
      <c r="G75" s="148">
        <v>38643</v>
      </c>
      <c r="H75" s="216">
        <v>145740.19</v>
      </c>
      <c r="I75" s="148">
        <v>1818</v>
      </c>
      <c r="J75" s="216">
        <v>7870.71</v>
      </c>
      <c r="K75" s="215">
        <f t="shared" ref="K75:K86" si="29">+E75+G75+I75</f>
        <v>40461</v>
      </c>
      <c r="L75" s="217">
        <f t="shared" ref="L75:L86" si="30">+F75+H75+J75</f>
        <v>154675.18</v>
      </c>
      <c r="M75" s="218">
        <f t="shared" ref="M75:M86" si="31">+C75+E75+G75+I75</f>
        <v>41157</v>
      </c>
      <c r="N75" s="219">
        <f t="shared" ref="N75:N86" si="32">+D75+F75+H75+J75</f>
        <v>158675.82</v>
      </c>
    </row>
    <row r="76" spans="1:14" s="264" customFormat="1" x14ac:dyDescent="0.25">
      <c r="A76" s="211" t="s">
        <v>157</v>
      </c>
      <c r="B76" s="253">
        <v>3.4628000000000001</v>
      </c>
      <c r="C76" s="148">
        <v>799</v>
      </c>
      <c r="D76" s="216">
        <v>4530.03</v>
      </c>
      <c r="E76" s="148">
        <v>0</v>
      </c>
      <c r="F76" s="216">
        <v>1064.28</v>
      </c>
      <c r="G76" s="148">
        <v>41805</v>
      </c>
      <c r="H76" s="216">
        <v>161087.79999999999</v>
      </c>
      <c r="I76" s="148">
        <v>1436</v>
      </c>
      <c r="J76" s="216">
        <v>6561.08</v>
      </c>
      <c r="K76" s="215">
        <f t="shared" si="29"/>
        <v>43241</v>
      </c>
      <c r="L76" s="217">
        <f t="shared" si="30"/>
        <v>168713.15999999997</v>
      </c>
      <c r="M76" s="218">
        <f t="shared" si="31"/>
        <v>44040</v>
      </c>
      <c r="N76" s="219">
        <f t="shared" si="32"/>
        <v>173243.18999999997</v>
      </c>
    </row>
    <row r="77" spans="1:14" s="264" customFormat="1" x14ac:dyDescent="0.25">
      <c r="A77" s="212" t="s">
        <v>158</v>
      </c>
      <c r="B77" s="253">
        <v>3.2572000000000001</v>
      </c>
      <c r="C77" s="148">
        <v>1078</v>
      </c>
      <c r="D77" s="216">
        <v>5579.67</v>
      </c>
      <c r="E77" s="148">
        <v>0</v>
      </c>
      <c r="F77" s="216">
        <v>1064.28</v>
      </c>
      <c r="G77" s="148">
        <v>36769</v>
      </c>
      <c r="H77" s="216">
        <v>134099.82</v>
      </c>
      <c r="I77" s="148">
        <v>2078</v>
      </c>
      <c r="J77" s="216">
        <v>8582.7800000000007</v>
      </c>
      <c r="K77" s="215">
        <f t="shared" si="29"/>
        <v>38847</v>
      </c>
      <c r="L77" s="217">
        <f t="shared" si="30"/>
        <v>143746.88</v>
      </c>
      <c r="M77" s="218">
        <f t="shared" si="31"/>
        <v>39925</v>
      </c>
      <c r="N77" s="219">
        <f t="shared" si="32"/>
        <v>149326.55000000002</v>
      </c>
    </row>
    <row r="78" spans="1:14" s="264" customFormat="1" x14ac:dyDescent="0.25">
      <c r="A78" s="212" t="s">
        <v>159</v>
      </c>
      <c r="B78" s="253">
        <v>3.1438999999999999</v>
      </c>
      <c r="C78" s="148">
        <v>1453</v>
      </c>
      <c r="D78" s="216">
        <v>7047.78</v>
      </c>
      <c r="E78" s="148">
        <v>0</v>
      </c>
      <c r="F78" s="216">
        <v>1064.28</v>
      </c>
      <c r="G78" s="148">
        <v>39526</v>
      </c>
      <c r="H78" s="216">
        <v>139507.18</v>
      </c>
      <c r="I78" s="148">
        <v>4596</v>
      </c>
      <c r="J78" s="216">
        <v>17162.13</v>
      </c>
      <c r="K78" s="215">
        <f t="shared" si="29"/>
        <v>44122</v>
      </c>
      <c r="L78" s="217">
        <f t="shared" si="30"/>
        <v>157733.59</v>
      </c>
      <c r="M78" s="218">
        <f t="shared" si="31"/>
        <v>45575</v>
      </c>
      <c r="N78" s="219">
        <f t="shared" si="32"/>
        <v>164781.37</v>
      </c>
    </row>
    <row r="79" spans="1:14" s="264" customFormat="1" x14ac:dyDescent="0.25">
      <c r="A79" s="212" t="s">
        <v>160</v>
      </c>
      <c r="B79" s="253">
        <v>2.7037</v>
      </c>
      <c r="C79" s="148">
        <v>4030</v>
      </c>
      <c r="D79" s="216">
        <v>16183.27</v>
      </c>
      <c r="E79" s="148">
        <v>0</v>
      </c>
      <c r="F79" s="216">
        <v>1064.28</v>
      </c>
      <c r="G79" s="148">
        <v>36846</v>
      </c>
      <c r="H79" s="216">
        <v>113576.27</v>
      </c>
      <c r="I79" s="148">
        <v>8858</v>
      </c>
      <c r="J79" s="216">
        <v>28112.83</v>
      </c>
      <c r="K79" s="215">
        <f t="shared" si="29"/>
        <v>45704</v>
      </c>
      <c r="L79" s="217">
        <f t="shared" si="30"/>
        <v>142753.38</v>
      </c>
      <c r="M79" s="218">
        <f t="shared" si="31"/>
        <v>49734</v>
      </c>
      <c r="N79" s="219">
        <f t="shared" si="32"/>
        <v>158936.65000000002</v>
      </c>
    </row>
    <row r="80" spans="1:14" s="264" customFormat="1" x14ac:dyDescent="0.25">
      <c r="A80" s="212" t="s">
        <v>161</v>
      </c>
      <c r="B80" s="253">
        <v>2.8982000000000001</v>
      </c>
      <c r="C80" s="148">
        <v>8911</v>
      </c>
      <c r="D80" s="216">
        <v>36490.01</v>
      </c>
      <c r="E80" s="148">
        <v>0</v>
      </c>
      <c r="F80" s="216">
        <v>1064.28</v>
      </c>
      <c r="G80" s="148">
        <v>42500</v>
      </c>
      <c r="H80" s="216">
        <v>139350.78</v>
      </c>
      <c r="I80" s="148">
        <v>17166</v>
      </c>
      <c r="J80" s="216">
        <v>56919.01</v>
      </c>
      <c r="K80" s="215">
        <f t="shared" si="29"/>
        <v>59666</v>
      </c>
      <c r="L80" s="217">
        <f t="shared" si="30"/>
        <v>197334.07</v>
      </c>
      <c r="M80" s="218">
        <f t="shared" si="31"/>
        <v>68577</v>
      </c>
      <c r="N80" s="219">
        <f t="shared" si="32"/>
        <v>233824.08000000002</v>
      </c>
    </row>
    <row r="81" spans="1:14" s="264" customFormat="1" x14ac:dyDescent="0.25">
      <c r="A81" s="212" t="s">
        <v>162</v>
      </c>
      <c r="B81" s="253">
        <v>2.7593000000000001</v>
      </c>
      <c r="C81" s="148">
        <v>10451</v>
      </c>
      <c r="D81" s="216">
        <v>41164.04</v>
      </c>
      <c r="E81" s="148">
        <v>0</v>
      </c>
      <c r="F81" s="216">
        <v>1064.28</v>
      </c>
      <c r="G81" s="148">
        <v>41239</v>
      </c>
      <c r="H81" s="216">
        <v>129329.36</v>
      </c>
      <c r="I81" s="148">
        <v>23165</v>
      </c>
      <c r="J81" s="216">
        <v>73114.05</v>
      </c>
      <c r="K81" s="215">
        <f>+E81+G81+I81</f>
        <v>64404</v>
      </c>
      <c r="L81" s="217">
        <f t="shared" si="30"/>
        <v>203507.69</v>
      </c>
      <c r="M81" s="218">
        <f t="shared" si="31"/>
        <v>74855</v>
      </c>
      <c r="N81" s="219">
        <f t="shared" si="32"/>
        <v>244671.72999999998</v>
      </c>
    </row>
    <row r="82" spans="1:14" s="264" customFormat="1" x14ac:dyDescent="0.25">
      <c r="A82" s="212" t="s">
        <v>163</v>
      </c>
      <c r="B82" s="253">
        <v>2.7387999999999999</v>
      </c>
      <c r="C82" s="148">
        <v>7743</v>
      </c>
      <c r="D82" s="216">
        <v>30563.11</v>
      </c>
      <c r="E82" s="148">
        <v>0</v>
      </c>
      <c r="F82" s="216">
        <v>1064.28</v>
      </c>
      <c r="G82" s="148">
        <v>40687</v>
      </c>
      <c r="H82" s="216">
        <v>126761.72</v>
      </c>
      <c r="I82" s="148">
        <v>12236</v>
      </c>
      <c r="J82" s="216">
        <v>38865.89</v>
      </c>
      <c r="K82" s="215">
        <f t="shared" si="29"/>
        <v>52923</v>
      </c>
      <c r="L82" s="217">
        <f t="shared" si="30"/>
        <v>166691.89000000001</v>
      </c>
      <c r="M82" s="218">
        <f t="shared" si="31"/>
        <v>60666</v>
      </c>
      <c r="N82" s="219">
        <f t="shared" si="32"/>
        <v>197255</v>
      </c>
    </row>
    <row r="83" spans="1:14" s="264" customFormat="1" x14ac:dyDescent="0.25">
      <c r="A83" s="212" t="s">
        <v>164</v>
      </c>
      <c r="B83" s="253">
        <v>2.2166000000000001</v>
      </c>
      <c r="C83" s="148">
        <v>3889</v>
      </c>
      <c r="D83" s="216">
        <v>13715.51</v>
      </c>
      <c r="E83" s="148">
        <v>0</v>
      </c>
      <c r="F83" s="216">
        <v>1064.28</v>
      </c>
      <c r="G83" s="148">
        <v>39572</v>
      </c>
      <c r="H83" s="216">
        <v>102239.29</v>
      </c>
      <c r="I83" s="148">
        <v>6247</v>
      </c>
      <c r="J83" s="216">
        <v>17036.18</v>
      </c>
      <c r="K83" s="215">
        <f t="shared" si="29"/>
        <v>45819</v>
      </c>
      <c r="L83" s="217">
        <f t="shared" si="30"/>
        <v>120339.75</v>
      </c>
      <c r="M83" s="218">
        <f t="shared" si="31"/>
        <v>49708</v>
      </c>
      <c r="N83" s="219">
        <f t="shared" si="32"/>
        <v>134055.25999999998</v>
      </c>
    </row>
    <row r="84" spans="1:14" s="264" customFormat="1" x14ac:dyDescent="0.25">
      <c r="A84" s="212" t="s">
        <v>165</v>
      </c>
      <c r="B84" s="253">
        <v>2.2166000000000001</v>
      </c>
      <c r="C84" s="148">
        <v>2405</v>
      </c>
      <c r="D84" s="216">
        <v>8816.33</v>
      </c>
      <c r="E84" s="321"/>
      <c r="F84" s="322"/>
      <c r="G84" s="148">
        <v>37207</v>
      </c>
      <c r="H84" s="216">
        <v>96192.61</v>
      </c>
      <c r="I84" s="148">
        <v>8532</v>
      </c>
      <c r="J84" s="216">
        <v>22878.31</v>
      </c>
      <c r="K84" s="215">
        <f t="shared" si="29"/>
        <v>45739</v>
      </c>
      <c r="L84" s="217">
        <f t="shared" si="30"/>
        <v>119070.92</v>
      </c>
      <c r="M84" s="218">
        <f t="shared" si="31"/>
        <v>48144</v>
      </c>
      <c r="N84" s="219">
        <f t="shared" si="32"/>
        <v>127887.25</v>
      </c>
    </row>
    <row r="85" spans="1:14" s="264" customFormat="1" x14ac:dyDescent="0.25">
      <c r="A85" s="212" t="s">
        <v>166</v>
      </c>
      <c r="B85" s="253">
        <v>2.5032999999999999</v>
      </c>
      <c r="C85" s="148">
        <v>1568</v>
      </c>
      <c r="D85" s="216">
        <v>6511.65</v>
      </c>
      <c r="E85" s="148">
        <v>0</v>
      </c>
      <c r="F85" s="216">
        <v>1064.28</v>
      </c>
      <c r="G85" s="148">
        <v>41487</v>
      </c>
      <c r="H85" s="216">
        <v>119267.63</v>
      </c>
      <c r="I85" s="226">
        <v>8245</v>
      </c>
      <c r="J85" s="216">
        <v>24555.65</v>
      </c>
      <c r="K85" s="215">
        <f t="shared" si="29"/>
        <v>49732</v>
      </c>
      <c r="L85" s="217">
        <f t="shared" si="30"/>
        <v>144887.56</v>
      </c>
      <c r="M85" s="218">
        <f t="shared" si="31"/>
        <v>51300</v>
      </c>
      <c r="N85" s="219">
        <f t="shared" si="32"/>
        <v>151399.21</v>
      </c>
    </row>
    <row r="86" spans="1:14" s="264" customFormat="1" x14ac:dyDescent="0.25">
      <c r="A86" s="212" t="s">
        <v>167</v>
      </c>
      <c r="B86" s="253">
        <v>2.5135000000000001</v>
      </c>
      <c r="C86" s="148">
        <v>850</v>
      </c>
      <c r="D86" s="216">
        <v>3940.18</v>
      </c>
      <c r="E86" s="148">
        <v>0</v>
      </c>
      <c r="F86" s="216">
        <v>1064.28</v>
      </c>
      <c r="G86" s="148">
        <v>41260</v>
      </c>
      <c r="H86" s="216">
        <v>119050.14</v>
      </c>
      <c r="I86" s="148">
        <v>10610</v>
      </c>
      <c r="J86" s="216">
        <v>31408.75</v>
      </c>
      <c r="K86" s="215">
        <f t="shared" si="29"/>
        <v>51870</v>
      </c>
      <c r="L86" s="217">
        <f t="shared" si="30"/>
        <v>151523.16999999998</v>
      </c>
      <c r="M86" s="218">
        <f t="shared" si="31"/>
        <v>52720</v>
      </c>
      <c r="N86" s="219">
        <f t="shared" si="32"/>
        <v>155463.35</v>
      </c>
    </row>
    <row r="87" spans="1:14" s="264" customFormat="1" x14ac:dyDescent="0.25">
      <c r="A87" s="228" t="s">
        <v>125</v>
      </c>
      <c r="B87" s="254"/>
      <c r="C87" s="224">
        <f t="shared" ref="C87:N87" si="33">SUM(C75:C86)</f>
        <v>43873</v>
      </c>
      <c r="D87" s="225">
        <f>SUM(D75:D86)</f>
        <v>178542.21999999997</v>
      </c>
      <c r="E87" s="224">
        <f t="shared" si="33"/>
        <v>0</v>
      </c>
      <c r="F87" s="225">
        <f t="shared" si="33"/>
        <v>11707.080000000002</v>
      </c>
      <c r="G87" s="224">
        <f t="shared" si="33"/>
        <v>477541</v>
      </c>
      <c r="H87" s="225">
        <f t="shared" si="33"/>
        <v>1526202.7900000003</v>
      </c>
      <c r="I87" s="224">
        <f t="shared" si="33"/>
        <v>104987</v>
      </c>
      <c r="J87" s="225">
        <f t="shared" si="33"/>
        <v>333067.37000000005</v>
      </c>
      <c r="K87" s="262">
        <f t="shared" si="33"/>
        <v>582528</v>
      </c>
      <c r="L87" s="221">
        <f t="shared" si="33"/>
        <v>1870977.2399999998</v>
      </c>
      <c r="M87" s="222">
        <f t="shared" si="33"/>
        <v>626401</v>
      </c>
      <c r="N87" s="223">
        <f t="shared" si="33"/>
        <v>2049519.4600000002</v>
      </c>
    </row>
    <row r="88" spans="1:14" s="264" customFormat="1" x14ac:dyDescent="0.25">
      <c r="A88" s="228" t="s">
        <v>126</v>
      </c>
      <c r="B88" s="254">
        <f>AVERAGE(B75:B86)</f>
        <v>2.8161999999999998</v>
      </c>
      <c r="C88" s="224"/>
      <c r="D88" s="225"/>
      <c r="E88" s="224"/>
      <c r="F88" s="225"/>
      <c r="G88" s="224"/>
      <c r="H88" s="225"/>
      <c r="I88" s="224"/>
      <c r="J88" s="225"/>
      <c r="K88" s="224"/>
      <c r="L88" s="225"/>
      <c r="M88" s="224"/>
      <c r="N88" s="225"/>
    </row>
    <row r="89" spans="1:14" s="264" customFormat="1" x14ac:dyDescent="0.25">
      <c r="A89" s="229"/>
      <c r="B89" s="229"/>
      <c r="C89" s="229"/>
      <c r="D89" s="230"/>
      <c r="E89" s="229"/>
      <c r="F89" s="230"/>
      <c r="G89" s="229"/>
      <c r="H89" s="230"/>
      <c r="I89" s="231"/>
      <c r="J89" s="232" t="s">
        <v>219</v>
      </c>
      <c r="K89" s="233">
        <f>(K87-K108)/K108</f>
        <v>5.3121791070679603E-2</v>
      </c>
      <c r="L89" s="234">
        <f>+L87-L108</f>
        <v>-596330.75000000047</v>
      </c>
      <c r="M89" s="240">
        <f>(M87-M108)/M108</f>
        <v>4.6265086804453633E-2</v>
      </c>
      <c r="N89" s="241">
        <f>+N87-N108</f>
        <v>-657208.72</v>
      </c>
    </row>
    <row r="90" spans="1:14" s="264" customFormat="1" x14ac:dyDescent="0.25">
      <c r="K90" s="232" t="s">
        <v>184</v>
      </c>
      <c r="L90" s="233">
        <f>(L87-L108)/L108</f>
        <v>-0.24169287029301939</v>
      </c>
    </row>
    <row r="91" spans="1:14" s="264" customFormat="1" x14ac:dyDescent="0.25"/>
    <row r="93" spans="1:14" x14ac:dyDescent="0.25">
      <c r="A93" s="176" t="s">
        <v>186</v>
      </c>
      <c r="B93" s="176"/>
      <c r="C93" s="584" t="s">
        <v>169</v>
      </c>
      <c r="D93" s="584"/>
      <c r="E93" s="585" t="s">
        <v>172</v>
      </c>
      <c r="F93" s="585"/>
      <c r="G93" s="585"/>
      <c r="H93" s="585"/>
      <c r="I93" s="585"/>
      <c r="J93" s="585"/>
      <c r="K93" s="585"/>
      <c r="L93" s="585"/>
      <c r="M93" s="218"/>
      <c r="N93" s="218"/>
    </row>
    <row r="94" spans="1:14" x14ac:dyDescent="0.25">
      <c r="A94" s="210" t="s">
        <v>95</v>
      </c>
      <c r="B94" s="252"/>
      <c r="C94" s="214"/>
      <c r="D94" s="214"/>
      <c r="E94" s="586" t="s">
        <v>55</v>
      </c>
      <c r="F94" s="586"/>
      <c r="G94" s="586" t="s">
        <v>59</v>
      </c>
      <c r="H94" s="586"/>
      <c r="I94" s="586" t="s">
        <v>173</v>
      </c>
      <c r="J94" s="586"/>
      <c r="K94" s="587" t="s">
        <v>174</v>
      </c>
      <c r="L94" s="587" t="s">
        <v>175</v>
      </c>
      <c r="M94" s="582" t="s">
        <v>176</v>
      </c>
      <c r="N94" s="582" t="s">
        <v>177</v>
      </c>
    </row>
    <row r="95" spans="1:14" ht="30" x14ac:dyDescent="0.25">
      <c r="A95" s="210"/>
      <c r="B95" s="255" t="s">
        <v>183</v>
      </c>
      <c r="C95" s="263" t="s">
        <v>170</v>
      </c>
      <c r="D95" s="263" t="s">
        <v>171</v>
      </c>
      <c r="E95" s="263" t="s">
        <v>170</v>
      </c>
      <c r="F95" s="263" t="s">
        <v>171</v>
      </c>
      <c r="G95" s="263" t="s">
        <v>170</v>
      </c>
      <c r="H95" s="263" t="s">
        <v>171</v>
      </c>
      <c r="I95" s="263" t="s">
        <v>170</v>
      </c>
      <c r="J95" s="263" t="s">
        <v>171</v>
      </c>
      <c r="K95" s="587"/>
      <c r="L95" s="587"/>
      <c r="M95" s="583"/>
      <c r="N95" s="583"/>
    </row>
    <row r="96" spans="1:14" x14ac:dyDescent="0.25">
      <c r="A96" s="211" t="s">
        <v>156</v>
      </c>
      <c r="B96" s="253">
        <v>5.1262999999999996</v>
      </c>
      <c r="C96" s="148">
        <v>712</v>
      </c>
      <c r="D96" s="216">
        <v>5340.32</v>
      </c>
      <c r="E96" s="148">
        <v>0</v>
      </c>
      <c r="F96" s="216">
        <v>1064.28</v>
      </c>
      <c r="G96" s="148">
        <v>37631</v>
      </c>
      <c r="H96" s="216">
        <v>208961.49</v>
      </c>
      <c r="I96" s="148">
        <v>3338</v>
      </c>
      <c r="J96" s="216">
        <v>19505.48</v>
      </c>
      <c r="K96" s="215">
        <f t="shared" ref="K96:K107" si="34">+E96+G96+I96</f>
        <v>40969</v>
      </c>
      <c r="L96" s="217">
        <f t="shared" ref="L96:L107" si="35">+F96+H96+J96</f>
        <v>229531.25</v>
      </c>
      <c r="M96" s="218">
        <f t="shared" ref="M96:M107" si="36">+C96+E96+G96+I96</f>
        <v>41681</v>
      </c>
      <c r="N96" s="219">
        <f t="shared" ref="N96:N107" si="37">+D96+F96+H96+J96</f>
        <v>234871.57</v>
      </c>
    </row>
    <row r="97" spans="1:14" x14ac:dyDescent="0.25">
      <c r="A97" s="211" t="s">
        <v>157</v>
      </c>
      <c r="B97" s="253">
        <v>4.5640000000000001</v>
      </c>
      <c r="C97" s="148">
        <v>963</v>
      </c>
      <c r="D97" s="216">
        <v>6361.56</v>
      </c>
      <c r="E97" s="148">
        <v>0</v>
      </c>
      <c r="F97" s="216">
        <v>1064.28</v>
      </c>
      <c r="G97" s="148">
        <v>42499</v>
      </c>
      <c r="H97" s="216">
        <v>211480.23</v>
      </c>
      <c r="I97" s="148">
        <v>3355</v>
      </c>
      <c r="J97" s="216">
        <v>17675.150000000001</v>
      </c>
      <c r="K97" s="215">
        <f t="shared" si="34"/>
        <v>45854</v>
      </c>
      <c r="L97" s="217">
        <f t="shared" si="35"/>
        <v>230219.66</v>
      </c>
      <c r="M97" s="218">
        <f t="shared" si="36"/>
        <v>46817</v>
      </c>
      <c r="N97" s="219">
        <f t="shared" si="37"/>
        <v>236581.22</v>
      </c>
    </row>
    <row r="98" spans="1:14" x14ac:dyDescent="0.25">
      <c r="A98" s="212" t="s">
        <v>158</v>
      </c>
      <c r="B98" s="253">
        <v>4.7340999999999998</v>
      </c>
      <c r="C98" s="148">
        <v>1060</v>
      </c>
      <c r="D98" s="216">
        <v>7097.96</v>
      </c>
      <c r="E98" s="148">
        <v>0</v>
      </c>
      <c r="F98" s="216">
        <v>1064.28</v>
      </c>
      <c r="G98" s="148">
        <v>36203</v>
      </c>
      <c r="H98" s="216">
        <v>186589.52</v>
      </c>
      <c r="I98" s="148">
        <v>4401</v>
      </c>
      <c r="J98" s="216">
        <v>23617.56</v>
      </c>
      <c r="K98" s="215">
        <f t="shared" si="34"/>
        <v>40604</v>
      </c>
      <c r="L98" s="217">
        <f t="shared" si="35"/>
        <v>211271.36</v>
      </c>
      <c r="M98" s="218">
        <f t="shared" si="36"/>
        <v>41664</v>
      </c>
      <c r="N98" s="219">
        <f t="shared" si="37"/>
        <v>218369.31999999998</v>
      </c>
    </row>
    <row r="99" spans="1:14" x14ac:dyDescent="0.25">
      <c r="A99" s="212" t="s">
        <v>159</v>
      </c>
      <c r="B99" s="253">
        <v>4.5586000000000002</v>
      </c>
      <c r="C99" s="148">
        <v>1588</v>
      </c>
      <c r="D99" s="216">
        <v>9912.6200000000008</v>
      </c>
      <c r="E99" s="148">
        <v>0</v>
      </c>
      <c r="F99" s="216">
        <v>1064.28</v>
      </c>
      <c r="G99" s="148">
        <v>39333</v>
      </c>
      <c r="H99" s="216">
        <v>195588.46</v>
      </c>
      <c r="I99" s="148">
        <v>5717</v>
      </c>
      <c r="J99" s="216">
        <v>29338.12</v>
      </c>
      <c r="K99" s="215">
        <f t="shared" si="34"/>
        <v>45050</v>
      </c>
      <c r="L99" s="217">
        <f t="shared" si="35"/>
        <v>225990.86</v>
      </c>
      <c r="M99" s="218">
        <f t="shared" si="36"/>
        <v>46638</v>
      </c>
      <c r="N99" s="219">
        <f t="shared" si="37"/>
        <v>235903.47999999998</v>
      </c>
    </row>
    <row r="100" spans="1:14" x14ac:dyDescent="0.25">
      <c r="A100" s="212" t="s">
        <v>160</v>
      </c>
      <c r="B100" s="253">
        <v>4.2196999999999996</v>
      </c>
      <c r="C100" s="148">
        <v>4226</v>
      </c>
      <c r="D100" s="216">
        <v>23462.46</v>
      </c>
      <c r="E100" s="148">
        <v>0</v>
      </c>
      <c r="F100" s="216">
        <v>1064.28</v>
      </c>
      <c r="G100" s="148">
        <v>36567</v>
      </c>
      <c r="H100" s="216">
        <v>169268.61</v>
      </c>
      <c r="I100" s="148">
        <v>9424</v>
      </c>
      <c r="J100" s="216">
        <v>44413.68</v>
      </c>
      <c r="K100" s="215">
        <f t="shared" si="34"/>
        <v>45991</v>
      </c>
      <c r="L100" s="217">
        <f t="shared" si="35"/>
        <v>214746.56999999998</v>
      </c>
      <c r="M100" s="218">
        <f t="shared" si="36"/>
        <v>50217</v>
      </c>
      <c r="N100" s="219">
        <f t="shared" si="37"/>
        <v>238209.02999999997</v>
      </c>
    </row>
    <row r="101" spans="1:14" x14ac:dyDescent="0.25">
      <c r="A101" s="212" t="s">
        <v>161</v>
      </c>
      <c r="B101" s="253">
        <v>5.1121999999999996</v>
      </c>
      <c r="C101" s="148">
        <v>7378</v>
      </c>
      <c r="D101" s="216">
        <v>47024.87</v>
      </c>
      <c r="E101" s="148">
        <v>0</v>
      </c>
      <c r="F101" s="216">
        <v>1064.28</v>
      </c>
      <c r="G101" s="148">
        <v>41114</v>
      </c>
      <c r="H101" s="216">
        <v>227612.45</v>
      </c>
      <c r="I101" s="148">
        <v>8776</v>
      </c>
      <c r="J101" s="216">
        <v>49422.18</v>
      </c>
      <c r="K101" s="215">
        <f t="shared" si="34"/>
        <v>49890</v>
      </c>
      <c r="L101" s="217">
        <f t="shared" si="35"/>
        <v>278098.91000000003</v>
      </c>
      <c r="M101" s="218">
        <f t="shared" si="36"/>
        <v>57268</v>
      </c>
      <c r="N101" s="219">
        <f t="shared" si="37"/>
        <v>325123.78000000003</v>
      </c>
    </row>
    <row r="102" spans="1:14" x14ac:dyDescent="0.25">
      <c r="A102" s="212" t="s">
        <v>162</v>
      </c>
      <c r="B102" s="253">
        <v>3.7625000000000002</v>
      </c>
      <c r="C102" s="148">
        <v>11816</v>
      </c>
      <c r="D102" s="216">
        <v>58516.85</v>
      </c>
      <c r="E102" s="148">
        <v>0</v>
      </c>
      <c r="F102" s="216">
        <v>1064.28</v>
      </c>
      <c r="G102" s="148">
        <v>42373</v>
      </c>
      <c r="H102" s="216">
        <v>176215.19</v>
      </c>
      <c r="I102" s="148">
        <v>15733</v>
      </c>
      <c r="J102" s="216">
        <v>66097.42</v>
      </c>
      <c r="K102" s="215">
        <f t="shared" si="34"/>
        <v>58106</v>
      </c>
      <c r="L102" s="217">
        <f t="shared" si="35"/>
        <v>243376.89</v>
      </c>
      <c r="M102" s="218">
        <f t="shared" si="36"/>
        <v>69922</v>
      </c>
      <c r="N102" s="219">
        <f t="shared" si="37"/>
        <v>301893.74</v>
      </c>
    </row>
    <row r="103" spans="1:14" x14ac:dyDescent="0.25">
      <c r="A103" s="212" t="s">
        <v>163</v>
      </c>
      <c r="B103" s="253">
        <v>3.3702999999999999</v>
      </c>
      <c r="C103" s="148">
        <v>7561</v>
      </c>
      <c r="D103" s="216">
        <v>34735.589999999997</v>
      </c>
      <c r="E103" s="148">
        <v>0</v>
      </c>
      <c r="F103" s="216">
        <v>1064.28</v>
      </c>
      <c r="G103" s="148">
        <v>40979</v>
      </c>
      <c r="H103" s="216">
        <v>154059.62</v>
      </c>
      <c r="I103" s="148">
        <v>8602</v>
      </c>
      <c r="J103" s="216">
        <v>33179.9</v>
      </c>
      <c r="K103" s="215">
        <f t="shared" si="34"/>
        <v>49581</v>
      </c>
      <c r="L103" s="217">
        <f t="shared" si="35"/>
        <v>188303.8</v>
      </c>
      <c r="M103" s="218">
        <f t="shared" si="36"/>
        <v>57142</v>
      </c>
      <c r="N103" s="219">
        <f t="shared" si="37"/>
        <v>223039.38999999998</v>
      </c>
    </row>
    <row r="104" spans="1:14" x14ac:dyDescent="0.25">
      <c r="A104" s="212" t="s">
        <v>164</v>
      </c>
      <c r="B104" s="253">
        <v>3.36</v>
      </c>
      <c r="C104" s="148">
        <v>5680</v>
      </c>
      <c r="D104" s="216">
        <v>26252.6</v>
      </c>
      <c r="E104" s="148">
        <v>0</v>
      </c>
      <c r="F104" s="216">
        <v>1064.28</v>
      </c>
      <c r="G104" s="148">
        <v>35404</v>
      </c>
      <c r="H104" s="216">
        <v>132873.37</v>
      </c>
      <c r="I104" s="148">
        <v>7791</v>
      </c>
      <c r="J104" s="216">
        <v>30070.18</v>
      </c>
      <c r="K104" s="215">
        <f t="shared" si="34"/>
        <v>43195</v>
      </c>
      <c r="L104" s="217">
        <f t="shared" si="35"/>
        <v>164007.82999999999</v>
      </c>
      <c r="M104" s="218">
        <f t="shared" si="36"/>
        <v>48875</v>
      </c>
      <c r="N104" s="219">
        <f t="shared" si="37"/>
        <v>190260.43</v>
      </c>
    </row>
    <row r="105" spans="1:14" x14ac:dyDescent="0.25">
      <c r="A105" s="212" t="s">
        <v>165</v>
      </c>
      <c r="B105" s="253">
        <v>3.0823999999999998</v>
      </c>
      <c r="C105" s="148">
        <v>2879</v>
      </c>
      <c r="D105" s="216">
        <v>12923.65</v>
      </c>
      <c r="E105" s="148">
        <v>0</v>
      </c>
      <c r="F105" s="216">
        <v>1064.28</v>
      </c>
      <c r="G105" s="148">
        <v>38706</v>
      </c>
      <c r="H105" s="216">
        <v>134207.03</v>
      </c>
      <c r="I105" s="148">
        <v>7939</v>
      </c>
      <c r="J105" s="216">
        <v>28373.22</v>
      </c>
      <c r="K105" s="215">
        <f t="shared" si="34"/>
        <v>46645</v>
      </c>
      <c r="L105" s="217">
        <f t="shared" si="35"/>
        <v>163644.53</v>
      </c>
      <c r="M105" s="218">
        <f t="shared" si="36"/>
        <v>49524</v>
      </c>
      <c r="N105" s="219">
        <f t="shared" si="37"/>
        <v>176568.18</v>
      </c>
    </row>
    <row r="106" spans="1:14" x14ac:dyDescent="0.25">
      <c r="A106" s="212" t="s">
        <v>166</v>
      </c>
      <c r="B106" s="253">
        <v>2.9796999999999998</v>
      </c>
      <c r="C106" s="148">
        <v>1695</v>
      </c>
      <c r="D106" s="216">
        <v>7791.71</v>
      </c>
      <c r="E106" s="148">
        <v>0</v>
      </c>
      <c r="F106" s="216">
        <v>1064.28</v>
      </c>
      <c r="G106" s="148">
        <v>38237</v>
      </c>
      <c r="H106" s="216">
        <v>128588.27</v>
      </c>
      <c r="I106" s="226">
        <v>6389</v>
      </c>
      <c r="J106" s="216">
        <v>22372.19</v>
      </c>
      <c r="K106" s="215">
        <f t="shared" si="34"/>
        <v>44626</v>
      </c>
      <c r="L106" s="217">
        <f t="shared" si="35"/>
        <v>152024.74</v>
      </c>
      <c r="M106" s="218">
        <f t="shared" si="36"/>
        <v>46321</v>
      </c>
      <c r="N106" s="219">
        <f t="shared" si="37"/>
        <v>159816.45000000001</v>
      </c>
    </row>
    <row r="107" spans="1:14" x14ac:dyDescent="0.25">
      <c r="A107" s="212" t="s">
        <v>167</v>
      </c>
      <c r="B107" s="253"/>
      <c r="C107" s="148"/>
      <c r="D107" s="216"/>
      <c r="E107" s="148">
        <v>0</v>
      </c>
      <c r="F107" s="216">
        <v>1064.28</v>
      </c>
      <c r="G107" s="148">
        <v>40017</v>
      </c>
      <c r="H107" s="216">
        <v>153968.9</v>
      </c>
      <c r="I107" s="148">
        <v>2616</v>
      </c>
      <c r="J107" s="216">
        <v>11058.41</v>
      </c>
      <c r="K107" s="215">
        <f t="shared" si="34"/>
        <v>42633</v>
      </c>
      <c r="L107" s="217">
        <f t="shared" si="35"/>
        <v>166091.59</v>
      </c>
      <c r="M107" s="218">
        <f t="shared" si="36"/>
        <v>42633</v>
      </c>
      <c r="N107" s="219">
        <f t="shared" si="37"/>
        <v>166091.59</v>
      </c>
    </row>
    <row r="108" spans="1:14" x14ac:dyDescent="0.25">
      <c r="A108" s="228" t="s">
        <v>125</v>
      </c>
      <c r="B108" s="254"/>
      <c r="C108" s="224">
        <f t="shared" ref="C108:N108" si="38">SUM(C96:C107)</f>
        <v>45558</v>
      </c>
      <c r="D108" s="225">
        <f t="shared" si="38"/>
        <v>239420.19</v>
      </c>
      <c r="E108" s="224">
        <f t="shared" si="38"/>
        <v>0</v>
      </c>
      <c r="F108" s="225">
        <f t="shared" si="38"/>
        <v>12771.360000000002</v>
      </c>
      <c r="G108" s="224">
        <f t="shared" si="38"/>
        <v>469063</v>
      </c>
      <c r="H108" s="225">
        <f t="shared" si="38"/>
        <v>2079413.14</v>
      </c>
      <c r="I108" s="224">
        <f t="shared" si="38"/>
        <v>84081</v>
      </c>
      <c r="J108" s="225">
        <f t="shared" si="38"/>
        <v>375123.49</v>
      </c>
      <c r="K108" s="262">
        <f t="shared" si="38"/>
        <v>553144</v>
      </c>
      <c r="L108" s="221">
        <f t="shared" si="38"/>
        <v>2467307.9900000002</v>
      </c>
      <c r="M108" s="222">
        <f t="shared" si="38"/>
        <v>598702</v>
      </c>
      <c r="N108" s="223">
        <f t="shared" si="38"/>
        <v>2706728.18</v>
      </c>
    </row>
    <row r="109" spans="1:14" x14ac:dyDescent="0.25">
      <c r="A109" s="228" t="s">
        <v>126</v>
      </c>
      <c r="B109" s="254">
        <f>AVERAGE(B96:B107)</f>
        <v>4.0790727272727274</v>
      </c>
      <c r="C109" s="224"/>
      <c r="D109" s="225"/>
      <c r="E109" s="224"/>
      <c r="F109" s="225"/>
      <c r="G109" s="224"/>
      <c r="H109" s="225"/>
      <c r="I109" s="224"/>
      <c r="J109" s="225"/>
      <c r="K109" s="224"/>
      <c r="L109" s="225"/>
      <c r="M109" s="224"/>
      <c r="N109" s="225"/>
    </row>
    <row r="110" spans="1:14" x14ac:dyDescent="0.25">
      <c r="A110" s="229"/>
      <c r="B110" s="229"/>
      <c r="C110" s="229"/>
      <c r="D110" s="230"/>
      <c r="E110" s="229"/>
      <c r="F110" s="230"/>
      <c r="G110" s="229"/>
      <c r="H110" s="230"/>
      <c r="I110" s="231"/>
      <c r="J110" s="232" t="s">
        <v>178</v>
      </c>
      <c r="K110" s="233">
        <f>(K108-K130)/K130</f>
        <v>4.3496633571470343E-2</v>
      </c>
      <c r="L110" s="234">
        <f>+L108-L130</f>
        <v>-284563.93000000017</v>
      </c>
      <c r="M110" s="240">
        <f>(M108-M130)/M130</f>
        <v>3.7469739844977895E-2</v>
      </c>
      <c r="N110" s="241">
        <f>+N108-N128</f>
        <v>2440322.04</v>
      </c>
    </row>
    <row r="111" spans="1:14" x14ac:dyDescent="0.25">
      <c r="K111" s="232" t="s">
        <v>184</v>
      </c>
      <c r="L111" s="233">
        <f>(L108-L130)/L130</f>
        <v>-0.10340740349572669</v>
      </c>
    </row>
    <row r="115" spans="1:14" x14ac:dyDescent="0.25">
      <c r="A115" s="176" t="s">
        <v>91</v>
      </c>
      <c r="B115" s="176"/>
      <c r="C115" s="584" t="s">
        <v>169</v>
      </c>
      <c r="D115" s="584"/>
      <c r="E115" s="585" t="s">
        <v>172</v>
      </c>
      <c r="F115" s="585"/>
      <c r="G115" s="585"/>
      <c r="H115" s="585"/>
      <c r="I115" s="585"/>
      <c r="J115" s="585"/>
      <c r="K115" s="585"/>
      <c r="L115" s="585"/>
      <c r="M115" s="218"/>
      <c r="N115" s="218"/>
    </row>
    <row r="116" spans="1:14" x14ac:dyDescent="0.25">
      <c r="A116" s="210" t="s">
        <v>95</v>
      </c>
      <c r="B116" s="252"/>
      <c r="C116" s="214"/>
      <c r="D116" s="214"/>
      <c r="E116" s="586" t="s">
        <v>55</v>
      </c>
      <c r="F116" s="586"/>
      <c r="G116" s="586" t="s">
        <v>59</v>
      </c>
      <c r="H116" s="586"/>
      <c r="I116" s="586" t="s">
        <v>173</v>
      </c>
      <c r="J116" s="586"/>
      <c r="K116" s="587" t="s">
        <v>174</v>
      </c>
      <c r="L116" s="587" t="s">
        <v>175</v>
      </c>
      <c r="M116" s="582" t="s">
        <v>176</v>
      </c>
      <c r="N116" s="582" t="s">
        <v>177</v>
      </c>
    </row>
    <row r="117" spans="1:14" ht="30" x14ac:dyDescent="0.25">
      <c r="A117" s="210"/>
      <c r="B117" s="255" t="s">
        <v>183</v>
      </c>
      <c r="C117" s="249" t="s">
        <v>170</v>
      </c>
      <c r="D117" s="249" t="s">
        <v>171</v>
      </c>
      <c r="E117" s="249" t="s">
        <v>170</v>
      </c>
      <c r="F117" s="249" t="s">
        <v>171</v>
      </c>
      <c r="G117" s="249" t="s">
        <v>170</v>
      </c>
      <c r="H117" s="249" t="s">
        <v>171</v>
      </c>
      <c r="I117" s="249" t="s">
        <v>170</v>
      </c>
      <c r="J117" s="249" t="s">
        <v>171</v>
      </c>
      <c r="K117" s="587"/>
      <c r="L117" s="587"/>
      <c r="M117" s="583"/>
      <c r="N117" s="583"/>
    </row>
    <row r="118" spans="1:14" x14ac:dyDescent="0.25">
      <c r="A118" s="211" t="s">
        <v>156</v>
      </c>
      <c r="B118" s="253">
        <v>4.1722000000000001</v>
      </c>
      <c r="C118" s="279">
        <v>754</v>
      </c>
      <c r="D118" s="216">
        <v>4869.8500000000004</v>
      </c>
      <c r="E118" s="148">
        <v>13354</v>
      </c>
      <c r="F118" s="216">
        <v>61819.74</v>
      </c>
      <c r="G118" s="148">
        <v>20469</v>
      </c>
      <c r="H118" s="216">
        <v>94190.21</v>
      </c>
      <c r="I118" s="148">
        <v>174</v>
      </c>
      <c r="J118" s="216">
        <v>1855.91</v>
      </c>
      <c r="K118" s="215">
        <f t="shared" ref="K118:K129" si="39">+E118+G118+I118</f>
        <v>33997</v>
      </c>
      <c r="L118" s="217">
        <f t="shared" ref="L118:L129" si="40">+F118+H118+J118</f>
        <v>157865.86000000002</v>
      </c>
      <c r="M118" s="218">
        <f t="shared" ref="M118:M129" si="41">+C118+E118+G118+I118</f>
        <v>34751</v>
      </c>
      <c r="N118" s="219">
        <f t="shared" ref="N118:N129" si="42">+D118+F118+H118+J118</f>
        <v>162735.71</v>
      </c>
    </row>
    <row r="119" spans="1:14" x14ac:dyDescent="0.25">
      <c r="A119" s="211" t="s">
        <v>157</v>
      </c>
      <c r="B119" s="253">
        <v>4.07</v>
      </c>
      <c r="C119" s="279">
        <v>840</v>
      </c>
      <c r="D119" s="216">
        <v>5237.74</v>
      </c>
      <c r="E119" s="148">
        <v>0</v>
      </c>
      <c r="F119" s="216">
        <v>1064.28</v>
      </c>
      <c r="G119" s="148">
        <v>40869</v>
      </c>
      <c r="H119" s="216">
        <v>182741.87</v>
      </c>
      <c r="I119" s="148">
        <v>10</v>
      </c>
      <c r="J119" s="216">
        <v>1108.73</v>
      </c>
      <c r="K119" s="215">
        <f t="shared" si="39"/>
        <v>40879</v>
      </c>
      <c r="L119" s="217">
        <f t="shared" si="40"/>
        <v>184914.88</v>
      </c>
      <c r="M119" s="218">
        <f t="shared" si="41"/>
        <v>41719</v>
      </c>
      <c r="N119" s="219">
        <f t="shared" si="42"/>
        <v>190152.62</v>
      </c>
    </row>
    <row r="120" spans="1:14" x14ac:dyDescent="0.25">
      <c r="A120" s="212" t="s">
        <v>158</v>
      </c>
      <c r="B120" s="253">
        <v>4.0086000000000004</v>
      </c>
      <c r="C120" s="279">
        <v>1119</v>
      </c>
      <c r="D120" s="216">
        <v>6616.17</v>
      </c>
      <c r="E120" s="148">
        <v>0</v>
      </c>
      <c r="F120" s="216">
        <v>1064.28</v>
      </c>
      <c r="G120" s="148">
        <v>40572</v>
      </c>
      <c r="H120" s="216">
        <v>178955.14</v>
      </c>
      <c r="I120" s="148">
        <v>99</v>
      </c>
      <c r="J120" s="216">
        <v>1498.35</v>
      </c>
      <c r="K120" s="215">
        <f t="shared" si="39"/>
        <v>40671</v>
      </c>
      <c r="L120" s="217">
        <f t="shared" si="40"/>
        <v>181517.77000000002</v>
      </c>
      <c r="M120" s="218">
        <f t="shared" si="41"/>
        <v>41790</v>
      </c>
      <c r="N120" s="219">
        <f t="shared" si="42"/>
        <v>188133.94000000003</v>
      </c>
    </row>
    <row r="121" spans="1:14" x14ac:dyDescent="0.25">
      <c r="A121" s="212" t="s">
        <v>159</v>
      </c>
      <c r="B121" s="253">
        <v>3.9779</v>
      </c>
      <c r="C121" s="279">
        <v>1926</v>
      </c>
      <c r="D121" s="216">
        <v>10695.11</v>
      </c>
      <c r="E121" s="148">
        <v>0</v>
      </c>
      <c r="F121" s="216">
        <v>1064.28</v>
      </c>
      <c r="G121" s="148">
        <v>39974</v>
      </c>
      <c r="H121" s="216">
        <v>175081.41</v>
      </c>
      <c r="I121" s="148">
        <v>1376</v>
      </c>
      <c r="J121" s="216">
        <v>7054.36</v>
      </c>
      <c r="K121" s="215">
        <f t="shared" si="39"/>
        <v>41350</v>
      </c>
      <c r="L121" s="217">
        <f t="shared" si="40"/>
        <v>183200.05</v>
      </c>
      <c r="M121" s="218">
        <f t="shared" si="41"/>
        <v>43276</v>
      </c>
      <c r="N121" s="219">
        <f t="shared" si="42"/>
        <v>193895.16</v>
      </c>
    </row>
    <row r="122" spans="1:14" x14ac:dyDescent="0.25">
      <c r="A122" s="212" t="s">
        <v>160</v>
      </c>
      <c r="B122" s="253">
        <v>4.1313000000000004</v>
      </c>
      <c r="C122" s="279">
        <v>3858</v>
      </c>
      <c r="D122" s="216">
        <v>21147.82</v>
      </c>
      <c r="E122" s="148">
        <v>0</v>
      </c>
      <c r="F122" s="216">
        <v>1064.28</v>
      </c>
      <c r="G122" s="148">
        <v>37677</v>
      </c>
      <c r="H122" s="216">
        <v>170977.22</v>
      </c>
      <c r="I122" s="148">
        <v>5581</v>
      </c>
      <c r="J122" s="216">
        <v>26233.07</v>
      </c>
      <c r="K122" s="215">
        <f t="shared" si="39"/>
        <v>43258</v>
      </c>
      <c r="L122" s="217">
        <f t="shared" si="40"/>
        <v>198274.57</v>
      </c>
      <c r="M122" s="218">
        <f t="shared" si="41"/>
        <v>47116</v>
      </c>
      <c r="N122" s="219">
        <f t="shared" si="42"/>
        <v>219422.39</v>
      </c>
    </row>
    <row r="123" spans="1:14" x14ac:dyDescent="0.25">
      <c r="A123" s="212" t="s">
        <v>161</v>
      </c>
      <c r="B123" s="253">
        <v>4.2430000000000003</v>
      </c>
      <c r="C123" s="279">
        <v>9303</v>
      </c>
      <c r="D123" s="216">
        <v>50817.55</v>
      </c>
      <c r="E123" s="148">
        <v>0</v>
      </c>
      <c r="F123" s="216">
        <v>1064.28</v>
      </c>
      <c r="G123" s="148">
        <v>34989</v>
      </c>
      <c r="H123" s="216">
        <v>162841.51999999999</v>
      </c>
      <c r="I123" s="148">
        <v>15648</v>
      </c>
      <c r="J123" s="216">
        <v>73415.31</v>
      </c>
      <c r="K123" s="215">
        <f t="shared" si="39"/>
        <v>50637</v>
      </c>
      <c r="L123" s="217">
        <f t="shared" si="40"/>
        <v>237321.11</v>
      </c>
      <c r="M123" s="218">
        <f t="shared" si="41"/>
        <v>59940</v>
      </c>
      <c r="N123" s="219">
        <f t="shared" si="42"/>
        <v>288138.65999999997</v>
      </c>
    </row>
    <row r="124" spans="1:14" x14ac:dyDescent="0.25">
      <c r="A124" s="212" t="s">
        <v>162</v>
      </c>
      <c r="B124" s="253">
        <v>5.0335999999999999</v>
      </c>
      <c r="C124" s="279">
        <v>11561</v>
      </c>
      <c r="D124" s="216">
        <v>72262.009999999995</v>
      </c>
      <c r="E124" s="148">
        <v>0</v>
      </c>
      <c r="F124" s="216">
        <v>1064.28</v>
      </c>
      <c r="G124" s="148">
        <v>46728</v>
      </c>
      <c r="H124" s="216">
        <v>254800.68</v>
      </c>
      <c r="I124" s="148">
        <v>14813</v>
      </c>
      <c r="J124" s="216">
        <v>81499.929999999993</v>
      </c>
      <c r="K124" s="215">
        <f t="shared" si="39"/>
        <v>61541</v>
      </c>
      <c r="L124" s="217">
        <f t="shared" si="40"/>
        <v>337364.89</v>
      </c>
      <c r="M124" s="218">
        <f t="shared" si="41"/>
        <v>73102</v>
      </c>
      <c r="N124" s="219">
        <f t="shared" si="42"/>
        <v>409626.89999999997</v>
      </c>
    </row>
    <row r="125" spans="1:14" x14ac:dyDescent="0.25">
      <c r="A125" s="212" t="s">
        <v>163</v>
      </c>
      <c r="B125" s="253">
        <v>5.5892999999999997</v>
      </c>
      <c r="C125" s="279">
        <v>7733</v>
      </c>
      <c r="D125" s="216">
        <v>53008.54</v>
      </c>
      <c r="E125" s="148">
        <v>0</v>
      </c>
      <c r="F125" s="216">
        <v>1064.28</v>
      </c>
      <c r="G125" s="148">
        <v>38044</v>
      </c>
      <c r="H125" s="216">
        <v>229209.81</v>
      </c>
      <c r="I125" s="148">
        <v>10752</v>
      </c>
      <c r="J125" s="216">
        <v>65542.789999999994</v>
      </c>
      <c r="K125" s="215">
        <f t="shared" si="39"/>
        <v>48796</v>
      </c>
      <c r="L125" s="217">
        <f t="shared" si="40"/>
        <v>295816.88</v>
      </c>
      <c r="M125" s="218">
        <f t="shared" si="41"/>
        <v>56529</v>
      </c>
      <c r="N125" s="219">
        <f t="shared" si="42"/>
        <v>348825.42</v>
      </c>
    </row>
    <row r="126" spans="1:14" x14ac:dyDescent="0.25">
      <c r="A126" s="212" t="s">
        <v>164</v>
      </c>
      <c r="B126" s="253">
        <v>5.8773999999999997</v>
      </c>
      <c r="C126" s="279">
        <v>4594</v>
      </c>
      <c r="D126" s="216">
        <v>33197.03</v>
      </c>
      <c r="E126" s="148">
        <v>0</v>
      </c>
      <c r="F126" s="216">
        <v>1064.28</v>
      </c>
      <c r="G126" s="148">
        <v>40391</v>
      </c>
      <c r="H126" s="216">
        <v>255153.88</v>
      </c>
      <c r="I126" s="148">
        <v>6510</v>
      </c>
      <c r="J126" s="216">
        <v>42017.05</v>
      </c>
      <c r="K126" s="215">
        <f t="shared" si="39"/>
        <v>46901</v>
      </c>
      <c r="L126" s="217">
        <f t="shared" si="40"/>
        <v>298235.21000000002</v>
      </c>
      <c r="M126" s="218">
        <f t="shared" si="41"/>
        <v>51495</v>
      </c>
      <c r="N126" s="219">
        <f t="shared" si="42"/>
        <v>331432.24</v>
      </c>
    </row>
    <row r="127" spans="1:14" x14ac:dyDescent="0.25">
      <c r="A127" s="212" t="s">
        <v>165</v>
      </c>
      <c r="B127" s="253">
        <v>4.9924999999999997</v>
      </c>
      <c r="C127" s="279">
        <v>2777</v>
      </c>
      <c r="D127" s="216">
        <v>17907.27</v>
      </c>
      <c r="E127" s="148">
        <v>0</v>
      </c>
      <c r="F127" s="216">
        <v>1064.28</v>
      </c>
      <c r="G127" s="148">
        <v>8654</v>
      </c>
      <c r="H127" s="216">
        <v>47693.33</v>
      </c>
      <c r="I127" s="148">
        <v>24756</v>
      </c>
      <c r="J127" s="216">
        <v>134453.32</v>
      </c>
      <c r="K127" s="215">
        <f t="shared" si="39"/>
        <v>33410</v>
      </c>
      <c r="L127" s="217">
        <f t="shared" si="40"/>
        <v>183210.93</v>
      </c>
      <c r="M127" s="218">
        <f t="shared" si="41"/>
        <v>36187</v>
      </c>
      <c r="N127" s="219">
        <f t="shared" si="42"/>
        <v>201118.2</v>
      </c>
    </row>
    <row r="128" spans="1:14" x14ac:dyDescent="0.25">
      <c r="A128" s="212" t="s">
        <v>166</v>
      </c>
      <c r="B128" s="253">
        <v>5.2344999999999997</v>
      </c>
      <c r="C128" s="279">
        <v>1604</v>
      </c>
      <c r="D128" s="216">
        <v>11109.49</v>
      </c>
      <c r="E128" s="148">
        <v>0</v>
      </c>
      <c r="F128" s="216">
        <v>1064.28</v>
      </c>
      <c r="G128" s="148">
        <v>36941</v>
      </c>
      <c r="H128" s="216">
        <v>209226.44</v>
      </c>
      <c r="I128" s="226">
        <v>7798</v>
      </c>
      <c r="J128" s="216">
        <v>45005.93</v>
      </c>
      <c r="K128" s="215">
        <f t="shared" si="39"/>
        <v>44739</v>
      </c>
      <c r="L128" s="217">
        <f t="shared" si="40"/>
        <v>255296.65</v>
      </c>
      <c r="M128" s="218">
        <f t="shared" si="41"/>
        <v>46343</v>
      </c>
      <c r="N128" s="219">
        <f t="shared" si="42"/>
        <v>266406.14</v>
      </c>
    </row>
    <row r="129" spans="1:14" x14ac:dyDescent="0.25">
      <c r="A129" s="212" t="s">
        <v>167</v>
      </c>
      <c r="B129" s="253">
        <v>4.9718999999999998</v>
      </c>
      <c r="C129" s="279">
        <v>923</v>
      </c>
      <c r="D129" s="216">
        <v>6517.76</v>
      </c>
      <c r="E129" s="148">
        <v>0</v>
      </c>
      <c r="F129" s="216">
        <v>1064.28</v>
      </c>
      <c r="G129" s="148">
        <v>40811</v>
      </c>
      <c r="H129" s="216">
        <v>220102.54</v>
      </c>
      <c r="I129" s="148">
        <v>3097</v>
      </c>
      <c r="J129" s="216">
        <v>17686.3</v>
      </c>
      <c r="K129" s="215">
        <f t="shared" si="39"/>
        <v>43908</v>
      </c>
      <c r="L129" s="217">
        <f t="shared" si="40"/>
        <v>238853.12</v>
      </c>
      <c r="M129" s="218">
        <f t="shared" si="41"/>
        <v>44831</v>
      </c>
      <c r="N129" s="219">
        <f t="shared" si="42"/>
        <v>245370.88</v>
      </c>
    </row>
    <row r="130" spans="1:14" x14ac:dyDescent="0.25">
      <c r="A130" s="228" t="s">
        <v>125</v>
      </c>
      <c r="B130" s="254"/>
      <c r="C130" s="224">
        <f>SUM(C118:C129)</f>
        <v>46992</v>
      </c>
      <c r="D130" s="225">
        <f t="shared" ref="D130:N130" si="43">SUM(D118:D129)</f>
        <v>293386.34000000003</v>
      </c>
      <c r="E130" s="224">
        <f t="shared" si="43"/>
        <v>13354</v>
      </c>
      <c r="F130" s="225">
        <f t="shared" si="43"/>
        <v>73526.819999999992</v>
      </c>
      <c r="G130" s="224">
        <f t="shared" si="43"/>
        <v>426119</v>
      </c>
      <c r="H130" s="225">
        <f t="shared" si="43"/>
        <v>2180974.0500000003</v>
      </c>
      <c r="I130" s="224">
        <f t="shared" si="43"/>
        <v>90614</v>
      </c>
      <c r="J130" s="225">
        <f t="shared" si="43"/>
        <v>497371.04999999993</v>
      </c>
      <c r="K130" s="262">
        <f t="shared" si="43"/>
        <v>530087</v>
      </c>
      <c r="L130" s="221">
        <f t="shared" si="43"/>
        <v>2751871.9200000004</v>
      </c>
      <c r="M130" s="222">
        <f t="shared" si="43"/>
        <v>577079</v>
      </c>
      <c r="N130" s="223">
        <f t="shared" si="43"/>
        <v>3045258.2600000002</v>
      </c>
    </row>
    <row r="131" spans="1:14" x14ac:dyDescent="0.25">
      <c r="A131" s="228" t="s">
        <v>126</v>
      </c>
      <c r="B131" s="254">
        <f>AVERAGE(B118:B129)</f>
        <v>4.6918499999999996</v>
      </c>
      <c r="C131" s="224"/>
      <c r="D131" s="225"/>
      <c r="E131" s="224"/>
      <c r="F131" s="225"/>
      <c r="G131" s="224"/>
      <c r="H131" s="225"/>
      <c r="I131" s="224"/>
      <c r="J131" s="225"/>
      <c r="K131" s="224"/>
      <c r="L131" s="225"/>
      <c r="M131" s="224"/>
      <c r="N131" s="225"/>
    </row>
    <row r="132" spans="1:14" x14ac:dyDescent="0.25">
      <c r="A132" s="229"/>
      <c r="B132" s="229"/>
      <c r="C132" s="229"/>
      <c r="D132" s="230"/>
      <c r="E132" s="229"/>
      <c r="F132" s="230"/>
      <c r="G132" s="229"/>
      <c r="H132" s="230"/>
      <c r="I132" s="231"/>
      <c r="J132" s="232" t="s">
        <v>178</v>
      </c>
      <c r="K132" s="233">
        <f>(K130-K150)/K150</f>
        <v>-3.4083951661102931E-2</v>
      </c>
      <c r="L132" s="234">
        <f>+L130-L150</f>
        <v>249753.52000000048</v>
      </c>
      <c r="M132" s="240">
        <f>(M130-M150)/M150</f>
        <v>-3.9133706970904888E-2</v>
      </c>
      <c r="N132" s="241">
        <f>+N130-N150</f>
        <v>266614.72000000067</v>
      </c>
    </row>
    <row r="133" spans="1:14" x14ac:dyDescent="0.25">
      <c r="K133" s="232" t="s">
        <v>184</v>
      </c>
      <c r="L133" s="233">
        <f>(L130-L150)/L150</f>
        <v>9.9816827213292741E-2</v>
      </c>
    </row>
    <row r="135" spans="1:14" x14ac:dyDescent="0.25">
      <c r="A135" s="176" t="s">
        <v>85</v>
      </c>
      <c r="B135" s="176"/>
      <c r="C135" s="584" t="s">
        <v>169</v>
      </c>
      <c r="D135" s="584"/>
      <c r="E135" s="585" t="s">
        <v>172</v>
      </c>
      <c r="F135" s="585"/>
      <c r="G135" s="585"/>
      <c r="H135" s="585"/>
      <c r="I135" s="585"/>
      <c r="J135" s="585"/>
      <c r="K135" s="585"/>
      <c r="L135" s="585"/>
      <c r="M135" s="218"/>
      <c r="N135" s="218"/>
    </row>
    <row r="136" spans="1:14" x14ac:dyDescent="0.25">
      <c r="A136" s="210" t="s">
        <v>95</v>
      </c>
      <c r="B136" s="252"/>
      <c r="C136" s="214"/>
      <c r="D136" s="214"/>
      <c r="E136" s="586" t="s">
        <v>55</v>
      </c>
      <c r="F136" s="586"/>
      <c r="G136" s="586" t="s">
        <v>59</v>
      </c>
      <c r="H136" s="586"/>
      <c r="I136" s="586" t="s">
        <v>173</v>
      </c>
      <c r="J136" s="586"/>
      <c r="K136" s="587" t="s">
        <v>174</v>
      </c>
      <c r="L136" s="587" t="s">
        <v>175</v>
      </c>
      <c r="M136" s="582" t="s">
        <v>176</v>
      </c>
      <c r="N136" s="582" t="s">
        <v>177</v>
      </c>
    </row>
    <row r="137" spans="1:14" ht="30" x14ac:dyDescent="0.25">
      <c r="A137" s="210"/>
      <c r="B137" s="255" t="s">
        <v>183</v>
      </c>
      <c r="C137" s="249" t="s">
        <v>170</v>
      </c>
      <c r="D137" s="249" t="s">
        <v>171</v>
      </c>
      <c r="E137" s="249" t="s">
        <v>170</v>
      </c>
      <c r="F137" s="249" t="s">
        <v>171</v>
      </c>
      <c r="G137" s="249" t="s">
        <v>170</v>
      </c>
      <c r="H137" s="249" t="s">
        <v>171</v>
      </c>
      <c r="I137" s="249" t="s">
        <v>170</v>
      </c>
      <c r="J137" s="249" t="s">
        <v>171</v>
      </c>
      <c r="K137" s="587"/>
      <c r="L137" s="587"/>
      <c r="M137" s="583"/>
      <c r="N137" s="583"/>
    </row>
    <row r="138" spans="1:14" x14ac:dyDescent="0.25">
      <c r="A138" s="211" t="s">
        <v>156</v>
      </c>
      <c r="B138" s="253">
        <v>4.7849000000000004</v>
      </c>
      <c r="C138" s="148">
        <v>796</v>
      </c>
      <c r="D138" s="216">
        <v>5548.37</v>
      </c>
      <c r="E138" s="148">
        <v>38921</v>
      </c>
      <c r="F138" s="216">
        <v>202287.7</v>
      </c>
      <c r="G138" s="148">
        <v>0</v>
      </c>
      <c r="H138" s="216">
        <v>1043.4100000000001</v>
      </c>
      <c r="I138" s="148">
        <v>627</v>
      </c>
      <c r="J138" s="216">
        <v>4285.3599999999997</v>
      </c>
      <c r="K138" s="215">
        <f t="shared" ref="K138:K149" si="44">+E138+G138+I138</f>
        <v>39548</v>
      </c>
      <c r="L138" s="217">
        <f t="shared" ref="L138:L149" si="45">+F138+H138+J138</f>
        <v>207616.47</v>
      </c>
      <c r="M138" s="218">
        <f t="shared" ref="M138:M149" si="46">+C138+E138+G138+I138</f>
        <v>40344</v>
      </c>
      <c r="N138" s="219">
        <f t="shared" ref="N138:N149" si="47">+D138+F138+H138+J138</f>
        <v>213164.84</v>
      </c>
    </row>
    <row r="139" spans="1:14" x14ac:dyDescent="0.25">
      <c r="A139" s="211" t="s">
        <v>157</v>
      </c>
      <c r="B139" s="253">
        <v>4.6852999999999998</v>
      </c>
      <c r="C139" s="148">
        <v>840</v>
      </c>
      <c r="D139" s="216">
        <v>5237.74</v>
      </c>
      <c r="E139" s="148">
        <v>38113</v>
      </c>
      <c r="F139" s="216">
        <v>194237.91</v>
      </c>
      <c r="G139" s="148">
        <v>0</v>
      </c>
      <c r="H139" s="216">
        <v>1043.4100000000001</v>
      </c>
      <c r="I139" s="148">
        <v>6027</v>
      </c>
      <c r="J139" s="216">
        <v>31594.23</v>
      </c>
      <c r="K139" s="215">
        <f t="shared" si="44"/>
        <v>44140</v>
      </c>
      <c r="L139" s="217">
        <f t="shared" si="45"/>
        <v>226875.55000000002</v>
      </c>
      <c r="M139" s="218">
        <f t="shared" si="46"/>
        <v>44980</v>
      </c>
      <c r="N139" s="219">
        <f t="shared" si="47"/>
        <v>232113.29</v>
      </c>
    </row>
    <row r="140" spans="1:14" x14ac:dyDescent="0.25">
      <c r="A140" s="212" t="s">
        <v>158</v>
      </c>
      <c r="B140" s="253">
        <v>3.1583999999999999</v>
      </c>
      <c r="C140" s="148">
        <v>1104</v>
      </c>
      <c r="D140" s="216">
        <v>5531.1</v>
      </c>
      <c r="E140" s="148">
        <v>35493</v>
      </c>
      <c r="F140" s="216">
        <v>125678.99</v>
      </c>
      <c r="G140" s="148">
        <v>0</v>
      </c>
      <c r="H140" s="216">
        <v>1043.4100000000001</v>
      </c>
      <c r="I140" s="148">
        <v>6012</v>
      </c>
      <c r="J140" s="216">
        <v>22154.87</v>
      </c>
      <c r="K140" s="215">
        <f t="shared" si="44"/>
        <v>41505</v>
      </c>
      <c r="L140" s="217">
        <f t="shared" si="45"/>
        <v>148877.27000000002</v>
      </c>
      <c r="M140" s="218">
        <f t="shared" si="46"/>
        <v>42609</v>
      </c>
      <c r="N140" s="219">
        <f t="shared" si="47"/>
        <v>154408.37</v>
      </c>
    </row>
    <row r="141" spans="1:14" x14ac:dyDescent="0.25">
      <c r="A141" s="212" t="s">
        <v>159</v>
      </c>
      <c r="B141" s="253">
        <v>3.4449999999999998</v>
      </c>
      <c r="C141" s="148">
        <v>1592</v>
      </c>
      <c r="D141" s="216">
        <v>8127.08</v>
      </c>
      <c r="E141" s="148">
        <v>41381</v>
      </c>
      <c r="F141" s="216">
        <v>158713.48000000001</v>
      </c>
      <c r="G141" s="148">
        <v>0</v>
      </c>
      <c r="H141" s="216">
        <v>1064.28</v>
      </c>
      <c r="I141" s="148">
        <v>7798</v>
      </c>
      <c r="J141" s="216">
        <v>30772.32</v>
      </c>
      <c r="K141" s="215">
        <f t="shared" si="44"/>
        <v>49179</v>
      </c>
      <c r="L141" s="217">
        <f t="shared" si="45"/>
        <v>190550.08000000002</v>
      </c>
      <c r="M141" s="218">
        <f t="shared" si="46"/>
        <v>50771</v>
      </c>
      <c r="N141" s="219">
        <f t="shared" si="47"/>
        <v>198677.16</v>
      </c>
    </row>
    <row r="142" spans="1:14" x14ac:dyDescent="0.25">
      <c r="A142" s="212" t="s">
        <v>160</v>
      </c>
      <c r="B142" s="253">
        <v>4.008</v>
      </c>
      <c r="C142" s="148">
        <v>5671</v>
      </c>
      <c r="D142" s="216">
        <v>29960.7</v>
      </c>
      <c r="E142" s="148">
        <v>42881</v>
      </c>
      <c r="F142" s="216">
        <v>189052.87</v>
      </c>
      <c r="G142" s="148">
        <v>0</v>
      </c>
      <c r="H142" s="216">
        <v>1064.28</v>
      </c>
      <c r="I142" s="148">
        <v>8209</v>
      </c>
      <c r="J142" s="216">
        <v>37052.199999999997</v>
      </c>
      <c r="K142" s="215">
        <f t="shared" si="44"/>
        <v>51090</v>
      </c>
      <c r="L142" s="217">
        <f t="shared" si="45"/>
        <v>227169.34999999998</v>
      </c>
      <c r="M142" s="218">
        <f t="shared" si="46"/>
        <v>56761</v>
      </c>
      <c r="N142" s="219">
        <f t="shared" si="47"/>
        <v>257130.05</v>
      </c>
    </row>
    <row r="143" spans="1:14" x14ac:dyDescent="0.25">
      <c r="A143" s="212" t="s">
        <v>161</v>
      </c>
      <c r="B143" s="253">
        <v>4.2638999999999996</v>
      </c>
      <c r="C143" s="148">
        <v>8600</v>
      </c>
      <c r="D143" s="216">
        <v>47227</v>
      </c>
      <c r="E143" s="148">
        <v>33152</v>
      </c>
      <c r="F143" s="216">
        <v>155054.59</v>
      </c>
      <c r="G143" s="148">
        <v>0</v>
      </c>
      <c r="H143" s="216">
        <v>1064.28</v>
      </c>
      <c r="I143" s="148">
        <v>13274</v>
      </c>
      <c r="J143" s="216">
        <v>62721.72</v>
      </c>
      <c r="K143" s="215">
        <f t="shared" si="44"/>
        <v>46426</v>
      </c>
      <c r="L143" s="217">
        <f t="shared" si="45"/>
        <v>218840.59</v>
      </c>
      <c r="M143" s="218">
        <f t="shared" si="46"/>
        <v>55026</v>
      </c>
      <c r="N143" s="219">
        <f t="shared" si="47"/>
        <v>266067.58999999997</v>
      </c>
    </row>
    <row r="144" spans="1:14" x14ac:dyDescent="0.25">
      <c r="A144" s="212" t="s">
        <v>162</v>
      </c>
      <c r="B144" s="253">
        <v>3.8858999999999999</v>
      </c>
      <c r="C144" s="148">
        <v>12362</v>
      </c>
      <c r="D144" s="216">
        <v>62736.3</v>
      </c>
      <c r="E144" s="148">
        <v>38153</v>
      </c>
      <c r="F144" s="216">
        <v>163573.85</v>
      </c>
      <c r="G144" s="148">
        <v>0</v>
      </c>
      <c r="H144" s="216">
        <v>1064.28</v>
      </c>
      <c r="I144" s="148">
        <v>16524</v>
      </c>
      <c r="J144" s="216">
        <v>71446.899999999994</v>
      </c>
      <c r="K144" s="215">
        <f t="shared" si="44"/>
        <v>54677</v>
      </c>
      <c r="L144" s="217">
        <f t="shared" si="45"/>
        <v>236085.03</v>
      </c>
      <c r="M144" s="218">
        <f t="shared" si="46"/>
        <v>67039</v>
      </c>
      <c r="N144" s="219">
        <f t="shared" si="47"/>
        <v>298821.33</v>
      </c>
    </row>
    <row r="145" spans="1:14" x14ac:dyDescent="0.25">
      <c r="A145" s="212" t="s">
        <v>163</v>
      </c>
      <c r="B145" s="253">
        <v>3.8858999999999999</v>
      </c>
      <c r="C145" s="148">
        <v>9370</v>
      </c>
      <c r="D145" s="216">
        <v>47764.28</v>
      </c>
      <c r="E145" s="148">
        <v>40226</v>
      </c>
      <c r="F145" s="216">
        <v>172403.62</v>
      </c>
      <c r="G145" s="148">
        <v>0</v>
      </c>
      <c r="H145" s="216">
        <v>1064.28</v>
      </c>
      <c r="I145" s="148">
        <v>12654</v>
      </c>
      <c r="J145" s="216">
        <v>54962.95</v>
      </c>
      <c r="K145" s="215">
        <f t="shared" si="44"/>
        <v>52880</v>
      </c>
      <c r="L145" s="217">
        <f t="shared" si="45"/>
        <v>228430.84999999998</v>
      </c>
      <c r="M145" s="218">
        <f t="shared" si="46"/>
        <v>62250</v>
      </c>
      <c r="N145" s="219">
        <f t="shared" si="47"/>
        <v>276195.13</v>
      </c>
    </row>
    <row r="146" spans="1:14" x14ac:dyDescent="0.25">
      <c r="A146" s="212" t="s">
        <v>164</v>
      </c>
      <c r="B146" s="253">
        <v>3.8858999999999999</v>
      </c>
      <c r="C146" s="148">
        <v>5834</v>
      </c>
      <c r="D146" s="216">
        <v>30070.07</v>
      </c>
      <c r="E146" s="148">
        <v>36857</v>
      </c>
      <c r="F146" s="216">
        <v>158053.65</v>
      </c>
      <c r="G146" s="148">
        <v>0</v>
      </c>
      <c r="H146" s="216">
        <v>1064.28</v>
      </c>
      <c r="I146" s="148">
        <v>7898</v>
      </c>
      <c r="J146" s="216">
        <v>34705.17</v>
      </c>
      <c r="K146" s="215">
        <f t="shared" si="44"/>
        <v>44755</v>
      </c>
      <c r="L146" s="217">
        <f t="shared" si="45"/>
        <v>193823.09999999998</v>
      </c>
      <c r="M146" s="218">
        <f t="shared" si="46"/>
        <v>50589</v>
      </c>
      <c r="N146" s="219">
        <f t="shared" si="47"/>
        <v>223893.16999999998</v>
      </c>
    </row>
    <row r="147" spans="1:14" x14ac:dyDescent="0.25">
      <c r="A147" s="212" t="s">
        <v>165</v>
      </c>
      <c r="B147" s="253">
        <v>4.4278000000000004</v>
      </c>
      <c r="C147" s="148">
        <v>2988</v>
      </c>
      <c r="D147" s="216">
        <v>17480.22</v>
      </c>
      <c r="E147" s="148">
        <v>37694</v>
      </c>
      <c r="F147" s="216">
        <v>182453.68</v>
      </c>
      <c r="G147" s="148">
        <v>0</v>
      </c>
      <c r="H147" s="216">
        <v>1064.28</v>
      </c>
      <c r="I147" s="148">
        <v>4021</v>
      </c>
      <c r="J147" s="216">
        <v>20413.95</v>
      </c>
      <c r="K147" s="215">
        <f t="shared" si="44"/>
        <v>41715</v>
      </c>
      <c r="L147" s="217">
        <f t="shared" si="45"/>
        <v>203931.91</v>
      </c>
      <c r="M147" s="218">
        <f t="shared" si="46"/>
        <v>44703</v>
      </c>
      <c r="N147" s="219">
        <f t="shared" si="47"/>
        <v>221412.13</v>
      </c>
    </row>
    <row r="148" spans="1:14" x14ac:dyDescent="0.25">
      <c r="A148" s="212" t="s">
        <v>166</v>
      </c>
      <c r="B148" s="253">
        <v>4.5914000000000001</v>
      </c>
      <c r="C148" s="148">
        <v>1738</v>
      </c>
      <c r="D148" s="216">
        <v>10824.29</v>
      </c>
      <c r="E148" s="148">
        <v>39830</v>
      </c>
      <c r="F148" s="216">
        <v>199378.96</v>
      </c>
      <c r="G148" s="148">
        <v>0</v>
      </c>
      <c r="H148" s="216">
        <v>1064.28</v>
      </c>
      <c r="I148" s="148">
        <v>693</v>
      </c>
      <c r="J148" s="216">
        <v>4514.75</v>
      </c>
      <c r="K148" s="215">
        <f t="shared" si="44"/>
        <v>40523</v>
      </c>
      <c r="L148" s="217">
        <f t="shared" si="45"/>
        <v>204957.99</v>
      </c>
      <c r="M148" s="218">
        <f t="shared" si="46"/>
        <v>42261</v>
      </c>
      <c r="N148" s="219">
        <f t="shared" si="47"/>
        <v>215782.28</v>
      </c>
    </row>
    <row r="149" spans="1:14" x14ac:dyDescent="0.25">
      <c r="A149" s="212" t="s">
        <v>167</v>
      </c>
      <c r="B149" s="253">
        <v>4.6119000000000003</v>
      </c>
      <c r="C149" s="148">
        <v>895</v>
      </c>
      <c r="D149" s="216">
        <v>6017.99</v>
      </c>
      <c r="E149" s="148">
        <v>42326</v>
      </c>
      <c r="F149" s="216">
        <v>212691.66</v>
      </c>
      <c r="G149" s="148">
        <v>0</v>
      </c>
      <c r="H149" s="216">
        <v>1064.28</v>
      </c>
      <c r="I149" s="148">
        <v>28</v>
      </c>
      <c r="J149" s="216">
        <v>1204.27</v>
      </c>
      <c r="K149" s="215">
        <f t="shared" si="44"/>
        <v>42354</v>
      </c>
      <c r="L149" s="217">
        <f t="shared" si="45"/>
        <v>214960.21</v>
      </c>
      <c r="M149" s="218">
        <f t="shared" si="46"/>
        <v>43249</v>
      </c>
      <c r="N149" s="219">
        <f t="shared" si="47"/>
        <v>220978.19999999998</v>
      </c>
    </row>
    <row r="150" spans="1:14" x14ac:dyDescent="0.25">
      <c r="A150" s="228" t="s">
        <v>125</v>
      </c>
      <c r="B150" s="254"/>
      <c r="C150" s="224">
        <f t="shared" ref="C150:N150" si="48">SUM(C138:C149)</f>
        <v>51790</v>
      </c>
      <c r="D150" s="225">
        <f t="shared" si="48"/>
        <v>276525.14</v>
      </c>
      <c r="E150" s="224">
        <f t="shared" si="48"/>
        <v>465027</v>
      </c>
      <c r="F150" s="225">
        <f t="shared" si="48"/>
        <v>2113580.9599999995</v>
      </c>
      <c r="G150" s="224">
        <f t="shared" si="48"/>
        <v>0</v>
      </c>
      <c r="H150" s="225">
        <f t="shared" si="48"/>
        <v>12708.750000000002</v>
      </c>
      <c r="I150" s="224">
        <f t="shared" si="48"/>
        <v>83765</v>
      </c>
      <c r="J150" s="225">
        <f t="shared" si="48"/>
        <v>375828.69</v>
      </c>
      <c r="K150" s="262">
        <f t="shared" si="48"/>
        <v>548792</v>
      </c>
      <c r="L150" s="221">
        <f t="shared" si="48"/>
        <v>2502118.3999999999</v>
      </c>
      <c r="M150" s="222">
        <f t="shared" si="48"/>
        <v>600582</v>
      </c>
      <c r="N150" s="223">
        <f t="shared" si="48"/>
        <v>2778643.5399999996</v>
      </c>
    </row>
    <row r="151" spans="1:14" x14ac:dyDescent="0.25">
      <c r="A151" s="228" t="s">
        <v>126</v>
      </c>
      <c r="B151" s="254">
        <f>AVERAGE(B138:B149)</f>
        <v>4.136191666666666</v>
      </c>
      <c r="C151" s="224"/>
      <c r="D151" s="225"/>
      <c r="E151" s="224"/>
      <c r="F151" s="225"/>
      <c r="G151" s="224"/>
      <c r="H151" s="225"/>
      <c r="I151" s="224"/>
      <c r="J151" s="225"/>
      <c r="K151" s="224"/>
      <c r="L151" s="225"/>
      <c r="M151" s="224"/>
      <c r="N151" s="225"/>
    </row>
    <row r="152" spans="1:14" x14ac:dyDescent="0.25">
      <c r="I152" s="231"/>
      <c r="J152" s="232" t="s">
        <v>178</v>
      </c>
      <c r="K152" s="233">
        <f>(K150-K170)/K170</f>
        <v>-7.1040693344166836E-2</v>
      </c>
      <c r="L152" s="234">
        <f>+L170-L150</f>
        <v>531396.73999999976</v>
      </c>
      <c r="M152" s="240">
        <f>(M150-M170)/M170</f>
        <v>-6.3397974221619219E-2</v>
      </c>
      <c r="N152" s="241">
        <f>+N150-N170</f>
        <v>-555897.28000000119</v>
      </c>
    </row>
    <row r="155" spans="1:14" x14ac:dyDescent="0.25">
      <c r="A155" s="176" t="s">
        <v>48</v>
      </c>
      <c r="B155" s="176"/>
      <c r="C155" s="584" t="s">
        <v>169</v>
      </c>
      <c r="D155" s="584"/>
      <c r="E155" s="585" t="s">
        <v>172</v>
      </c>
      <c r="F155" s="585"/>
      <c r="G155" s="585"/>
      <c r="H155" s="585"/>
      <c r="I155" s="585"/>
      <c r="J155" s="585"/>
      <c r="K155" s="585"/>
      <c r="L155" s="585"/>
      <c r="M155" s="218"/>
      <c r="N155" s="218"/>
    </row>
    <row r="156" spans="1:14" x14ac:dyDescent="0.25">
      <c r="A156" s="210" t="s">
        <v>95</v>
      </c>
      <c r="B156" s="210"/>
      <c r="C156" s="214"/>
      <c r="D156" s="214"/>
      <c r="E156" s="586" t="s">
        <v>55</v>
      </c>
      <c r="F156" s="586"/>
      <c r="G156" s="586" t="s">
        <v>59</v>
      </c>
      <c r="H156" s="586"/>
      <c r="I156" s="586" t="s">
        <v>173</v>
      </c>
      <c r="J156" s="586"/>
      <c r="K156" s="587" t="s">
        <v>174</v>
      </c>
      <c r="L156" s="587" t="s">
        <v>175</v>
      </c>
      <c r="M156" s="582" t="s">
        <v>176</v>
      </c>
      <c r="N156" s="582" t="s">
        <v>177</v>
      </c>
    </row>
    <row r="157" spans="1:14" x14ac:dyDescent="0.25">
      <c r="A157" s="210"/>
      <c r="B157" s="210"/>
      <c r="C157" s="249" t="s">
        <v>170</v>
      </c>
      <c r="D157" s="249" t="s">
        <v>171</v>
      </c>
      <c r="E157" s="249" t="s">
        <v>170</v>
      </c>
      <c r="F157" s="249" t="s">
        <v>171</v>
      </c>
      <c r="G157" s="249" t="s">
        <v>170</v>
      </c>
      <c r="H157" s="249" t="s">
        <v>171</v>
      </c>
      <c r="I157" s="249" t="s">
        <v>170</v>
      </c>
      <c r="J157" s="249" t="s">
        <v>171</v>
      </c>
      <c r="K157" s="587"/>
      <c r="L157" s="587"/>
      <c r="M157" s="583"/>
      <c r="N157" s="583"/>
    </row>
    <row r="158" spans="1:14" x14ac:dyDescent="0.25">
      <c r="A158" s="211" t="s">
        <v>189</v>
      </c>
      <c r="B158" s="257">
        <v>5.5701000000000001</v>
      </c>
      <c r="C158" s="148">
        <v>741</v>
      </c>
      <c r="D158" s="216">
        <v>5817.85</v>
      </c>
      <c r="E158" s="148">
        <v>39195</v>
      </c>
      <c r="F158" s="216">
        <v>235095.88</v>
      </c>
      <c r="G158" s="148">
        <v>0</v>
      </c>
      <c r="H158" s="216">
        <v>1043.4100000000001</v>
      </c>
      <c r="I158" s="148">
        <v>2126</v>
      </c>
      <c r="J158" s="216">
        <v>13738.79</v>
      </c>
      <c r="K158" s="215">
        <f t="shared" ref="K158:K169" si="49">+E158+G158+I158</f>
        <v>41321</v>
      </c>
      <c r="L158" s="217">
        <f t="shared" ref="L158:L169" si="50">+F158+H158+J158</f>
        <v>249878.08000000002</v>
      </c>
      <c r="M158" s="218">
        <f t="shared" ref="M158:M169" si="51">+C158+E158+G158+I158</f>
        <v>42062</v>
      </c>
      <c r="N158" s="219">
        <f t="shared" ref="N158:N169" si="52">+D158+F158+H158+J158</f>
        <v>255695.93000000002</v>
      </c>
    </row>
    <row r="159" spans="1:14" x14ac:dyDescent="0.25">
      <c r="A159" s="211" t="s">
        <v>157</v>
      </c>
      <c r="B159" s="257">
        <v>4.4535999999999998</v>
      </c>
      <c r="C159" s="148">
        <v>863</v>
      </c>
      <c r="D159" s="216">
        <f>1740.7+34.81+80.79+4039.42</f>
        <v>5895.72</v>
      </c>
      <c r="E159" s="148">
        <v>41832</v>
      </c>
      <c r="F159" s="216">
        <v>203203.17</v>
      </c>
      <c r="G159" s="148">
        <v>0</v>
      </c>
      <c r="H159" s="216">
        <v>1043.4100000000001</v>
      </c>
      <c r="I159" s="148">
        <v>4356</v>
      </c>
      <c r="J159" s="216">
        <v>22094.47</v>
      </c>
      <c r="K159" s="215">
        <f t="shared" si="49"/>
        <v>46188</v>
      </c>
      <c r="L159" s="217">
        <f t="shared" si="50"/>
        <v>226341.05000000002</v>
      </c>
      <c r="M159" s="218">
        <f t="shared" si="51"/>
        <v>47051</v>
      </c>
      <c r="N159" s="219">
        <f t="shared" si="52"/>
        <v>232236.77000000002</v>
      </c>
    </row>
    <row r="160" spans="1:14" x14ac:dyDescent="0.25">
      <c r="A160" s="212" t="s">
        <v>158</v>
      </c>
      <c r="B160" s="256">
        <v>4.4291</v>
      </c>
      <c r="C160" s="148">
        <v>1161</v>
      </c>
      <c r="D160" s="216">
        <v>7277.08</v>
      </c>
      <c r="E160" s="148">
        <v>41666</v>
      </c>
      <c r="F160" s="216">
        <v>201359.7</v>
      </c>
      <c r="G160" s="148">
        <v>0</v>
      </c>
      <c r="H160" s="216">
        <v>1043.4100000000001</v>
      </c>
      <c r="I160" s="148">
        <v>4756</v>
      </c>
      <c r="J160" s="216">
        <v>23908.68</v>
      </c>
      <c r="K160" s="215">
        <f t="shared" si="49"/>
        <v>46422</v>
      </c>
      <c r="L160" s="217">
        <f t="shared" si="50"/>
        <v>226311.79</v>
      </c>
      <c r="M160" s="218">
        <f t="shared" si="51"/>
        <v>47583</v>
      </c>
      <c r="N160" s="219">
        <f t="shared" si="52"/>
        <v>233588.87</v>
      </c>
    </row>
    <row r="161" spans="1:14" x14ac:dyDescent="0.25">
      <c r="A161" s="212" t="s">
        <v>159</v>
      </c>
      <c r="B161" s="256">
        <v>4.7618</v>
      </c>
      <c r="C161" s="148">
        <v>1644</v>
      </c>
      <c r="D161" s="216">
        <v>10504.86</v>
      </c>
      <c r="E161" s="148">
        <v>42261</v>
      </c>
      <c r="F161" s="216">
        <v>218561.71</v>
      </c>
      <c r="G161" s="148">
        <v>0</v>
      </c>
      <c r="H161" s="216">
        <v>1043.4100000000001</v>
      </c>
      <c r="I161" s="148">
        <v>8456</v>
      </c>
      <c r="J161" s="216">
        <v>44566.63</v>
      </c>
      <c r="K161" s="215">
        <f t="shared" si="49"/>
        <v>50717</v>
      </c>
      <c r="L161" s="217">
        <f t="shared" si="50"/>
        <v>264171.75</v>
      </c>
      <c r="M161" s="218">
        <f t="shared" si="51"/>
        <v>52361</v>
      </c>
      <c r="N161" s="219">
        <f t="shared" si="52"/>
        <v>274676.61</v>
      </c>
    </row>
    <row r="162" spans="1:14" x14ac:dyDescent="0.25">
      <c r="A162" s="212" t="s">
        <v>160</v>
      </c>
      <c r="B162" s="256">
        <v>4.7187000000000001</v>
      </c>
      <c r="C162" s="148">
        <v>4573</v>
      </c>
      <c r="D162" s="216">
        <v>27488.38</v>
      </c>
      <c r="E162" s="148">
        <v>38538</v>
      </c>
      <c r="F162" s="216">
        <v>197705.14</v>
      </c>
      <c r="G162" s="148">
        <v>0</v>
      </c>
      <c r="H162" s="216">
        <v>1043.4100000000001</v>
      </c>
      <c r="I162" s="148">
        <v>16336</v>
      </c>
      <c r="J162" s="216">
        <v>84406.99</v>
      </c>
      <c r="K162" s="215">
        <f t="shared" si="49"/>
        <v>54874</v>
      </c>
      <c r="L162" s="217">
        <f t="shared" si="50"/>
        <v>283155.54000000004</v>
      </c>
      <c r="M162" s="218">
        <f t="shared" si="51"/>
        <v>59447</v>
      </c>
      <c r="N162" s="219">
        <f t="shared" si="52"/>
        <v>310643.92000000004</v>
      </c>
    </row>
    <row r="163" spans="1:14" x14ac:dyDescent="0.25">
      <c r="A163" s="212" t="s">
        <v>161</v>
      </c>
      <c r="B163" s="256">
        <v>4.6003999999999996</v>
      </c>
      <c r="C163" s="148">
        <v>11029</v>
      </c>
      <c r="D163" s="216">
        <v>63751.35</v>
      </c>
      <c r="E163" s="148">
        <v>42743</v>
      </c>
      <c r="F163" s="216">
        <v>214005.88</v>
      </c>
      <c r="G163" s="148">
        <v>0</v>
      </c>
      <c r="H163" s="216">
        <v>1043.4100000000001</v>
      </c>
      <c r="I163" s="148">
        <v>21658</v>
      </c>
      <c r="J163" s="216">
        <v>108952.1</v>
      </c>
      <c r="K163" s="215">
        <f t="shared" si="49"/>
        <v>64401</v>
      </c>
      <c r="L163" s="217">
        <f t="shared" si="50"/>
        <v>324001.39</v>
      </c>
      <c r="M163" s="218">
        <f t="shared" si="51"/>
        <v>75430</v>
      </c>
      <c r="N163" s="219">
        <f t="shared" si="52"/>
        <v>387752.74</v>
      </c>
    </row>
    <row r="164" spans="1:14" x14ac:dyDescent="0.25">
      <c r="A164" s="212" t="s">
        <v>162</v>
      </c>
      <c r="B164" s="256">
        <v>4.7016999999999998</v>
      </c>
      <c r="C164" s="148">
        <v>10756</v>
      </c>
      <c r="D164" s="216">
        <v>63305.96</v>
      </c>
      <c r="E164" s="148">
        <v>44276</v>
      </c>
      <c r="F164" s="216">
        <v>226218.75</v>
      </c>
      <c r="G164" s="148">
        <v>0</v>
      </c>
      <c r="H164" s="216">
        <v>1043.4100000000001</v>
      </c>
      <c r="I164" s="148">
        <v>14536</v>
      </c>
      <c r="J164" s="216">
        <v>74969.429999999993</v>
      </c>
      <c r="K164" s="215">
        <f t="shared" si="49"/>
        <v>58812</v>
      </c>
      <c r="L164" s="217">
        <f t="shared" si="50"/>
        <v>302231.58999999997</v>
      </c>
      <c r="M164" s="218">
        <f t="shared" si="51"/>
        <v>69568</v>
      </c>
      <c r="N164" s="219">
        <f t="shared" si="52"/>
        <v>365537.55</v>
      </c>
    </row>
    <row r="165" spans="1:14" x14ac:dyDescent="0.25">
      <c r="A165" s="212" t="s">
        <v>163</v>
      </c>
      <c r="B165" s="256">
        <v>4.6330999999999998</v>
      </c>
      <c r="C165" s="148">
        <v>8942</v>
      </c>
      <c r="D165" s="216">
        <v>52148.66</v>
      </c>
      <c r="E165" s="148">
        <v>41324</v>
      </c>
      <c r="F165" s="216">
        <v>208314.17</v>
      </c>
      <c r="G165" s="148">
        <v>0</v>
      </c>
      <c r="H165" s="216">
        <v>1043.4100000000001</v>
      </c>
      <c r="I165" s="148">
        <v>16004</v>
      </c>
      <c r="J165" s="216">
        <v>81315.44</v>
      </c>
      <c r="K165" s="215">
        <f t="shared" si="49"/>
        <v>57328</v>
      </c>
      <c r="L165" s="217">
        <f t="shared" si="50"/>
        <v>290673.02</v>
      </c>
      <c r="M165" s="218">
        <f t="shared" si="51"/>
        <v>66270</v>
      </c>
      <c r="N165" s="219">
        <f t="shared" si="52"/>
        <v>342821.68000000005</v>
      </c>
    </row>
    <row r="166" spans="1:14" x14ac:dyDescent="0.25">
      <c r="A166" s="212" t="s">
        <v>164</v>
      </c>
      <c r="B166" s="256">
        <v>4.6071</v>
      </c>
      <c r="C166" s="148">
        <v>6048</v>
      </c>
      <c r="D166" s="216">
        <v>35388.959999999999</v>
      </c>
      <c r="E166" s="148">
        <v>32823</v>
      </c>
      <c r="F166" s="216">
        <v>164804.84</v>
      </c>
      <c r="G166" s="148">
        <v>0</v>
      </c>
      <c r="H166" s="216">
        <v>1043.4100000000001</v>
      </c>
      <c r="I166" s="148">
        <v>15465</v>
      </c>
      <c r="J166" s="216">
        <v>78201.820000000007</v>
      </c>
      <c r="K166" s="215">
        <f t="shared" si="49"/>
        <v>48288</v>
      </c>
      <c r="L166" s="217">
        <f t="shared" si="50"/>
        <v>244050.07</v>
      </c>
      <c r="M166" s="218">
        <f t="shared" si="51"/>
        <v>54336</v>
      </c>
      <c r="N166" s="219">
        <f t="shared" si="52"/>
        <v>279439.03000000003</v>
      </c>
    </row>
    <row r="167" spans="1:14" x14ac:dyDescent="0.25">
      <c r="A167" s="212" t="s">
        <v>165</v>
      </c>
      <c r="B167" s="256">
        <v>4.5591999999999997</v>
      </c>
      <c r="C167" s="148">
        <v>2488</v>
      </c>
      <c r="D167" s="216">
        <v>14942.49</v>
      </c>
      <c r="E167" s="148">
        <v>38695</v>
      </c>
      <c r="F167" s="216">
        <v>192211.02</v>
      </c>
      <c r="G167" s="148">
        <v>0</v>
      </c>
      <c r="H167" s="216">
        <v>1043.4100000000001</v>
      </c>
      <c r="I167" s="148">
        <v>2417</v>
      </c>
      <c r="J167" s="216">
        <v>12984.28</v>
      </c>
      <c r="K167" s="215">
        <f t="shared" si="49"/>
        <v>41112</v>
      </c>
      <c r="L167" s="217">
        <f t="shared" si="50"/>
        <v>206238.71</v>
      </c>
      <c r="M167" s="218">
        <f t="shared" si="51"/>
        <v>43600</v>
      </c>
      <c r="N167" s="219">
        <f t="shared" si="52"/>
        <v>221181.19999999998</v>
      </c>
    </row>
    <row r="168" spans="1:14" x14ac:dyDescent="0.25">
      <c r="A168" s="212" t="s">
        <v>166</v>
      </c>
      <c r="B168" s="256">
        <v>4.54</v>
      </c>
      <c r="C168" s="148">
        <v>1438</v>
      </c>
      <c r="D168" s="216">
        <v>8970.92</v>
      </c>
      <c r="E168" s="148">
        <v>37573</v>
      </c>
      <c r="F168" s="216">
        <v>185932.1</v>
      </c>
      <c r="G168" s="148">
        <v>0</v>
      </c>
      <c r="H168" s="216">
        <v>1043.4100000000001</v>
      </c>
      <c r="I168" s="148">
        <v>4767</v>
      </c>
      <c r="J168" s="216">
        <v>24500.79</v>
      </c>
      <c r="K168" s="215">
        <f t="shared" si="49"/>
        <v>42340</v>
      </c>
      <c r="L168" s="217">
        <f t="shared" si="50"/>
        <v>211476.30000000002</v>
      </c>
      <c r="M168" s="218">
        <f t="shared" si="51"/>
        <v>43778</v>
      </c>
      <c r="N168" s="219">
        <f t="shared" si="52"/>
        <v>220447.22000000003</v>
      </c>
    </row>
    <row r="169" spans="1:14" x14ac:dyDescent="0.25">
      <c r="A169" s="212" t="s">
        <v>167</v>
      </c>
      <c r="B169" s="256">
        <v>4.7956000000000003</v>
      </c>
      <c r="C169" s="148">
        <v>792</v>
      </c>
      <c r="D169" s="216">
        <v>5533.45</v>
      </c>
      <c r="E169" s="148">
        <v>38438</v>
      </c>
      <c r="F169" s="216">
        <v>200209.83</v>
      </c>
      <c r="G169" s="148">
        <v>0</v>
      </c>
      <c r="H169" s="216">
        <v>1043.4100000000001</v>
      </c>
      <c r="I169" s="148">
        <v>519</v>
      </c>
      <c r="J169" s="216">
        <v>3732.61</v>
      </c>
      <c r="K169" s="215">
        <f t="shared" si="49"/>
        <v>38957</v>
      </c>
      <c r="L169" s="217">
        <f t="shared" si="50"/>
        <v>204985.84999999998</v>
      </c>
      <c r="M169" s="218">
        <f t="shared" si="51"/>
        <v>39749</v>
      </c>
      <c r="N169" s="219">
        <f t="shared" si="52"/>
        <v>210519.3</v>
      </c>
    </row>
    <row r="170" spans="1:14" x14ac:dyDescent="0.25">
      <c r="A170" s="228" t="s">
        <v>125</v>
      </c>
      <c r="B170" s="258"/>
      <c r="C170" s="224">
        <f t="shared" ref="C170:N170" si="53">SUM(C158:C169)</f>
        <v>50475</v>
      </c>
      <c r="D170" s="225">
        <f t="shared" si="53"/>
        <v>301025.68</v>
      </c>
      <c r="E170" s="224">
        <f t="shared" si="53"/>
        <v>479364</v>
      </c>
      <c r="F170" s="225">
        <f t="shared" si="53"/>
        <v>2447622.19</v>
      </c>
      <c r="G170" s="224">
        <f t="shared" si="53"/>
        <v>0</v>
      </c>
      <c r="H170" s="225">
        <f t="shared" si="53"/>
        <v>12520.92</v>
      </c>
      <c r="I170" s="224">
        <f t="shared" si="53"/>
        <v>111396</v>
      </c>
      <c r="J170" s="225">
        <f t="shared" si="53"/>
        <v>573372.03000000014</v>
      </c>
      <c r="K170" s="220">
        <f t="shared" si="53"/>
        <v>590760</v>
      </c>
      <c r="L170" s="221">
        <f t="shared" si="53"/>
        <v>3033515.1399999997</v>
      </c>
      <c r="M170" s="222">
        <f t="shared" si="53"/>
        <v>641235</v>
      </c>
      <c r="N170" s="223">
        <f t="shared" si="53"/>
        <v>3334540.8200000008</v>
      </c>
    </row>
    <row r="171" spans="1:14" x14ac:dyDescent="0.25">
      <c r="A171" s="213" t="s">
        <v>126</v>
      </c>
      <c r="B171" s="254">
        <f>AVERAGE(B158:B169)</f>
        <v>4.6975333333333333</v>
      </c>
      <c r="C171" s="226"/>
      <c r="D171" s="227"/>
      <c r="E171" s="226"/>
      <c r="F171" s="227"/>
      <c r="G171" s="226"/>
      <c r="H171" s="227"/>
      <c r="I171" s="226"/>
      <c r="J171" s="227"/>
      <c r="K171" s="226"/>
      <c r="L171" s="227"/>
      <c r="M171" s="226"/>
      <c r="N171" s="227"/>
    </row>
  </sheetData>
  <sheetProtection algorithmName="SHA-512" hashValue="vtXNM/kPrsIWGKSvX0DTc1/OJ6L2c3Su67d9kOK/G+ktpHT1Fwq126tsDlTLGhT5/s22z4lYBzD0jaCyLqegkQ==" saltValue="/D6LBSGHynSHJ817hM0hVg==" spinCount="100000" sheet="1" objects="1" scenarios="1"/>
  <mergeCells count="76">
    <mergeCell ref="M7:N7"/>
    <mergeCell ref="O7:O8"/>
    <mergeCell ref="P7:P8"/>
    <mergeCell ref="Q7:Q8"/>
    <mergeCell ref="R7:R8"/>
    <mergeCell ref="C6:D6"/>
    <mergeCell ref="E6:L6"/>
    <mergeCell ref="E7:F7"/>
    <mergeCell ref="G7:H7"/>
    <mergeCell ref="I7:J7"/>
    <mergeCell ref="K7:L7"/>
    <mergeCell ref="M52:M53"/>
    <mergeCell ref="N52:N53"/>
    <mergeCell ref="C51:D51"/>
    <mergeCell ref="E51:L51"/>
    <mergeCell ref="E52:F52"/>
    <mergeCell ref="G52:H52"/>
    <mergeCell ref="I52:J52"/>
    <mergeCell ref="K52:K53"/>
    <mergeCell ref="L52:L53"/>
    <mergeCell ref="M73:M74"/>
    <mergeCell ref="N73:N74"/>
    <mergeCell ref="C72:D72"/>
    <mergeCell ref="E72:L72"/>
    <mergeCell ref="E73:F73"/>
    <mergeCell ref="G73:H73"/>
    <mergeCell ref="I73:J73"/>
    <mergeCell ref="K73:K74"/>
    <mergeCell ref="L73:L74"/>
    <mergeCell ref="M94:M95"/>
    <mergeCell ref="N94:N95"/>
    <mergeCell ref="C93:D93"/>
    <mergeCell ref="E93:L93"/>
    <mergeCell ref="E94:F94"/>
    <mergeCell ref="G94:H94"/>
    <mergeCell ref="I94:J94"/>
    <mergeCell ref="K94:K95"/>
    <mergeCell ref="L94:L95"/>
    <mergeCell ref="C135:D135"/>
    <mergeCell ref="E136:F136"/>
    <mergeCell ref="G136:H136"/>
    <mergeCell ref="I136:J136"/>
    <mergeCell ref="E155:L155"/>
    <mergeCell ref="C155:D155"/>
    <mergeCell ref="K156:K157"/>
    <mergeCell ref="L156:L157"/>
    <mergeCell ref="K136:K137"/>
    <mergeCell ref="L136:L137"/>
    <mergeCell ref="E135:L135"/>
    <mergeCell ref="E156:F156"/>
    <mergeCell ref="G156:H156"/>
    <mergeCell ref="I156:J156"/>
    <mergeCell ref="C115:D115"/>
    <mergeCell ref="E115:L115"/>
    <mergeCell ref="E116:F116"/>
    <mergeCell ref="G116:H116"/>
    <mergeCell ref="I116:J116"/>
    <mergeCell ref="K116:K117"/>
    <mergeCell ref="L116:L117"/>
    <mergeCell ref="M116:M117"/>
    <mergeCell ref="N116:N117"/>
    <mergeCell ref="N156:N157"/>
    <mergeCell ref="M136:M137"/>
    <mergeCell ref="N136:N137"/>
    <mergeCell ref="M156:M157"/>
    <mergeCell ref="Q30:Q31"/>
    <mergeCell ref="R30:R31"/>
    <mergeCell ref="C29:D29"/>
    <mergeCell ref="E29:L29"/>
    <mergeCell ref="E30:F30"/>
    <mergeCell ref="G30:H30"/>
    <mergeCell ref="I30:J30"/>
    <mergeCell ref="O30:O31"/>
    <mergeCell ref="P30:P31"/>
    <mergeCell ref="K30:L30"/>
    <mergeCell ref="M30:N30"/>
  </mergeCells>
  <pageMargins left="0.7" right="0.7" top="0.75" bottom="0.75" header="0.3" footer="0.3"/>
  <pageSetup paperSize="5" scale="27" fitToHeight="0" orientation="landscape" r:id="rId1"/>
  <rowBreaks count="4" manualBreakCount="4">
    <brk id="71" max="16383" man="1"/>
    <brk id="113" max="16383" man="1"/>
    <brk id="154" max="16383" man="1"/>
    <brk id="171" max="1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133"/>
  <sheetViews>
    <sheetView tabSelected="1" zoomScale="80" zoomScaleNormal="80" zoomScaleSheetLayoutView="70" workbookViewId="0">
      <selection activeCell="D29" sqref="D29"/>
    </sheetView>
  </sheetViews>
  <sheetFormatPr defaultColWidth="9.140625" defaultRowHeight="15" x14ac:dyDescent="0.25"/>
  <cols>
    <col min="1" max="1" width="14.7109375" customWidth="1"/>
    <col min="2" max="2" width="16.140625" bestFit="1" customWidth="1"/>
    <col min="3" max="3" width="16.140625" style="448" customWidth="1"/>
    <col min="4" max="4" width="16.140625" style="341" customWidth="1"/>
    <col min="5" max="6" width="16.140625" style="264" customWidth="1"/>
    <col min="7" max="7" width="15" bestFit="1" customWidth="1"/>
    <col min="8" max="8" width="16.7109375" style="37" customWidth="1"/>
    <col min="9" max="11" width="15.7109375" customWidth="1"/>
    <col min="12" max="12" width="1.7109375" customWidth="1"/>
    <col min="13" max="13" width="12.42578125" style="55" customWidth="1"/>
    <col min="14" max="16384" width="9.140625" style="55"/>
  </cols>
  <sheetData>
    <row r="1" spans="1:13" x14ac:dyDescent="0.25">
      <c r="A1" s="1" t="s">
        <v>0</v>
      </c>
      <c r="B1" s="1"/>
      <c r="C1" s="1"/>
      <c r="D1" s="1"/>
      <c r="E1" s="1"/>
      <c r="F1" s="1"/>
      <c r="G1" s="1"/>
      <c r="H1" s="51"/>
      <c r="I1" s="1"/>
    </row>
    <row r="2" spans="1:13" x14ac:dyDescent="0.25">
      <c r="A2" s="1" t="s">
        <v>93</v>
      </c>
      <c r="B2" s="1"/>
      <c r="C2" s="1"/>
      <c r="D2" s="1"/>
      <c r="E2" s="1"/>
      <c r="F2" s="1"/>
      <c r="G2" s="1"/>
      <c r="H2" s="51"/>
      <c r="I2" s="1"/>
    </row>
    <row r="3" spans="1:13" x14ac:dyDescent="0.25">
      <c r="A3" s="1" t="s">
        <v>2</v>
      </c>
      <c r="B3" s="1"/>
      <c r="C3" s="1"/>
      <c r="D3" s="1"/>
      <c r="E3" s="1"/>
      <c r="F3" s="1"/>
      <c r="G3" s="1"/>
      <c r="H3" s="51"/>
      <c r="I3" s="280"/>
      <c r="J3" s="291"/>
      <c r="K3" s="291"/>
      <c r="M3" s="292"/>
    </row>
    <row r="4" spans="1:13" x14ac:dyDescent="0.25">
      <c r="A4" s="1" t="s">
        <v>69</v>
      </c>
      <c r="B4" s="1"/>
      <c r="C4" s="1"/>
      <c r="D4" s="1"/>
      <c r="E4" s="1"/>
      <c r="F4" s="339"/>
      <c r="G4" s="1"/>
      <c r="H4" s="51"/>
      <c r="I4" s="1"/>
      <c r="K4" s="291"/>
    </row>
    <row r="6" spans="1:13" ht="15" customHeight="1" x14ac:dyDescent="0.25">
      <c r="A6" s="138"/>
      <c r="B6" s="588" t="s">
        <v>70</v>
      </c>
      <c r="C6" s="589"/>
      <c r="D6" s="589"/>
      <c r="E6" s="589"/>
      <c r="F6" s="589"/>
      <c r="G6" s="589"/>
      <c r="H6" s="589"/>
      <c r="I6" s="589"/>
      <c r="J6" s="589"/>
      <c r="K6" s="590"/>
      <c r="L6" s="139"/>
    </row>
    <row r="7" spans="1:13" ht="15" customHeight="1" x14ac:dyDescent="0.25">
      <c r="A7" s="140" t="s">
        <v>11</v>
      </c>
      <c r="B7" s="591" t="s">
        <v>12</v>
      </c>
      <c r="C7" s="592"/>
      <c r="D7" s="592"/>
      <c r="E7" s="592"/>
      <c r="F7" s="592"/>
      <c r="G7" s="592"/>
      <c r="H7" s="592"/>
      <c r="I7" s="592"/>
      <c r="J7" s="592"/>
      <c r="K7" s="593"/>
      <c r="L7" s="139"/>
    </row>
    <row r="8" spans="1:13" s="56" customFormat="1" ht="15" customHeight="1" x14ac:dyDescent="0.25">
      <c r="A8" s="140"/>
      <c r="B8" s="141" t="s">
        <v>290</v>
      </c>
      <c r="C8" s="430" t="s">
        <v>261</v>
      </c>
      <c r="D8" s="430" t="s">
        <v>248</v>
      </c>
      <c r="E8" s="141" t="s">
        <v>214</v>
      </c>
      <c r="F8" s="141" t="s">
        <v>186</v>
      </c>
      <c r="G8" s="141" t="s">
        <v>91</v>
      </c>
      <c r="H8" s="168" t="s">
        <v>85</v>
      </c>
      <c r="I8" s="141" t="s">
        <v>48</v>
      </c>
      <c r="J8" s="141" t="s">
        <v>68</v>
      </c>
      <c r="K8" s="141" t="s">
        <v>71</v>
      </c>
      <c r="L8" s="142"/>
    </row>
    <row r="9" spans="1:13" s="57" customFormat="1" ht="15" customHeight="1" thickBot="1" x14ac:dyDescent="0.3">
      <c r="A9" s="143"/>
      <c r="B9" s="143"/>
      <c r="C9" s="143"/>
      <c r="D9" s="143"/>
      <c r="E9" s="143"/>
      <c r="F9" s="143"/>
      <c r="G9" s="143"/>
      <c r="H9" s="169"/>
      <c r="I9" s="143"/>
      <c r="J9" s="143"/>
      <c r="K9" s="143"/>
      <c r="L9" s="144"/>
    </row>
    <row r="10" spans="1:13" ht="15" customHeight="1" x14ac:dyDescent="0.25">
      <c r="A10" s="145" t="s">
        <v>31</v>
      </c>
      <c r="B10" s="146">
        <f>+'EPEC FY19 Actuals'!B15</f>
        <v>374232.8</v>
      </c>
      <c r="C10" s="449">
        <v>338467.86</v>
      </c>
      <c r="D10" s="449">
        <v>301489.83</v>
      </c>
      <c r="E10" s="343">
        <v>405995.21</v>
      </c>
      <c r="F10" s="265">
        <v>467027.38</v>
      </c>
      <c r="G10" s="265">
        <v>573283.62</v>
      </c>
      <c r="H10" s="170">
        <v>465248.36</v>
      </c>
      <c r="I10" s="146">
        <v>526676.06999999995</v>
      </c>
      <c r="J10" s="149">
        <v>526366.99</v>
      </c>
      <c r="K10" s="149">
        <v>369555.94</v>
      </c>
      <c r="L10" s="147"/>
    </row>
    <row r="11" spans="1:13" ht="15" customHeight="1" x14ac:dyDescent="0.25">
      <c r="A11" s="148" t="s">
        <v>32</v>
      </c>
      <c r="B11" s="146">
        <f>+'EPEC FY19 Actuals'!B16</f>
        <v>377601.34</v>
      </c>
      <c r="C11" s="449">
        <v>319830.86</v>
      </c>
      <c r="D11" s="449">
        <v>334142.46000000002</v>
      </c>
      <c r="E11" s="343">
        <v>435387.75</v>
      </c>
      <c r="F11" s="265">
        <v>449159</v>
      </c>
      <c r="G11" s="146">
        <v>500966.89</v>
      </c>
      <c r="H11" s="171">
        <v>472001.39</v>
      </c>
      <c r="I11" s="149">
        <v>518760.58</v>
      </c>
      <c r="J11" s="149">
        <v>562270.96</v>
      </c>
      <c r="K11" s="149">
        <v>440712.66</v>
      </c>
      <c r="L11" s="147"/>
    </row>
    <row r="12" spans="1:13" ht="15" customHeight="1" x14ac:dyDescent="0.25">
      <c r="A12" s="148" t="s">
        <v>33</v>
      </c>
      <c r="B12" s="265">
        <f>+'EPEC FY19 Actuals'!B17</f>
        <v>327542.09999999998</v>
      </c>
      <c r="C12" s="449">
        <v>280155.89</v>
      </c>
      <c r="D12" s="449">
        <v>344293.6</v>
      </c>
      <c r="E12" s="343">
        <v>431740.59</v>
      </c>
      <c r="F12" s="265">
        <v>461417.89</v>
      </c>
      <c r="G12" s="146">
        <v>438550.29</v>
      </c>
      <c r="H12" s="171">
        <v>485357.92</v>
      </c>
      <c r="I12" s="149">
        <v>540927.32999999996</v>
      </c>
      <c r="J12" s="149">
        <v>553253.39</v>
      </c>
      <c r="K12" s="149">
        <v>351836.87</v>
      </c>
      <c r="L12" s="147"/>
    </row>
    <row r="13" spans="1:13" ht="15" customHeight="1" x14ac:dyDescent="0.25">
      <c r="A13" s="148" t="s">
        <v>34</v>
      </c>
      <c r="B13" s="265">
        <f>+'EPEC FY19 Actuals'!B18</f>
        <v>190996.62</v>
      </c>
      <c r="C13" s="449">
        <v>167275.34</v>
      </c>
      <c r="D13" s="449">
        <v>201850.75</v>
      </c>
      <c r="E13" s="343">
        <v>236858.7</v>
      </c>
      <c r="F13" s="265">
        <v>283506.24</v>
      </c>
      <c r="G13" s="146">
        <v>270730.38</v>
      </c>
      <c r="H13" s="171">
        <v>343798.88</v>
      </c>
      <c r="I13" s="149">
        <v>307853.26</v>
      </c>
      <c r="J13" s="149">
        <v>237916.54</v>
      </c>
      <c r="K13" s="149">
        <v>303596.09000000003</v>
      </c>
      <c r="L13" s="147"/>
    </row>
    <row r="14" spans="1:13" ht="15" customHeight="1" x14ac:dyDescent="0.25">
      <c r="A14" s="148" t="s">
        <v>35</v>
      </c>
      <c r="B14" s="265">
        <f>+'EPEC FY19 Actuals'!B19</f>
        <v>111703.4</v>
      </c>
      <c r="C14" s="449">
        <v>124609.14</v>
      </c>
      <c r="D14" s="449">
        <v>119187.05</v>
      </c>
      <c r="E14" s="343">
        <v>170146.15</v>
      </c>
      <c r="F14" s="265">
        <v>182111.63</v>
      </c>
      <c r="G14" s="146">
        <v>198519.04000000001</v>
      </c>
      <c r="H14" s="171">
        <v>191077.36</v>
      </c>
      <c r="I14" s="149">
        <v>191143.84</v>
      </c>
      <c r="J14" s="149">
        <v>211594.81</v>
      </c>
      <c r="K14" s="149">
        <v>236643.81</v>
      </c>
      <c r="L14" s="147"/>
    </row>
    <row r="15" spans="1:13" ht="15" customHeight="1" x14ac:dyDescent="0.25">
      <c r="A15" s="148" t="s">
        <v>36</v>
      </c>
      <c r="B15" s="265">
        <f>+'EPEC FY19 Actuals'!B20</f>
        <v>131830.89000000001</v>
      </c>
      <c r="C15" s="449">
        <v>131939.68</v>
      </c>
      <c r="D15" s="449">
        <v>127577.86</v>
      </c>
      <c r="E15" s="343">
        <v>140912.75</v>
      </c>
      <c r="F15" s="265">
        <v>185112.44</v>
      </c>
      <c r="G15" s="146">
        <v>175945.06</v>
      </c>
      <c r="H15" s="171">
        <v>239678.45</v>
      </c>
      <c r="I15" s="149">
        <v>200667.12</v>
      </c>
      <c r="J15" s="149">
        <v>161247.19</v>
      </c>
      <c r="K15" s="149">
        <v>219845.27</v>
      </c>
      <c r="L15" s="147"/>
    </row>
    <row r="16" spans="1:13" ht="15" customHeight="1" x14ac:dyDescent="0.25">
      <c r="A16" s="148" t="s">
        <v>37</v>
      </c>
      <c r="B16" s="265">
        <f>+'EPEC FY19 Actuals'!B21</f>
        <v>106120.78</v>
      </c>
      <c r="C16" s="449">
        <v>124440.06</v>
      </c>
      <c r="D16" s="449">
        <v>137455.20000000001</v>
      </c>
      <c r="E16" s="343">
        <v>120612.6</v>
      </c>
      <c r="F16" s="265">
        <v>158897.03</v>
      </c>
      <c r="G16" s="146">
        <v>157351.84</v>
      </c>
      <c r="H16" s="171">
        <v>167002.54</v>
      </c>
      <c r="I16" s="149">
        <v>177649.98</v>
      </c>
      <c r="J16" s="149">
        <v>137039.19</v>
      </c>
      <c r="K16" s="149">
        <v>176873.21</v>
      </c>
      <c r="L16" s="147"/>
    </row>
    <row r="17" spans="1:12" ht="15" customHeight="1" x14ac:dyDescent="0.25">
      <c r="A17" s="148" t="s">
        <v>38</v>
      </c>
      <c r="B17" s="265">
        <f>+'EPEC FY19 Actuals'!B22</f>
        <v>121543.35</v>
      </c>
      <c r="C17" s="449">
        <v>126432.22</v>
      </c>
      <c r="D17" s="449">
        <v>137135.85</v>
      </c>
      <c r="E17" s="343">
        <v>154907.47</v>
      </c>
      <c r="F17" s="265">
        <v>194384.01</v>
      </c>
      <c r="G17" s="146">
        <v>218500.43</v>
      </c>
      <c r="H17" s="171">
        <v>209384.85</v>
      </c>
      <c r="I17" s="149">
        <v>210091.84</v>
      </c>
      <c r="J17" s="149">
        <v>197465.58</v>
      </c>
      <c r="K17" s="149">
        <v>203559.06</v>
      </c>
      <c r="L17" s="147"/>
    </row>
    <row r="18" spans="1:12" ht="15" customHeight="1" x14ac:dyDescent="0.25">
      <c r="A18" s="148" t="s">
        <v>39</v>
      </c>
      <c r="B18" s="265">
        <f>+'EPEC FY19 Actuals'!B23</f>
        <v>140976.01999999999</v>
      </c>
      <c r="C18" s="449">
        <v>134332.94</v>
      </c>
      <c r="D18" s="449">
        <v>147267.17000000001</v>
      </c>
      <c r="E18" s="343">
        <v>150944.26999999999</v>
      </c>
      <c r="F18" s="265">
        <v>177942.78</v>
      </c>
      <c r="G18" s="146">
        <v>223299.54</v>
      </c>
      <c r="H18" s="171">
        <v>210802.55</v>
      </c>
      <c r="I18" s="149">
        <v>235677.97</v>
      </c>
      <c r="J18" s="150">
        <v>225757.19</v>
      </c>
      <c r="K18" s="149">
        <v>209517.74</v>
      </c>
      <c r="L18" s="147"/>
    </row>
    <row r="19" spans="1:12" ht="15" customHeight="1" x14ac:dyDescent="0.25">
      <c r="A19" s="148" t="s">
        <v>40</v>
      </c>
      <c r="B19" s="265">
        <f>+'EPEC FY19 Actuals'!B24</f>
        <v>84831.74</v>
      </c>
      <c r="C19" s="449">
        <v>138816.95000000001</v>
      </c>
      <c r="D19" s="449">
        <v>146648.67000000001</v>
      </c>
      <c r="E19" s="343">
        <v>171667.95</v>
      </c>
      <c r="F19" s="265">
        <v>198450.27</v>
      </c>
      <c r="G19" s="146">
        <v>348296.94</v>
      </c>
      <c r="H19" s="171">
        <v>252361.24</v>
      </c>
      <c r="I19" s="149">
        <v>242141.69</v>
      </c>
      <c r="J19" s="152">
        <v>268306.65999999997</v>
      </c>
      <c r="K19" s="149">
        <v>256829.44</v>
      </c>
      <c r="L19" s="147"/>
    </row>
    <row r="20" spans="1:12" ht="15" customHeight="1" x14ac:dyDescent="0.25">
      <c r="A20" s="148" t="s">
        <v>41</v>
      </c>
      <c r="B20" s="265">
        <f>+'EPEC FY19 Actuals'!B25</f>
        <v>105426.1</v>
      </c>
      <c r="C20" s="449">
        <v>247175.19</v>
      </c>
      <c r="D20" s="449">
        <v>172491.13</v>
      </c>
      <c r="E20" s="343">
        <v>157682.98000000001</v>
      </c>
      <c r="F20" s="265">
        <v>177435.12</v>
      </c>
      <c r="G20" s="146">
        <v>246881.94</v>
      </c>
      <c r="H20" s="171">
        <v>232840.24</v>
      </c>
      <c r="I20" s="149">
        <v>213244.9</v>
      </c>
      <c r="J20" s="152">
        <v>186881.78</v>
      </c>
      <c r="K20" s="152">
        <v>253534.12</v>
      </c>
      <c r="L20" s="147"/>
    </row>
    <row r="21" spans="1:12" ht="15" customHeight="1" x14ac:dyDescent="0.25">
      <c r="A21" s="148" t="s">
        <v>42</v>
      </c>
      <c r="B21" s="265">
        <f>+'EPEC FY19 Actuals'!B26</f>
        <v>224305.93</v>
      </c>
      <c r="C21" s="449">
        <v>387608.01</v>
      </c>
      <c r="D21" s="449">
        <v>346826.74</v>
      </c>
      <c r="E21" s="343">
        <v>245565.17</v>
      </c>
      <c r="F21" s="265">
        <v>342829.35</v>
      </c>
      <c r="G21" s="146">
        <v>402792.87</v>
      </c>
      <c r="H21" s="171">
        <v>423134.41</v>
      </c>
      <c r="I21" s="149">
        <v>325237.69</v>
      </c>
      <c r="J21" s="152">
        <v>419055.41</v>
      </c>
      <c r="K21" s="150">
        <v>367515.55</v>
      </c>
      <c r="L21" s="147"/>
    </row>
    <row r="22" spans="1:12" ht="15" customHeight="1" x14ac:dyDescent="0.25">
      <c r="A22" s="148"/>
      <c r="B22" s="148"/>
      <c r="C22" s="450"/>
      <c r="D22" s="344"/>
      <c r="E22" s="148"/>
      <c r="F22" s="148"/>
      <c r="G22" s="148"/>
      <c r="H22" s="171"/>
      <c r="I22" s="148"/>
      <c r="J22" s="149"/>
      <c r="K22" s="149"/>
      <c r="L22" s="139"/>
    </row>
    <row r="23" spans="1:12" ht="15" customHeight="1" x14ac:dyDescent="0.25">
      <c r="A23" s="153" t="s">
        <v>43</v>
      </c>
      <c r="B23" s="154">
        <f t="shared" ref="B23:K23" si="0">SUM(B10:B22)</f>
        <v>2297111.0700000003</v>
      </c>
      <c r="C23" s="434">
        <f t="shared" ref="C23" si="1">SUM(C10:C22)</f>
        <v>2521084.1399999997</v>
      </c>
      <c r="D23" s="434">
        <f t="shared" si="0"/>
        <v>2516366.3100000005</v>
      </c>
      <c r="E23" s="345">
        <f t="shared" si="0"/>
        <v>2822421.59</v>
      </c>
      <c r="F23" s="340">
        <f t="shared" si="0"/>
        <v>3278273.14</v>
      </c>
      <c r="G23" s="154">
        <f t="shared" si="0"/>
        <v>3755118.8400000003</v>
      </c>
      <c r="H23" s="154">
        <f t="shared" si="0"/>
        <v>3692688.1900000004</v>
      </c>
      <c r="I23" s="154">
        <f t="shared" si="0"/>
        <v>3690072.27</v>
      </c>
      <c r="J23" s="154">
        <f t="shared" si="0"/>
        <v>3687155.69</v>
      </c>
      <c r="K23" s="154">
        <f t="shared" si="0"/>
        <v>3390019.7600000002</v>
      </c>
      <c r="L23" s="151"/>
    </row>
    <row r="24" spans="1:12" s="267" customFormat="1" ht="15" customHeight="1" x14ac:dyDescent="0.25">
      <c r="A24" s="269" t="s">
        <v>187</v>
      </c>
      <c r="B24" s="268"/>
      <c r="C24" s="268">
        <f>+'EPEC KWH Comparison'!W44</f>
        <v>2521084.1393069997</v>
      </c>
      <c r="D24" s="268">
        <f>+'EPEC KWH Comparison'!U67</f>
        <v>2516366.3098180001</v>
      </c>
      <c r="E24" s="268">
        <f>+'EPEC KWH Comparison'!U89</f>
        <v>2822421.5944019998</v>
      </c>
      <c r="F24" s="268">
        <f>+'EPEC KWH Comparison'!U111</f>
        <v>3278273.1422919994</v>
      </c>
      <c r="G24" s="270">
        <f>+'EPEC KWH Comparison'!U132</f>
        <v>3755118.8379180003</v>
      </c>
      <c r="H24" s="270">
        <f>+'EPEC KWH Comparison'!U152</f>
        <v>3692688.1570509998</v>
      </c>
      <c r="I24" s="270">
        <f>+'EPEC KWH Comparison'!U172</f>
        <v>3690072.2495759996</v>
      </c>
      <c r="J24" s="268"/>
      <c r="K24" s="268"/>
      <c r="L24" s="266"/>
    </row>
    <row r="25" spans="1:12" ht="15" customHeight="1" x14ac:dyDescent="0.25">
      <c r="A25" s="260" t="s">
        <v>185</v>
      </c>
      <c r="B25" s="261">
        <f>+B23-C23</f>
        <v>-223973.06999999937</v>
      </c>
      <c r="C25" s="429">
        <f>+C23-D23</f>
        <v>4717.8299999991432</v>
      </c>
      <c r="D25" s="429">
        <f>+D23-E23</f>
        <v>-306055.27999999933</v>
      </c>
      <c r="E25" s="410">
        <f>+E23-F23</f>
        <v>-455851.55000000028</v>
      </c>
      <c r="F25" s="261">
        <f>+F23-G23</f>
        <v>-476845.70000000019</v>
      </c>
      <c r="G25" s="261">
        <f t="shared" ref="G25:J25" si="2">+G23-H23</f>
        <v>62430.649999999907</v>
      </c>
      <c r="H25" s="261">
        <f t="shared" si="2"/>
        <v>2615.9200000003912</v>
      </c>
      <c r="I25" s="261">
        <f t="shared" si="2"/>
        <v>2916.5800000000745</v>
      </c>
      <c r="J25" s="261">
        <f t="shared" si="2"/>
        <v>297135.9299999997</v>
      </c>
      <c r="K25" s="156"/>
      <c r="L25" s="157"/>
    </row>
    <row r="26" spans="1:12" ht="15" customHeight="1" x14ac:dyDescent="0.25">
      <c r="A26" s="155"/>
      <c r="B26" s="175">
        <f>(+B23-C23)/C23</f>
        <v>-8.8839982151487973E-2</v>
      </c>
      <c r="C26" s="436">
        <f t="shared" ref="C26:J26" si="3">(+C23-D23)/D23</f>
        <v>1.8748581958240977E-3</v>
      </c>
      <c r="D26" s="436">
        <f t="shared" si="3"/>
        <v>-0.10843712402299167</v>
      </c>
      <c r="E26" s="349">
        <f t="shared" si="3"/>
        <v>-0.13905233961072574</v>
      </c>
      <c r="F26" s="175">
        <f t="shared" si="3"/>
        <v>-0.12698551505762734</v>
      </c>
      <c r="G26" s="175">
        <f t="shared" si="3"/>
        <v>1.6906558796127302E-2</v>
      </c>
      <c r="H26" s="175">
        <f t="shared" si="3"/>
        <v>7.0890752500096463E-4</v>
      </c>
      <c r="I26" s="175">
        <f t="shared" si="3"/>
        <v>7.9101080757457099E-4</v>
      </c>
      <c r="J26" s="175">
        <f t="shared" si="3"/>
        <v>8.765020590912416E-2</v>
      </c>
      <c r="K26" s="174"/>
      <c r="L26" s="157"/>
    </row>
    <row r="27" spans="1:12" ht="15" customHeight="1" x14ac:dyDescent="0.25">
      <c r="A27" s="158" t="s">
        <v>44</v>
      </c>
      <c r="B27" s="278"/>
      <c r="C27" s="278"/>
      <c r="D27" s="278"/>
      <c r="E27" s="278"/>
      <c r="F27" s="278"/>
      <c r="G27" s="259"/>
      <c r="H27" s="259"/>
      <c r="I27" s="259"/>
      <c r="J27" s="259"/>
      <c r="K27" s="156"/>
      <c r="L27" s="157"/>
    </row>
    <row r="28" spans="1:12" s="58" customFormat="1" ht="15" customHeight="1" x14ac:dyDescent="0.25">
      <c r="A28" s="148"/>
      <c r="B28" s="148"/>
      <c r="C28" s="450"/>
      <c r="D28" s="344"/>
      <c r="E28" s="148"/>
      <c r="F28" s="148"/>
      <c r="G28" s="148"/>
      <c r="H28" s="171"/>
      <c r="I28" s="148"/>
      <c r="J28" s="148"/>
      <c r="K28" s="148"/>
      <c r="L28" s="157"/>
    </row>
    <row r="29" spans="1:12" x14ac:dyDescent="0.25">
      <c r="B29" s="250">
        <f>(B14-G14)/G14</f>
        <v>-0.43731644078069293</v>
      </c>
      <c r="C29" s="250"/>
      <c r="D29" s="250"/>
      <c r="E29" s="250"/>
      <c r="F29" s="250"/>
      <c r="G29" s="250" t="s">
        <v>190</v>
      </c>
    </row>
    <row r="30" spans="1:12" s="267" customFormat="1" x14ac:dyDescent="0.25">
      <c r="A30" s="341"/>
      <c r="B30" s="250"/>
      <c r="C30" s="250"/>
      <c r="D30" s="250"/>
      <c r="E30" s="250"/>
      <c r="F30" s="250"/>
      <c r="G30" s="250"/>
      <c r="H30" s="37"/>
      <c r="I30" s="341"/>
      <c r="J30" s="341"/>
      <c r="K30" s="341"/>
      <c r="L30" s="341"/>
    </row>
    <row r="31" spans="1:12" x14ac:dyDescent="0.25">
      <c r="B31" s="250"/>
      <c r="C31" s="250"/>
      <c r="D31" s="250"/>
      <c r="E31" s="250"/>
      <c r="F31" s="250"/>
      <c r="G31" s="250"/>
      <c r="L31" s="37"/>
    </row>
    <row r="32" spans="1:12" x14ac:dyDescent="0.25">
      <c r="A32" s="2"/>
      <c r="B32" s="588" t="s">
        <v>74</v>
      </c>
      <c r="C32" s="589"/>
      <c r="D32" s="589"/>
      <c r="E32" s="589"/>
      <c r="F32" s="589"/>
      <c r="G32" s="589"/>
      <c r="H32" s="589"/>
      <c r="I32" s="589"/>
      <c r="J32" s="589"/>
      <c r="K32" s="590"/>
      <c r="L32" s="4"/>
    </row>
    <row r="33" spans="1:13" ht="15" customHeight="1" x14ac:dyDescent="0.25">
      <c r="A33" s="5" t="s">
        <v>11</v>
      </c>
      <c r="B33" s="591" t="s">
        <v>283</v>
      </c>
      <c r="C33" s="592"/>
      <c r="D33" s="592"/>
      <c r="E33" s="592"/>
      <c r="F33" s="592"/>
      <c r="G33" s="592"/>
      <c r="H33" s="592"/>
      <c r="I33" s="592"/>
      <c r="J33" s="592"/>
      <c r="K33" s="593"/>
      <c r="L33" s="4"/>
    </row>
    <row r="34" spans="1:13" x14ac:dyDescent="0.25">
      <c r="A34" s="5"/>
      <c r="B34" s="430" t="s">
        <v>290</v>
      </c>
      <c r="C34" s="430" t="s">
        <v>261</v>
      </c>
      <c r="D34" s="430" t="s">
        <v>248</v>
      </c>
      <c r="E34" s="141" t="s">
        <v>214</v>
      </c>
      <c r="F34" s="141" t="s">
        <v>186</v>
      </c>
      <c r="G34" s="141" t="s">
        <v>91</v>
      </c>
      <c r="H34" s="168" t="s">
        <v>85</v>
      </c>
      <c r="I34" s="6" t="s">
        <v>48</v>
      </c>
      <c r="J34" s="6" t="s">
        <v>68</v>
      </c>
      <c r="K34" s="6" t="s">
        <v>71</v>
      </c>
      <c r="L34" s="59"/>
    </row>
    <row r="35" spans="1:13" ht="15.75" thickBot="1" x14ac:dyDescent="0.3">
      <c r="A35" s="14"/>
      <c r="B35" s="143"/>
      <c r="C35" s="143"/>
      <c r="D35" s="143"/>
      <c r="E35" s="143"/>
      <c r="F35" s="143"/>
      <c r="G35" s="143"/>
      <c r="H35" s="169"/>
      <c r="I35" s="14"/>
      <c r="J35" s="14"/>
      <c r="K35" s="14"/>
      <c r="L35" s="16"/>
    </row>
    <row r="36" spans="1:13" x14ac:dyDescent="0.25">
      <c r="A36" s="18" t="s">
        <v>31</v>
      </c>
      <c r="B36" s="170">
        <f>SUM('CLC FY19 Actuals'!B13:F13)</f>
        <v>135611.42000000001</v>
      </c>
      <c r="C36" s="453">
        <v>169749.38999999998</v>
      </c>
      <c r="D36" s="453">
        <v>169944.32000000001</v>
      </c>
      <c r="E36" s="423">
        <v>154675.18</v>
      </c>
      <c r="F36" s="272">
        <v>229531.25</v>
      </c>
      <c r="G36" s="170">
        <v>157865.85999999999</v>
      </c>
      <c r="H36" s="170">
        <v>207616.47</v>
      </c>
      <c r="I36" s="19">
        <v>249878.08</v>
      </c>
      <c r="J36" s="63">
        <f>213353.72+12043.92+1043.41</f>
        <v>226441.05000000002</v>
      </c>
      <c r="K36" s="60">
        <f>7640.78+49825.43+155956.64</f>
        <v>213422.85</v>
      </c>
      <c r="L36" s="21"/>
    </row>
    <row r="37" spans="1:13" x14ac:dyDescent="0.25">
      <c r="A37" s="22" t="s">
        <v>32</v>
      </c>
      <c r="B37" s="453">
        <f>SUM('CLC FY19 Actuals'!B14:F14)</f>
        <v>173137.03</v>
      </c>
      <c r="C37" s="453">
        <v>163989.28000000003</v>
      </c>
      <c r="D37" s="453">
        <v>183859.27</v>
      </c>
      <c r="E37" s="423">
        <v>168713.15999999997</v>
      </c>
      <c r="F37" s="272">
        <v>230219.66</v>
      </c>
      <c r="G37" s="170">
        <v>184914.88</v>
      </c>
      <c r="H37" s="170">
        <v>226875.55000000002</v>
      </c>
      <c r="I37" s="146">
        <v>226341.05</v>
      </c>
      <c r="J37" s="63">
        <f>220913.87+76573.63+1043.41</f>
        <v>298530.90999999997</v>
      </c>
      <c r="K37" s="60">
        <f>7380.5+17024.09+175223.77</f>
        <v>199628.36</v>
      </c>
      <c r="L37" s="21"/>
      <c r="M37" s="55" t="s">
        <v>259</v>
      </c>
    </row>
    <row r="38" spans="1:13" x14ac:dyDescent="0.25">
      <c r="A38" s="22" t="s">
        <v>33</v>
      </c>
      <c r="B38" s="453">
        <f>SUM('CLC FY19 Actuals'!B15:F15)</f>
        <v>163383.56</v>
      </c>
      <c r="C38" s="453">
        <v>166220.29999999999</v>
      </c>
      <c r="D38" s="453">
        <v>198983.98</v>
      </c>
      <c r="E38" s="423">
        <v>143746.88</v>
      </c>
      <c r="F38" s="272">
        <v>211271.36</v>
      </c>
      <c r="G38" s="170">
        <v>181517.77</v>
      </c>
      <c r="H38" s="170">
        <v>148877.27000000002</v>
      </c>
      <c r="I38" s="146">
        <v>226311.79</v>
      </c>
      <c r="J38" s="63">
        <f>110961.21+57165.38+77463.9</f>
        <v>245590.49</v>
      </c>
      <c r="K38" s="60">
        <f>5638.41+18558.18+143811.76</f>
        <v>168008.35</v>
      </c>
      <c r="L38" s="21"/>
    </row>
    <row r="39" spans="1:13" x14ac:dyDescent="0.25">
      <c r="A39" s="22" t="s">
        <v>34</v>
      </c>
      <c r="B39" s="453">
        <f>SUM('CLC FY19 Actuals'!B16:F16)</f>
        <v>126720.64</v>
      </c>
      <c r="C39" s="453">
        <v>165455.56</v>
      </c>
      <c r="D39" s="453">
        <v>205517.19</v>
      </c>
      <c r="E39" s="423">
        <v>157733.59</v>
      </c>
      <c r="F39" s="272">
        <v>225990.86</v>
      </c>
      <c r="G39" s="170">
        <v>183200.05</v>
      </c>
      <c r="H39" s="170">
        <v>190550.08000000002</v>
      </c>
      <c r="I39" s="146">
        <v>264171.75</v>
      </c>
      <c r="J39" s="63">
        <f>1059.39+32740.45+197010.04</f>
        <v>230809.88</v>
      </c>
      <c r="K39" s="60">
        <f>12181.7+14881.77+167673.31</f>
        <v>194736.78</v>
      </c>
      <c r="L39" s="21"/>
    </row>
    <row r="40" spans="1:13" x14ac:dyDescent="0.25">
      <c r="A40" s="22" t="s">
        <v>35</v>
      </c>
      <c r="B40" s="453">
        <f>SUM('CLC FY19 Actuals'!B17:F17)</f>
        <v>186706.67999999996</v>
      </c>
      <c r="C40" s="453">
        <v>158439.94</v>
      </c>
      <c r="D40" s="453">
        <v>168026.99</v>
      </c>
      <c r="E40" s="423">
        <v>142753.38</v>
      </c>
      <c r="F40" s="272">
        <v>214746.56999999998</v>
      </c>
      <c r="G40" s="170">
        <v>198274.57</v>
      </c>
      <c r="H40" s="170">
        <v>227169.35</v>
      </c>
      <c r="I40" s="146">
        <v>283155.53999999998</v>
      </c>
      <c r="J40" s="63">
        <f>1160.78+68401.1+201391.75</f>
        <v>270953.63</v>
      </c>
      <c r="K40" s="60">
        <f>17358.26+43329.74+212965.6</f>
        <v>273653.59999999998</v>
      </c>
      <c r="L40" s="21"/>
    </row>
    <row r="41" spans="1:13" x14ac:dyDescent="0.25">
      <c r="A41" s="22" t="s">
        <v>36</v>
      </c>
      <c r="B41" s="453">
        <f>SUM('CLC FY19 Actuals'!B18:F18)</f>
        <v>189882.19999999998</v>
      </c>
      <c r="C41" s="453">
        <v>181619.84</v>
      </c>
      <c r="D41" s="453">
        <v>255106.54</v>
      </c>
      <c r="E41" s="423">
        <v>197334.07</v>
      </c>
      <c r="F41" s="272">
        <v>278098.91000000003</v>
      </c>
      <c r="G41" s="170">
        <v>237321.11</v>
      </c>
      <c r="H41" s="170">
        <v>218840.59</v>
      </c>
      <c r="I41" s="146">
        <v>324001.39</v>
      </c>
      <c r="J41" s="63">
        <f>1375.97+114714.63+235519.8</f>
        <v>351610.4</v>
      </c>
      <c r="K41" s="60">
        <f>16950.88+65211.57+211849.59</f>
        <v>294012.03999999998</v>
      </c>
      <c r="L41" s="21"/>
    </row>
    <row r="42" spans="1:13" x14ac:dyDescent="0.25">
      <c r="A42" s="22" t="s">
        <v>37</v>
      </c>
      <c r="B42" s="453">
        <f>SUM('CLC FY19 Actuals'!B19:F19)</f>
        <v>256295.6</v>
      </c>
      <c r="C42" s="453">
        <v>226806.87</v>
      </c>
      <c r="D42" s="453">
        <v>187575.52</v>
      </c>
      <c r="E42" s="423">
        <v>203507.69</v>
      </c>
      <c r="F42" s="272">
        <v>243376.89</v>
      </c>
      <c r="G42" s="170">
        <v>337364.89</v>
      </c>
      <c r="H42" s="170">
        <v>236085.03</v>
      </c>
      <c r="I42" s="146">
        <v>302231.59000000003</v>
      </c>
      <c r="J42" s="63">
        <f>1484.78+122320.48+234232.95</f>
        <v>358038.21</v>
      </c>
      <c r="K42" s="60">
        <f>20602.45+84333.62+288375.42</f>
        <v>393311.49</v>
      </c>
      <c r="L42" s="21"/>
    </row>
    <row r="43" spans="1:13" x14ac:dyDescent="0.25">
      <c r="A43" s="22" t="s">
        <v>38</v>
      </c>
      <c r="B43" s="453">
        <f>SUM('CLC FY19 Actuals'!B20:F20)</f>
        <v>211346.15000000002</v>
      </c>
      <c r="C43" s="453">
        <v>206405.59999999998</v>
      </c>
      <c r="D43" s="453">
        <v>241261.14</v>
      </c>
      <c r="E43" s="423">
        <v>166691.89000000001</v>
      </c>
      <c r="F43" s="272">
        <v>188303.8</v>
      </c>
      <c r="G43" s="170">
        <v>295816.88</v>
      </c>
      <c r="H43" s="170">
        <v>228430.85</v>
      </c>
      <c r="I43" s="146">
        <v>290673.02</v>
      </c>
      <c r="J43" s="63">
        <f>2455.21+91964.55+229442.83</f>
        <v>323862.58999999997</v>
      </c>
      <c r="K43" s="60">
        <f>15991.11+83341.03+266007.35</f>
        <v>365339.49</v>
      </c>
      <c r="L43" s="21"/>
    </row>
    <row r="44" spans="1:13" x14ac:dyDescent="0.25">
      <c r="A44" s="22" t="s">
        <v>39</v>
      </c>
      <c r="B44" s="453">
        <f>SUM('CLC FY19 Actuals'!B21:F21)</f>
        <v>151129.07</v>
      </c>
      <c r="C44" s="453">
        <v>142763.74</v>
      </c>
      <c r="D44" s="453">
        <v>185968.46</v>
      </c>
      <c r="E44" s="423">
        <v>120339.75</v>
      </c>
      <c r="F44" s="272">
        <v>164007.82999999999</v>
      </c>
      <c r="G44" s="170">
        <v>298235.21000000002</v>
      </c>
      <c r="H44" s="170">
        <v>193823.1</v>
      </c>
      <c r="I44" s="146">
        <v>244050.07</v>
      </c>
      <c r="J44" s="64">
        <f>166510.89+31779.18+69088.77</f>
        <v>267378.84000000003</v>
      </c>
      <c r="K44" s="60">
        <f>6022.9+54366.61+223212.64</f>
        <v>283602.15000000002</v>
      </c>
      <c r="L44" s="21"/>
    </row>
    <row r="45" spans="1:13" x14ac:dyDescent="0.25">
      <c r="A45" s="22" t="s">
        <v>40</v>
      </c>
      <c r="B45" s="453">
        <f>SUM('CLC FY19 Actuals'!B22:F22)</f>
        <v>140851.69999999998</v>
      </c>
      <c r="C45" s="453">
        <v>114445.83</v>
      </c>
      <c r="D45" s="453">
        <v>156227.56</v>
      </c>
      <c r="E45" s="423">
        <v>120135.2</v>
      </c>
      <c r="F45" s="272">
        <v>163644.53</v>
      </c>
      <c r="G45" s="170">
        <v>183210.93</v>
      </c>
      <c r="H45" s="170">
        <v>203931.91</v>
      </c>
      <c r="I45" s="146">
        <v>206238.71</v>
      </c>
      <c r="J45" s="65">
        <f>177164.26+4188.33+1043.41</f>
        <v>182396</v>
      </c>
      <c r="K45" s="60">
        <f>183636.72+53835.83+24686.67</f>
        <v>262159.21999999997</v>
      </c>
      <c r="L45" s="21"/>
      <c r="M45"/>
    </row>
    <row r="46" spans="1:13" x14ac:dyDescent="0.25">
      <c r="A46" s="22" t="s">
        <v>41</v>
      </c>
      <c r="B46" s="453">
        <f>SUM('CLC FY19 Actuals'!B23:F23)</f>
        <v>111222.33</v>
      </c>
      <c r="C46" s="453">
        <v>63965.09</v>
      </c>
      <c r="D46" s="453">
        <v>150699.9</v>
      </c>
      <c r="E46" s="423">
        <v>144887.56</v>
      </c>
      <c r="F46" s="272">
        <v>152024.74</v>
      </c>
      <c r="G46" s="170">
        <v>255296.65</v>
      </c>
      <c r="H46" s="170">
        <v>204957.99</v>
      </c>
      <c r="I46" s="146">
        <v>211476.3</v>
      </c>
      <c r="J46" s="65">
        <f>217898.51+6652.63+1043.41</f>
        <v>225594.55000000002</v>
      </c>
      <c r="K46" s="62">
        <f>214622.54+39054.39+1043.41</f>
        <v>254720.34</v>
      </c>
      <c r="L46" s="21"/>
      <c r="M46"/>
    </row>
    <row r="47" spans="1:13" x14ac:dyDescent="0.25">
      <c r="A47" s="22" t="s">
        <v>42</v>
      </c>
      <c r="B47" s="453">
        <f>SUM('CLC FY19 Actuals'!B24:F24)</f>
        <v>131388.35</v>
      </c>
      <c r="C47" s="453">
        <v>105931.72</v>
      </c>
      <c r="D47" s="453">
        <v>178706.4</v>
      </c>
      <c r="E47" s="423">
        <v>151523.16999999998</v>
      </c>
      <c r="F47" s="272">
        <v>166091.59</v>
      </c>
      <c r="G47" s="170">
        <v>238853.12</v>
      </c>
      <c r="H47" s="170">
        <v>214960.21</v>
      </c>
      <c r="I47" s="146">
        <v>204985.85</v>
      </c>
      <c r="J47" s="65">
        <f>227709.92+20912.82+1043.41</f>
        <v>249666.15000000002</v>
      </c>
      <c r="K47" s="61">
        <f>212154.56+10979.46+1043.41</f>
        <v>224177.43</v>
      </c>
      <c r="L47" s="21"/>
      <c r="M47"/>
    </row>
    <row r="48" spans="1:13" x14ac:dyDescent="0.25">
      <c r="A48" s="22"/>
      <c r="B48" s="148"/>
      <c r="C48" s="450"/>
      <c r="D48" s="344"/>
      <c r="E48" s="148"/>
      <c r="F48" s="148"/>
      <c r="G48" s="148"/>
      <c r="H48" s="171"/>
      <c r="I48" s="22"/>
      <c r="J48" s="23"/>
      <c r="K48" s="23"/>
      <c r="L48" s="4"/>
      <c r="M48"/>
    </row>
    <row r="49" spans="1:13" x14ac:dyDescent="0.25">
      <c r="A49" s="26" t="s">
        <v>43</v>
      </c>
      <c r="B49" s="154">
        <f>SUM(B36:B48)</f>
        <v>1977674.73</v>
      </c>
      <c r="C49" s="434">
        <f t="shared" ref="C49:D49" si="4">SUM(C36:C48)</f>
        <v>1865793.16</v>
      </c>
      <c r="D49" s="434">
        <f t="shared" si="4"/>
        <v>2281877.27</v>
      </c>
      <c r="E49" s="422">
        <f t="shared" ref="E49:K49" si="5">SUM(E36:E48)</f>
        <v>1872041.5199999998</v>
      </c>
      <c r="F49" s="154">
        <f t="shared" si="5"/>
        <v>2467307.9900000002</v>
      </c>
      <c r="G49" s="154">
        <f t="shared" si="5"/>
        <v>2751871.9200000004</v>
      </c>
      <c r="H49" s="154">
        <f t="shared" si="5"/>
        <v>2502118.4000000004</v>
      </c>
      <c r="I49" s="27">
        <f t="shared" si="5"/>
        <v>3033515.1399999997</v>
      </c>
      <c r="J49" s="27">
        <f t="shared" si="5"/>
        <v>3230872.6999999993</v>
      </c>
      <c r="K49" s="27">
        <f t="shared" si="5"/>
        <v>3126772.1</v>
      </c>
      <c r="L49" s="24"/>
      <c r="M49"/>
    </row>
    <row r="50" spans="1:13" s="267" customFormat="1" x14ac:dyDescent="0.25">
      <c r="A50" s="269" t="s">
        <v>187</v>
      </c>
      <c r="B50" s="268"/>
      <c r="C50" s="268"/>
      <c r="D50" s="268"/>
      <c r="E50" s="270"/>
      <c r="F50" s="270"/>
      <c r="G50" s="270">
        <f>+'CLC DTH Comparison'!$L$130</f>
        <v>2751871.9200000004</v>
      </c>
      <c r="H50" s="270">
        <f>+'CLC DTH Comparison'!$L$150</f>
        <v>2502118.3999999999</v>
      </c>
      <c r="I50" s="270">
        <f>+'CLC DTH Comparison'!$L$170</f>
        <v>3033515.1399999997</v>
      </c>
      <c r="J50" s="270"/>
      <c r="K50" s="270"/>
      <c r="L50" s="266"/>
      <c r="M50" s="264"/>
    </row>
    <row r="51" spans="1:13" x14ac:dyDescent="0.25">
      <c r="A51" s="260" t="s">
        <v>185</v>
      </c>
      <c r="B51" s="261">
        <f>+B49-C49</f>
        <v>111881.57000000007</v>
      </c>
      <c r="C51" s="429">
        <f>+C49-D49</f>
        <v>-416084.1100000001</v>
      </c>
      <c r="D51" s="429">
        <f>+D49-E49</f>
        <v>409835.75000000023</v>
      </c>
      <c r="E51" s="425">
        <f>+E49-F49</f>
        <v>-595266.47000000044</v>
      </c>
      <c r="F51" s="261">
        <f t="shared" ref="F51:J51" si="6">+F49-G49</f>
        <v>-284563.93000000017</v>
      </c>
      <c r="G51" s="261">
        <f t="shared" si="6"/>
        <v>249753.52000000002</v>
      </c>
      <c r="H51" s="261">
        <f t="shared" si="6"/>
        <v>-531396.73999999929</v>
      </c>
      <c r="I51" s="261">
        <f t="shared" si="6"/>
        <v>-197357.55999999959</v>
      </c>
      <c r="J51" s="261">
        <f t="shared" si="6"/>
        <v>104100.59999999916</v>
      </c>
      <c r="K51" s="29"/>
      <c r="L51" s="30"/>
      <c r="M51"/>
    </row>
    <row r="52" spans="1:13" x14ac:dyDescent="0.25">
      <c r="A52" s="28"/>
      <c r="B52" s="175">
        <f>(+B49-C49)/C49</f>
        <v>5.9964615799106086E-2</v>
      </c>
      <c r="C52" s="436">
        <f t="shared" ref="C52:J52" si="7">(+C49-D49)/D49</f>
        <v>-0.18234289611903629</v>
      </c>
      <c r="D52" s="436">
        <f t="shared" si="7"/>
        <v>0.21892449799938213</v>
      </c>
      <c r="E52" s="424">
        <f t="shared" si="7"/>
        <v>-0.24126151757811168</v>
      </c>
      <c r="F52" s="175">
        <f t="shared" si="7"/>
        <v>-0.10340740349572669</v>
      </c>
      <c r="G52" s="175">
        <f t="shared" si="7"/>
        <v>9.9816827213292533E-2</v>
      </c>
      <c r="H52" s="175">
        <f t="shared" si="7"/>
        <v>-0.17517523911220675</v>
      </c>
      <c r="I52" s="175">
        <f t="shared" si="7"/>
        <v>-6.1084907492641116E-2</v>
      </c>
      <c r="J52" s="175">
        <f t="shared" si="7"/>
        <v>3.3293312294810092E-2</v>
      </c>
      <c r="K52" s="29"/>
      <c r="L52" s="30"/>
      <c r="M52"/>
    </row>
    <row r="53" spans="1:13" x14ac:dyDescent="0.25">
      <c r="A53" s="31" t="s">
        <v>44</v>
      </c>
      <c r="B53" s="158"/>
      <c r="C53" s="158"/>
      <c r="D53" s="158"/>
      <c r="E53" s="158"/>
      <c r="F53" s="158"/>
      <c r="G53" s="158"/>
      <c r="H53" s="173"/>
      <c r="I53" s="31"/>
      <c r="J53" s="29"/>
      <c r="K53" s="29"/>
      <c r="L53" s="30"/>
      <c r="M53"/>
    </row>
    <row r="54" spans="1:13" x14ac:dyDescent="0.25">
      <c r="A54" s="235" t="s">
        <v>188</v>
      </c>
      <c r="B54" s="520">
        <f t="shared" ref="B54:H54" si="8">+B49+B23</f>
        <v>4274785.8000000007</v>
      </c>
      <c r="C54" s="520">
        <f t="shared" ref="C54" si="9">+C49+C23</f>
        <v>4386877.3</v>
      </c>
      <c r="D54" s="520">
        <f t="shared" si="8"/>
        <v>4798243.58</v>
      </c>
      <c r="E54" s="437">
        <f t="shared" si="8"/>
        <v>4694463.1099999994</v>
      </c>
      <c r="F54" s="274">
        <f t="shared" si="8"/>
        <v>5745581.1300000008</v>
      </c>
      <c r="G54" s="274">
        <f t="shared" si="8"/>
        <v>6506990.7600000007</v>
      </c>
      <c r="H54" s="275">
        <f t="shared" si="8"/>
        <v>6194806.5900000008</v>
      </c>
      <c r="I54" s="22"/>
      <c r="J54" s="22"/>
      <c r="K54" s="22"/>
      <c r="L54" s="30"/>
      <c r="M54"/>
    </row>
    <row r="55" spans="1:13" x14ac:dyDescent="0.25">
      <c r="A55" s="276"/>
      <c r="B55" s="520"/>
      <c r="C55" s="565"/>
      <c r="D55" s="521">
        <f>(D54-E54)/E54</f>
        <v>2.2106994467361078E-2</v>
      </c>
      <c r="E55" s="438">
        <f>(E54-F54)/F54</f>
        <v>-0.18294372600739889</v>
      </c>
      <c r="F55" s="277">
        <f>(F54-G54)/G54</f>
        <v>-0.11701409423854781</v>
      </c>
      <c r="G55" s="277">
        <f>(G54-H54)/H54</f>
        <v>5.0394498272786248E-2</v>
      </c>
      <c r="H55" s="277"/>
      <c r="I55" s="55"/>
      <c r="J55" s="55"/>
      <c r="K55" s="55"/>
      <c r="L55" s="55"/>
    </row>
    <row r="56" spans="1:13" s="267" customFormat="1" x14ac:dyDescent="0.25">
      <c r="A56" s="276"/>
      <c r="B56" s="521"/>
      <c r="C56" s="521"/>
      <c r="D56" s="438"/>
      <c r="E56" s="438"/>
      <c r="F56" s="438"/>
      <c r="G56" s="438"/>
      <c r="H56" s="438"/>
    </row>
    <row r="57" spans="1:13" x14ac:dyDescent="0.25">
      <c r="B57" s="250"/>
      <c r="C57" s="250"/>
      <c r="D57" s="250"/>
      <c r="E57" s="250"/>
      <c r="F57" s="250"/>
    </row>
    <row r="58" spans="1:13" x14ac:dyDescent="0.25">
      <c r="A58" s="66"/>
      <c r="B58" s="588" t="s">
        <v>76</v>
      </c>
      <c r="C58" s="589"/>
      <c r="D58" s="589"/>
      <c r="E58" s="589"/>
      <c r="F58" s="589"/>
      <c r="G58" s="589"/>
      <c r="H58" s="589"/>
      <c r="I58" s="589"/>
      <c r="J58" s="589"/>
      <c r="K58" s="590"/>
      <c r="L58" s="67"/>
    </row>
    <row r="59" spans="1:13" x14ac:dyDescent="0.25">
      <c r="A59" s="68" t="s">
        <v>11</v>
      </c>
      <c r="B59" s="591" t="s">
        <v>75</v>
      </c>
      <c r="C59" s="592"/>
      <c r="D59" s="592"/>
      <c r="E59" s="592"/>
      <c r="F59" s="592"/>
      <c r="G59" s="592"/>
      <c r="H59" s="592"/>
      <c r="I59" s="592"/>
      <c r="J59" s="592"/>
      <c r="K59" s="593"/>
      <c r="L59" s="67"/>
    </row>
    <row r="60" spans="1:13" x14ac:dyDescent="0.25">
      <c r="A60" s="68"/>
      <c r="B60" s="430" t="s">
        <v>290</v>
      </c>
      <c r="C60" s="430" t="s">
        <v>261</v>
      </c>
      <c r="D60" s="430" t="s">
        <v>248</v>
      </c>
      <c r="E60" s="421" t="s">
        <v>214</v>
      </c>
      <c r="F60" s="141" t="s">
        <v>186</v>
      </c>
      <c r="G60" s="141" t="s">
        <v>91</v>
      </c>
      <c r="H60" s="168" t="s">
        <v>85</v>
      </c>
      <c r="I60" s="69" t="s">
        <v>48</v>
      </c>
      <c r="J60" s="69" t="s">
        <v>68</v>
      </c>
      <c r="K60" s="69" t="s">
        <v>71</v>
      </c>
      <c r="L60" s="70"/>
    </row>
    <row r="61" spans="1:13" ht="15.75" thickBot="1" x14ac:dyDescent="0.3">
      <c r="A61" s="71"/>
      <c r="B61" s="143"/>
      <c r="C61" s="143"/>
      <c r="D61" s="143"/>
      <c r="E61" s="143"/>
      <c r="F61" s="143"/>
      <c r="G61" s="143"/>
      <c r="H61" s="169"/>
      <c r="I61" s="71"/>
      <c r="J61" s="71"/>
      <c r="K61" s="71"/>
      <c r="L61" s="72"/>
    </row>
    <row r="62" spans="1:13" x14ac:dyDescent="0.25">
      <c r="A62" s="73" t="s">
        <v>31</v>
      </c>
      <c r="B62" s="146">
        <f>+'CLC FY19 Actuals'!G13</f>
        <v>4225.7</v>
      </c>
      <c r="C62" s="449">
        <v>4764.66</v>
      </c>
      <c r="D62" s="449">
        <v>3855.76</v>
      </c>
      <c r="E62" s="426">
        <v>4000.64</v>
      </c>
      <c r="F62" s="265">
        <v>5340.32</v>
      </c>
      <c r="G62" s="146">
        <v>4869.8500000000004</v>
      </c>
      <c r="H62" s="170">
        <v>5548.37</v>
      </c>
      <c r="I62" s="74">
        <v>5817.85</v>
      </c>
      <c r="J62" s="100">
        <v>5442.93</v>
      </c>
      <c r="K62" s="85">
        <v>4650.8500000000004</v>
      </c>
      <c r="L62" s="75"/>
    </row>
    <row r="63" spans="1:13" x14ac:dyDescent="0.25">
      <c r="A63" s="76" t="s">
        <v>32</v>
      </c>
      <c r="B63" s="146">
        <f>+'CLC FY19 Actuals'!G14</f>
        <v>4715.03</v>
      </c>
      <c r="C63" s="449">
        <v>5302.1</v>
      </c>
      <c r="D63" s="449">
        <v>4523.18</v>
      </c>
      <c r="E63" s="426">
        <v>4530.03</v>
      </c>
      <c r="F63" s="265">
        <v>6361.56</v>
      </c>
      <c r="G63" s="146">
        <v>5237.74</v>
      </c>
      <c r="H63" s="170">
        <v>5855.35</v>
      </c>
      <c r="I63" s="97">
        <v>5895.72</v>
      </c>
      <c r="J63" s="100">
        <v>6010.81</v>
      </c>
      <c r="K63" s="85">
        <v>5511.75</v>
      </c>
      <c r="L63" s="75"/>
    </row>
    <row r="64" spans="1:13" x14ac:dyDescent="0.25">
      <c r="A64" s="76" t="s">
        <v>33</v>
      </c>
      <c r="B64" s="265">
        <f>+'CLC FY19 Actuals'!G15</f>
        <v>5403.2</v>
      </c>
      <c r="C64" s="449">
        <v>5698.06</v>
      </c>
      <c r="D64" s="449">
        <v>5824.1</v>
      </c>
      <c r="E64" s="426">
        <v>5579.67</v>
      </c>
      <c r="F64" s="265">
        <v>7097.96</v>
      </c>
      <c r="G64" s="146">
        <v>6616.17</v>
      </c>
      <c r="H64" s="170">
        <v>5531.1</v>
      </c>
      <c r="I64" s="97">
        <v>7277.08</v>
      </c>
      <c r="J64" s="100">
        <v>6926.6</v>
      </c>
      <c r="K64" s="85">
        <v>5826.12</v>
      </c>
      <c r="L64" s="75"/>
    </row>
    <row r="65" spans="1:12" x14ac:dyDescent="0.25">
      <c r="A65" s="76" t="s">
        <v>34</v>
      </c>
      <c r="B65" s="265">
        <f>+'CLC FY19 Actuals'!G16</f>
        <v>8881.11</v>
      </c>
      <c r="C65" s="449">
        <v>7617.35</v>
      </c>
      <c r="D65" s="449">
        <v>8123.17</v>
      </c>
      <c r="E65" s="426">
        <v>7047.78</v>
      </c>
      <c r="F65" s="265">
        <v>9912.6200000000008</v>
      </c>
      <c r="G65" s="146">
        <v>10695.11</v>
      </c>
      <c r="H65" s="170">
        <v>8127.08</v>
      </c>
      <c r="I65" s="97">
        <v>10504.86</v>
      </c>
      <c r="J65" s="100">
        <v>8248.09</v>
      </c>
      <c r="K65" s="85">
        <v>8459.32</v>
      </c>
      <c r="L65" s="75"/>
    </row>
    <row r="66" spans="1:12" x14ac:dyDescent="0.25">
      <c r="A66" s="76" t="s">
        <v>35</v>
      </c>
      <c r="B66" s="265">
        <f>+'CLC FY19 Actuals'!G17</f>
        <v>21042.02</v>
      </c>
      <c r="C66" s="449">
        <v>12922.51</v>
      </c>
      <c r="D66" s="449">
        <v>12965.13</v>
      </c>
      <c r="E66" s="426">
        <v>16183.27</v>
      </c>
      <c r="F66" s="265">
        <v>23462.46</v>
      </c>
      <c r="G66" s="146">
        <v>21147.82</v>
      </c>
      <c r="H66" s="170">
        <v>29960.7</v>
      </c>
      <c r="I66" s="97">
        <v>27488.38</v>
      </c>
      <c r="J66" s="100">
        <v>24744.880000000001</v>
      </c>
      <c r="K66" s="85">
        <v>34176.400000000001</v>
      </c>
      <c r="L66" s="75"/>
    </row>
    <row r="67" spans="1:12" x14ac:dyDescent="0.25">
      <c r="A67" s="76" t="s">
        <v>36</v>
      </c>
      <c r="B67" s="265">
        <f>+'CLC FY19 Actuals'!G18</f>
        <v>24541.61</v>
      </c>
      <c r="C67" s="449">
        <v>31492.6</v>
      </c>
      <c r="D67" s="449">
        <v>43183.02</v>
      </c>
      <c r="E67" s="426">
        <v>36490.01</v>
      </c>
      <c r="F67" s="265">
        <v>47024.87</v>
      </c>
      <c r="G67" s="146">
        <v>50817.55</v>
      </c>
      <c r="H67" s="170">
        <v>47227</v>
      </c>
      <c r="I67" s="97">
        <v>63751.35</v>
      </c>
      <c r="J67" s="100">
        <v>52840.22</v>
      </c>
      <c r="K67" s="85">
        <v>60322.11</v>
      </c>
      <c r="L67" s="75"/>
    </row>
    <row r="68" spans="1:12" x14ac:dyDescent="0.25">
      <c r="A68" s="76" t="s">
        <v>37</v>
      </c>
      <c r="B68" s="265">
        <f>+'CLC FY19 Actuals'!G19</f>
        <v>46735.76</v>
      </c>
      <c r="C68" s="449">
        <v>38265.769999999997</v>
      </c>
      <c r="D68" s="449">
        <v>46939.81</v>
      </c>
      <c r="E68" s="426">
        <v>41164.04</v>
      </c>
      <c r="F68" s="265">
        <v>58516.85</v>
      </c>
      <c r="G68" s="146">
        <v>72262.009999999995</v>
      </c>
      <c r="H68" s="170">
        <v>62736.3</v>
      </c>
      <c r="I68" s="97">
        <v>63305.96</v>
      </c>
      <c r="J68" s="100">
        <v>64527.92</v>
      </c>
      <c r="K68" s="85">
        <v>88233.52</v>
      </c>
      <c r="L68" s="75"/>
    </row>
    <row r="69" spans="1:12" x14ac:dyDescent="0.25">
      <c r="A69" s="76" t="s">
        <v>38</v>
      </c>
      <c r="B69" s="265">
        <f>+'CLC FY19 Actuals'!G20</f>
        <v>35212.26</v>
      </c>
      <c r="C69" s="449">
        <v>24399.69</v>
      </c>
      <c r="D69" s="449">
        <v>35991.040000000001</v>
      </c>
      <c r="E69" s="426">
        <v>30563.11</v>
      </c>
      <c r="F69" s="265">
        <v>34735.589999999997</v>
      </c>
      <c r="G69" s="146">
        <v>53008.54</v>
      </c>
      <c r="H69" s="170">
        <v>47764.26</v>
      </c>
      <c r="I69" s="97">
        <v>52148.66</v>
      </c>
      <c r="J69" s="88">
        <v>71761.69</v>
      </c>
      <c r="K69" s="85">
        <v>75978.28</v>
      </c>
      <c r="L69" s="75"/>
    </row>
    <row r="70" spans="1:12" x14ac:dyDescent="0.25">
      <c r="A70" s="76" t="s">
        <v>39</v>
      </c>
      <c r="B70" s="265">
        <f>+'CLC FY19 Actuals'!G21</f>
        <v>21539.68</v>
      </c>
      <c r="C70" s="449">
        <v>19679.48</v>
      </c>
      <c r="D70" s="449">
        <v>15535.5</v>
      </c>
      <c r="E70" s="426">
        <v>13715.51</v>
      </c>
      <c r="F70" s="265">
        <v>26252.6</v>
      </c>
      <c r="G70" s="146">
        <v>33197.03</v>
      </c>
      <c r="H70" s="170">
        <v>30070.07</v>
      </c>
      <c r="I70" s="97">
        <v>35388.959999999999</v>
      </c>
      <c r="J70" s="101">
        <v>27413.64</v>
      </c>
      <c r="K70" s="85">
        <v>43560.08</v>
      </c>
      <c r="L70" s="75"/>
    </row>
    <row r="71" spans="1:12" x14ac:dyDescent="0.25">
      <c r="A71" s="76" t="s">
        <v>40</v>
      </c>
      <c r="B71" s="265">
        <f>+'CLC FY19 Actuals'!G22</f>
        <v>7408.56</v>
      </c>
      <c r="C71" s="449">
        <v>7824.76</v>
      </c>
      <c r="D71" s="449">
        <v>12907.68</v>
      </c>
      <c r="E71" s="426">
        <v>8816.33</v>
      </c>
      <c r="F71" s="265">
        <v>12923.65</v>
      </c>
      <c r="G71" s="146">
        <v>17907.27</v>
      </c>
      <c r="H71" s="170">
        <v>17480.22</v>
      </c>
      <c r="I71" s="97">
        <v>14942.49</v>
      </c>
      <c r="J71" s="103">
        <v>11070.46</v>
      </c>
      <c r="K71" s="85">
        <v>18835.05</v>
      </c>
      <c r="L71" s="75"/>
    </row>
    <row r="72" spans="1:12" x14ac:dyDescent="0.25">
      <c r="A72" s="76" t="s">
        <v>41</v>
      </c>
      <c r="B72" s="265">
        <f>+'CLC FY19 Actuals'!G23</f>
        <v>5150.91</v>
      </c>
      <c r="C72" s="449">
        <v>5952.47</v>
      </c>
      <c r="D72" s="449">
        <v>8358</v>
      </c>
      <c r="E72" s="426">
        <v>6511.65</v>
      </c>
      <c r="F72" s="265">
        <v>7791.71</v>
      </c>
      <c r="G72" s="146">
        <v>11109.49</v>
      </c>
      <c r="H72" s="170">
        <v>10824.29</v>
      </c>
      <c r="I72" s="97">
        <v>8970.92</v>
      </c>
      <c r="J72" s="103">
        <v>9240.92</v>
      </c>
      <c r="K72" s="87">
        <v>9527.9500000000007</v>
      </c>
      <c r="L72" s="75"/>
    </row>
    <row r="73" spans="1:12" x14ac:dyDescent="0.25">
      <c r="A73" s="76" t="s">
        <v>42</v>
      </c>
      <c r="B73" s="265">
        <f>+'CLC FY19 Actuals'!G24</f>
        <v>3916.4</v>
      </c>
      <c r="C73" s="449">
        <v>4190.13</v>
      </c>
      <c r="D73" s="449">
        <v>5057.59</v>
      </c>
      <c r="E73" s="426">
        <v>3940.18</v>
      </c>
      <c r="F73" s="265">
        <v>5354.04</v>
      </c>
      <c r="G73" s="146">
        <v>6517.76</v>
      </c>
      <c r="H73" s="170">
        <v>6017.99</v>
      </c>
      <c r="I73" s="97">
        <v>5533.45</v>
      </c>
      <c r="J73" s="103">
        <v>6435.07</v>
      </c>
      <c r="K73" s="86">
        <v>6047.16</v>
      </c>
      <c r="L73" s="75"/>
    </row>
    <row r="74" spans="1:12" x14ac:dyDescent="0.25">
      <c r="A74" s="76"/>
      <c r="B74" s="148"/>
      <c r="C74" s="450"/>
      <c r="D74" s="344"/>
      <c r="E74" s="148"/>
      <c r="F74" s="148"/>
      <c r="G74" s="148"/>
      <c r="H74" s="171"/>
      <c r="I74" s="76"/>
      <c r="J74" s="77"/>
      <c r="K74" s="77"/>
      <c r="L74" s="67"/>
    </row>
    <row r="75" spans="1:12" x14ac:dyDescent="0.25">
      <c r="A75" s="79" t="s">
        <v>43</v>
      </c>
      <c r="B75" s="154">
        <f t="shared" ref="B75:K75" si="10">SUM(B62:B74)</f>
        <v>188772.24</v>
      </c>
      <c r="C75" s="434">
        <f t="shared" ref="C75:D75" si="11">SUM(C62:C74)</f>
        <v>168109.58000000002</v>
      </c>
      <c r="D75" s="434">
        <f t="shared" si="11"/>
        <v>203263.97999999998</v>
      </c>
      <c r="E75" s="427">
        <f t="shared" si="10"/>
        <v>178542.21999999997</v>
      </c>
      <c r="F75" s="154">
        <f t="shared" si="10"/>
        <v>244774.23</v>
      </c>
      <c r="G75" s="154">
        <f t="shared" si="10"/>
        <v>293386.34000000003</v>
      </c>
      <c r="H75" s="154">
        <f t="shared" si="10"/>
        <v>277142.73000000004</v>
      </c>
      <c r="I75" s="80">
        <f t="shared" si="10"/>
        <v>301025.68</v>
      </c>
      <c r="J75" s="80">
        <f t="shared" si="10"/>
        <v>294663.23000000004</v>
      </c>
      <c r="K75" s="80">
        <f t="shared" si="10"/>
        <v>361128.58999999997</v>
      </c>
      <c r="L75" s="78"/>
    </row>
    <row r="76" spans="1:12" s="267" customFormat="1" x14ac:dyDescent="0.25">
      <c r="A76" s="269" t="s">
        <v>187</v>
      </c>
      <c r="B76" s="268"/>
      <c r="C76" s="268"/>
      <c r="D76" s="268"/>
      <c r="E76" s="268"/>
      <c r="F76" s="268"/>
      <c r="G76" s="270">
        <f>+'CLC DTH Comparison'!$D$130</f>
        <v>293386.34000000003</v>
      </c>
      <c r="H76" s="270">
        <f>+'CLC DTH Comparison'!$D$150</f>
        <v>276525.14</v>
      </c>
      <c r="I76" s="270">
        <f>+'CLC DTH Comparison'!$D$170</f>
        <v>301025.68</v>
      </c>
      <c r="J76" s="268"/>
      <c r="K76" s="268"/>
      <c r="L76" s="266"/>
    </row>
    <row r="77" spans="1:12" x14ac:dyDescent="0.25">
      <c r="A77" s="260" t="s">
        <v>185</v>
      </c>
      <c r="B77" s="261">
        <f>+B75-C75</f>
        <v>20662.659999999974</v>
      </c>
      <c r="C77" s="429">
        <f>+C75-D75</f>
        <v>-35154.399999999965</v>
      </c>
      <c r="D77" s="429">
        <f>+D75-E75</f>
        <v>24721.760000000009</v>
      </c>
      <c r="E77" s="429">
        <f>+E75-F75</f>
        <v>-66232.010000000038</v>
      </c>
      <c r="F77" s="261"/>
      <c r="G77" s="155"/>
      <c r="H77" s="172"/>
      <c r="I77" s="81"/>
      <c r="J77" s="82"/>
      <c r="K77" s="82"/>
      <c r="L77" s="83"/>
    </row>
    <row r="78" spans="1:12" x14ac:dyDescent="0.25">
      <c r="A78" s="81"/>
      <c r="B78" s="175">
        <f>(+B75-C75)/C75</f>
        <v>0.12291185309010927</v>
      </c>
      <c r="C78" s="436">
        <f>(+C75-D75)/D75</f>
        <v>-0.17294948175274324</v>
      </c>
      <c r="D78" s="436">
        <f t="shared" ref="D78:J78" si="12">(+D75-E75)/E75</f>
        <v>0.13846450436204957</v>
      </c>
      <c r="E78" s="428">
        <f t="shared" si="12"/>
        <v>-0.27058408068529122</v>
      </c>
      <c r="F78" s="175">
        <f t="shared" si="12"/>
        <v>-0.16569316076542626</v>
      </c>
      <c r="G78" s="175">
        <f t="shared" si="12"/>
        <v>5.8610990806073043E-2</v>
      </c>
      <c r="H78" s="175">
        <f t="shared" si="12"/>
        <v>-7.9338580017492041E-2</v>
      </c>
      <c r="I78" s="175">
        <f t="shared" si="12"/>
        <v>2.1592276715353839E-2</v>
      </c>
      <c r="J78" s="175">
        <f t="shared" si="12"/>
        <v>-0.18404901146154043</v>
      </c>
      <c r="K78" s="82"/>
      <c r="L78" s="83"/>
    </row>
    <row r="79" spans="1:12" x14ac:dyDescent="0.25">
      <c r="A79" s="84" t="s">
        <v>44</v>
      </c>
      <c r="B79" s="158"/>
      <c r="C79" s="158"/>
      <c r="D79" s="158"/>
      <c r="E79" s="158"/>
      <c r="F79" s="158"/>
      <c r="G79" s="158"/>
      <c r="H79" s="173"/>
      <c r="I79" s="84"/>
      <c r="J79" s="82"/>
      <c r="K79" s="82"/>
      <c r="L79" s="83"/>
    </row>
    <row r="80" spans="1:12" x14ac:dyDescent="0.25">
      <c r="A80" s="76"/>
      <c r="B80" s="148"/>
      <c r="C80" s="450"/>
      <c r="D80" s="344"/>
      <c r="E80" s="148"/>
      <c r="F80" s="148"/>
      <c r="G80" s="148"/>
      <c r="H80" s="171"/>
      <c r="I80" s="76"/>
      <c r="J80" s="76"/>
      <c r="K80" s="76"/>
      <c r="L80" s="83"/>
    </row>
    <row r="82" spans="1:12" s="267" customFormat="1" x14ac:dyDescent="0.25">
      <c r="A82" s="341"/>
      <c r="B82" s="341"/>
      <c r="C82" s="448"/>
      <c r="D82" s="341"/>
      <c r="E82" s="341"/>
      <c r="F82" s="341"/>
      <c r="G82" s="341"/>
      <c r="H82" s="37"/>
      <c r="I82" s="341"/>
      <c r="J82" s="341"/>
      <c r="K82" s="341"/>
      <c r="L82" s="341"/>
    </row>
    <row r="84" spans="1:12" x14ac:dyDescent="0.25">
      <c r="A84" s="114"/>
      <c r="B84" s="588" t="s">
        <v>76</v>
      </c>
      <c r="C84" s="589"/>
      <c r="D84" s="589"/>
      <c r="E84" s="589"/>
      <c r="F84" s="589"/>
      <c r="G84" s="589"/>
      <c r="H84" s="589"/>
      <c r="I84" s="589"/>
      <c r="J84" s="589"/>
      <c r="K84" s="590"/>
      <c r="L84" s="115"/>
    </row>
    <row r="85" spans="1:12" x14ac:dyDescent="0.25">
      <c r="A85" s="116" t="s">
        <v>11</v>
      </c>
      <c r="B85" s="591" t="s">
        <v>58</v>
      </c>
      <c r="C85" s="592"/>
      <c r="D85" s="592"/>
      <c r="E85" s="592"/>
      <c r="F85" s="592"/>
      <c r="G85" s="592"/>
      <c r="H85" s="592"/>
      <c r="I85" s="592"/>
      <c r="J85" s="592"/>
      <c r="K85" s="593"/>
      <c r="L85" s="115"/>
    </row>
    <row r="86" spans="1:12" x14ac:dyDescent="0.25">
      <c r="A86" s="116"/>
      <c r="B86" s="430" t="s">
        <v>290</v>
      </c>
      <c r="C86" s="430" t="s">
        <v>261</v>
      </c>
      <c r="D86" s="430" t="s">
        <v>248</v>
      </c>
      <c r="E86" s="141" t="s">
        <v>214</v>
      </c>
      <c r="F86" s="141" t="s">
        <v>186</v>
      </c>
      <c r="G86" s="141" t="s">
        <v>91</v>
      </c>
      <c r="H86" s="168" t="s">
        <v>85</v>
      </c>
      <c r="I86" s="117" t="s">
        <v>48</v>
      </c>
      <c r="J86" s="117" t="s">
        <v>68</v>
      </c>
      <c r="K86" s="117" t="s">
        <v>71</v>
      </c>
      <c r="L86" s="118"/>
    </row>
    <row r="87" spans="1:12" ht="15.75" thickBot="1" x14ac:dyDescent="0.3">
      <c r="A87" s="119"/>
      <c r="B87" s="143"/>
      <c r="C87" s="143"/>
      <c r="D87" s="143"/>
      <c r="E87" s="143"/>
      <c r="F87" s="143"/>
      <c r="G87" s="143"/>
      <c r="H87" s="169"/>
      <c r="I87" s="119"/>
      <c r="J87" s="119"/>
      <c r="K87" s="119"/>
      <c r="L87" s="120"/>
    </row>
    <row r="88" spans="1:12" x14ac:dyDescent="0.25">
      <c r="A88" s="121" t="s">
        <v>31</v>
      </c>
      <c r="B88" s="146">
        <f>+'CLC FY19 Actuals'!I13</f>
        <v>29649.26</v>
      </c>
      <c r="C88" s="449">
        <v>24935.86</v>
      </c>
      <c r="D88" s="449">
        <v>29459.57</v>
      </c>
      <c r="E88" s="431">
        <v>27605.84</v>
      </c>
      <c r="F88" s="265">
        <v>30015.09</v>
      </c>
      <c r="G88" s="271">
        <v>26005.08</v>
      </c>
      <c r="H88" s="170">
        <v>26270.18</v>
      </c>
      <c r="I88" s="122">
        <v>25625.33</v>
      </c>
      <c r="J88" s="149">
        <v>22596.59</v>
      </c>
      <c r="K88" s="134">
        <v>25357.09</v>
      </c>
      <c r="L88" s="123"/>
    </row>
    <row r="89" spans="1:12" x14ac:dyDescent="0.25">
      <c r="A89" s="124" t="s">
        <v>32</v>
      </c>
      <c r="B89" s="146">
        <f>+'CLC FY19 Actuals'!I14</f>
        <v>28956.35</v>
      </c>
      <c r="C89" s="449">
        <v>33419.46</v>
      </c>
      <c r="D89" s="449">
        <v>31351.26</v>
      </c>
      <c r="E89" s="431">
        <v>29382.720000000001</v>
      </c>
      <c r="F89" s="265">
        <v>32967.06</v>
      </c>
      <c r="G89" s="271">
        <v>27418.98</v>
      </c>
      <c r="H89" s="170">
        <v>28145.02</v>
      </c>
      <c r="I89" s="122">
        <v>28362.36</v>
      </c>
      <c r="J89" s="149">
        <v>22275.66</v>
      </c>
      <c r="K89" s="134">
        <v>23756.1</v>
      </c>
      <c r="L89" s="123"/>
    </row>
    <row r="90" spans="1:12" x14ac:dyDescent="0.25">
      <c r="A90" s="124" t="s">
        <v>33</v>
      </c>
      <c r="B90" s="265">
        <f>+'CLC FY19 Actuals'!I15</f>
        <v>39099.800000000003</v>
      </c>
      <c r="C90" s="449">
        <v>34952.83</v>
      </c>
      <c r="D90" s="449">
        <v>36578.42</v>
      </c>
      <c r="E90" s="431">
        <v>32092.26</v>
      </c>
      <c r="F90" s="265">
        <v>35670.65</v>
      </c>
      <c r="G90" s="271">
        <v>29683.11</v>
      </c>
      <c r="H90" s="170">
        <v>34423.949999999997</v>
      </c>
      <c r="I90" s="146">
        <v>35171.49</v>
      </c>
      <c r="J90" s="149">
        <v>26733.59</v>
      </c>
      <c r="K90" s="134">
        <v>25762.49</v>
      </c>
      <c r="L90" s="123"/>
    </row>
    <row r="91" spans="1:12" x14ac:dyDescent="0.25">
      <c r="A91" s="124" t="s">
        <v>34</v>
      </c>
      <c r="B91" s="265">
        <f>+'CLC FY19 Actuals'!I16</f>
        <v>32961.03</v>
      </c>
      <c r="C91" s="449">
        <v>36910.39</v>
      </c>
      <c r="D91" s="449">
        <v>39352.720000000001</v>
      </c>
      <c r="E91" s="431">
        <v>34766.410000000003</v>
      </c>
      <c r="F91" s="265">
        <v>36668.97</v>
      </c>
      <c r="G91" s="271">
        <v>34775.019999999997</v>
      </c>
      <c r="H91" s="170">
        <v>34875.339999999997</v>
      </c>
      <c r="I91" s="146">
        <v>35405.550000000003</v>
      </c>
      <c r="J91" s="149">
        <v>33888.959999999999</v>
      </c>
      <c r="K91" s="134">
        <v>27659.119999999999</v>
      </c>
      <c r="L91" s="123"/>
    </row>
    <row r="92" spans="1:12" x14ac:dyDescent="0.25">
      <c r="A92" s="124" t="s">
        <v>35</v>
      </c>
      <c r="B92" s="265">
        <f>+'CLC FY19 Actuals'!I17</f>
        <v>35137.26</v>
      </c>
      <c r="C92" s="449">
        <v>33018.99</v>
      </c>
      <c r="D92" s="449">
        <v>33664.49</v>
      </c>
      <c r="E92" s="431">
        <v>33687.15</v>
      </c>
      <c r="F92" s="265">
        <v>32260.12</v>
      </c>
      <c r="G92" s="271">
        <v>32802.26</v>
      </c>
      <c r="H92" s="170">
        <v>33406.519999999997</v>
      </c>
      <c r="I92" s="146">
        <v>33043.49</v>
      </c>
      <c r="J92" s="149">
        <v>31959.19</v>
      </c>
      <c r="K92" s="134">
        <v>26545.17</v>
      </c>
      <c r="L92" s="123"/>
    </row>
    <row r="93" spans="1:12" x14ac:dyDescent="0.25">
      <c r="A93" s="124" t="s">
        <v>36</v>
      </c>
      <c r="B93" s="265">
        <f>+'CLC FY19 Actuals'!I18</f>
        <v>30347.45</v>
      </c>
      <c r="C93" s="449">
        <v>29433.22</v>
      </c>
      <c r="D93" s="449">
        <v>28584.86</v>
      </c>
      <c r="E93" s="431">
        <v>26625.14</v>
      </c>
      <c r="F93" s="265">
        <v>25983.58</v>
      </c>
      <c r="G93" s="271">
        <v>30277.8</v>
      </c>
      <c r="H93" s="170">
        <v>26523.35</v>
      </c>
      <c r="I93" s="146">
        <v>28085.32</v>
      </c>
      <c r="J93" s="149">
        <v>27034.46</v>
      </c>
      <c r="K93" s="134">
        <v>23888.62</v>
      </c>
      <c r="L93" s="123"/>
    </row>
    <row r="94" spans="1:12" x14ac:dyDescent="0.25">
      <c r="A94" s="124" t="s">
        <v>37</v>
      </c>
      <c r="B94" s="265">
        <f>+'CLC FY19 Actuals'!I19</f>
        <v>22580.47</v>
      </c>
      <c r="C94" s="449">
        <v>23816.13</v>
      </c>
      <c r="D94" s="449">
        <v>23120.58</v>
      </c>
      <c r="E94" s="431">
        <v>24872.62</v>
      </c>
      <c r="F94" s="265">
        <v>20710.150000000001</v>
      </c>
      <c r="G94" s="271">
        <v>28316.99</v>
      </c>
      <c r="H94" s="170">
        <v>31811.119999999999</v>
      </c>
      <c r="I94" s="146">
        <v>21839.83</v>
      </c>
      <c r="J94" s="149">
        <v>21218.86</v>
      </c>
      <c r="K94" s="134">
        <v>19004.169999999998</v>
      </c>
      <c r="L94" s="123"/>
    </row>
    <row r="95" spans="1:12" x14ac:dyDescent="0.25">
      <c r="A95" s="124" t="s">
        <v>38</v>
      </c>
      <c r="B95" s="265">
        <f>+'CLC FY19 Actuals'!I20</f>
        <v>26872.34</v>
      </c>
      <c r="C95" s="449">
        <v>24580.18</v>
      </c>
      <c r="D95" s="449">
        <v>24711.91</v>
      </c>
      <c r="E95" s="431">
        <v>22425.03</v>
      </c>
      <c r="F95" s="265">
        <v>24266.37</v>
      </c>
      <c r="G95" s="271">
        <v>30925.040000000001</v>
      </c>
      <c r="H95" s="170">
        <v>30772.18</v>
      </c>
      <c r="I95" s="146">
        <v>27328.21</v>
      </c>
      <c r="J95" s="137">
        <v>24722.54</v>
      </c>
      <c r="K95" s="137">
        <v>23569.75</v>
      </c>
      <c r="L95" s="123"/>
    </row>
    <row r="96" spans="1:12" x14ac:dyDescent="0.25">
      <c r="A96" s="124" t="s">
        <v>39</v>
      </c>
      <c r="B96" s="265">
        <f>+'CLC FY19 Actuals'!I21</f>
        <v>27776.02</v>
      </c>
      <c r="C96" s="449">
        <v>28316.13</v>
      </c>
      <c r="D96" s="449">
        <v>27736.51</v>
      </c>
      <c r="E96" s="431">
        <v>30927.08</v>
      </c>
      <c r="F96" s="265">
        <v>24020.38</v>
      </c>
      <c r="G96" s="271">
        <v>33299.040000000001</v>
      </c>
      <c r="H96" s="170">
        <v>29172</v>
      </c>
      <c r="I96" s="146">
        <v>35009.08</v>
      </c>
      <c r="J96" s="152">
        <v>29243.66</v>
      </c>
      <c r="K96" s="137">
        <v>24994.32</v>
      </c>
      <c r="L96" s="123"/>
    </row>
    <row r="97" spans="1:12" x14ac:dyDescent="0.25">
      <c r="A97" s="124" t="s">
        <v>40</v>
      </c>
      <c r="B97" s="265">
        <f>+'CLC FY19 Actuals'!I22</f>
        <v>30073.45</v>
      </c>
      <c r="C97" s="449">
        <v>28874.68</v>
      </c>
      <c r="D97" s="449">
        <v>32950.49</v>
      </c>
      <c r="E97" s="431">
        <v>30055</v>
      </c>
      <c r="F97" s="265">
        <v>25111.84</v>
      </c>
      <c r="G97" s="271">
        <v>35739.910000000003</v>
      </c>
      <c r="H97" s="170">
        <v>30550.080000000002</v>
      </c>
      <c r="I97" s="146">
        <v>31756.18</v>
      </c>
      <c r="J97" s="152">
        <v>28966.61</v>
      </c>
      <c r="K97" s="137">
        <v>26764.65</v>
      </c>
      <c r="L97" s="123"/>
    </row>
    <row r="98" spans="1:12" x14ac:dyDescent="0.25">
      <c r="A98" s="124" t="s">
        <v>41</v>
      </c>
      <c r="B98" s="265">
        <f>+'CLC FY19 Actuals'!I23</f>
        <v>46634.42</v>
      </c>
      <c r="C98" s="449">
        <v>30803.24</v>
      </c>
      <c r="D98" s="449">
        <v>28990.6</v>
      </c>
      <c r="E98" s="431">
        <v>32826.660000000003</v>
      </c>
      <c r="F98" s="265">
        <v>25864.17</v>
      </c>
      <c r="G98" s="271">
        <v>56360.76</v>
      </c>
      <c r="H98" s="170">
        <v>31077.89</v>
      </c>
      <c r="I98" s="146">
        <v>31259.4</v>
      </c>
      <c r="J98" s="152">
        <v>29164.84</v>
      </c>
      <c r="K98" s="136">
        <v>28396.25</v>
      </c>
      <c r="L98" s="123"/>
    </row>
    <row r="99" spans="1:12" x14ac:dyDescent="0.25">
      <c r="A99" s="124" t="s">
        <v>42</v>
      </c>
      <c r="B99" s="265">
        <f>+'CLC FY19 Actuals'!I24</f>
        <v>45711.38</v>
      </c>
      <c r="C99" s="449">
        <v>25636.67</v>
      </c>
      <c r="D99" s="449">
        <v>29588.66</v>
      </c>
      <c r="E99" s="431">
        <v>29538.61</v>
      </c>
      <c r="F99" s="265">
        <v>23002.949999999997</v>
      </c>
      <c r="G99" s="271">
        <v>29573.24</v>
      </c>
      <c r="H99" s="170">
        <v>26322.720000000001</v>
      </c>
      <c r="I99" s="146">
        <v>28369.53</v>
      </c>
      <c r="J99" s="152">
        <v>23910.52</v>
      </c>
      <c r="K99" s="135">
        <v>23298.51</v>
      </c>
      <c r="L99" s="123"/>
    </row>
    <row r="100" spans="1:12" x14ac:dyDescent="0.25">
      <c r="A100" s="124"/>
      <c r="B100" s="148"/>
      <c r="C100" s="450"/>
      <c r="D100" s="344"/>
      <c r="E100" s="148"/>
      <c r="F100" s="148"/>
      <c r="G100" s="148"/>
      <c r="H100" s="171"/>
      <c r="I100" s="124"/>
      <c r="J100" s="125"/>
      <c r="K100" s="125"/>
      <c r="L100" s="115"/>
    </row>
    <row r="101" spans="1:12" x14ac:dyDescent="0.25">
      <c r="A101" s="128" t="s">
        <v>43</v>
      </c>
      <c r="B101" s="154">
        <f t="shared" ref="B101:K101" si="13">SUM(B88:B100)</f>
        <v>395799.23000000004</v>
      </c>
      <c r="C101" s="434">
        <f t="shared" ref="C101:D101" si="14">SUM(C88:C100)</f>
        <v>354697.77999999997</v>
      </c>
      <c r="D101" s="434">
        <f t="shared" si="14"/>
        <v>366090.06999999995</v>
      </c>
      <c r="E101" s="427">
        <f t="shared" si="13"/>
        <v>354804.52</v>
      </c>
      <c r="F101" s="427">
        <f t="shared" si="13"/>
        <v>336541.32999999996</v>
      </c>
      <c r="G101" s="154">
        <f t="shared" si="13"/>
        <v>395177.23</v>
      </c>
      <c r="H101" s="154">
        <f t="shared" si="13"/>
        <v>363350.35</v>
      </c>
      <c r="I101" s="129">
        <f t="shared" si="13"/>
        <v>361255.77</v>
      </c>
      <c r="J101" s="129">
        <f t="shared" si="13"/>
        <v>321715.48000000004</v>
      </c>
      <c r="K101" s="129">
        <f t="shared" si="13"/>
        <v>298996.24</v>
      </c>
      <c r="L101" s="126"/>
    </row>
    <row r="102" spans="1:12" x14ac:dyDescent="0.25">
      <c r="A102" s="130"/>
      <c r="B102" s="155"/>
      <c r="C102" s="155"/>
      <c r="D102" s="155"/>
      <c r="E102" s="155"/>
      <c r="F102" s="155"/>
      <c r="G102" s="155"/>
      <c r="H102" s="172"/>
      <c r="I102" s="130"/>
      <c r="J102" s="131"/>
      <c r="K102" s="131"/>
      <c r="L102" s="132"/>
    </row>
    <row r="103" spans="1:12" x14ac:dyDescent="0.25">
      <c r="A103" s="260" t="s">
        <v>185</v>
      </c>
      <c r="B103" s="175">
        <f>(+B101-C101)/C101</f>
        <v>0.11587738158383758</v>
      </c>
      <c r="C103" s="436">
        <f>(+C101-D101)/D101</f>
        <v>-3.1118817289963588E-2</v>
      </c>
      <c r="D103" s="436">
        <f>(+D101-E101)/E101</f>
        <v>3.1807796586131226E-2</v>
      </c>
      <c r="E103" s="432">
        <f>(+E101-F101)/F101</f>
        <v>5.4267302027956162E-2</v>
      </c>
      <c r="F103" s="175">
        <f t="shared" ref="F103:J103" si="15">(+F101-G101)/G101</f>
        <v>-0.14837874135612528</v>
      </c>
      <c r="G103" s="175">
        <f t="shared" si="15"/>
        <v>8.7592815033754629E-2</v>
      </c>
      <c r="H103" s="175">
        <f t="shared" si="15"/>
        <v>5.7980527203758099E-3</v>
      </c>
      <c r="I103" s="175">
        <f t="shared" si="15"/>
        <v>0.12290453042545535</v>
      </c>
      <c r="J103" s="175">
        <f t="shared" si="15"/>
        <v>7.5985035798443651E-2</v>
      </c>
      <c r="K103" s="131"/>
      <c r="L103" s="132"/>
    </row>
    <row r="104" spans="1:12" x14ac:dyDescent="0.25">
      <c r="A104" s="133" t="s">
        <v>44</v>
      </c>
      <c r="B104" s="158"/>
      <c r="C104" s="158"/>
      <c r="D104" s="158"/>
      <c r="E104" s="158"/>
      <c r="F104" s="158"/>
      <c r="G104" s="158"/>
      <c r="H104" s="173"/>
      <c r="I104" s="133"/>
      <c r="J104" s="131"/>
      <c r="K104" s="131"/>
      <c r="L104" s="132"/>
    </row>
    <row r="105" spans="1:12" x14ac:dyDescent="0.25">
      <c r="A105" s="124"/>
      <c r="B105" s="148"/>
      <c r="C105" s="450"/>
      <c r="D105" s="344"/>
      <c r="E105" s="148"/>
      <c r="F105" s="148"/>
      <c r="G105" s="148"/>
      <c r="H105" s="171"/>
      <c r="I105" s="124"/>
      <c r="J105" s="124"/>
      <c r="K105" s="124"/>
      <c r="L105" s="132"/>
    </row>
    <row r="109" spans="1:12" x14ac:dyDescent="0.25">
      <c r="A109" s="89"/>
      <c r="B109" s="588" t="s">
        <v>76</v>
      </c>
      <c r="C109" s="589"/>
      <c r="D109" s="589"/>
      <c r="E109" s="589"/>
      <c r="F109" s="589"/>
      <c r="G109" s="589"/>
      <c r="H109" s="589"/>
      <c r="I109" s="589"/>
      <c r="J109" s="589"/>
      <c r="K109" s="590"/>
      <c r="L109" s="90"/>
    </row>
    <row r="110" spans="1:12" ht="24" customHeight="1" x14ac:dyDescent="0.25">
      <c r="A110" s="91" t="s">
        <v>11</v>
      </c>
      <c r="B110" s="591" t="s">
        <v>78</v>
      </c>
      <c r="C110" s="592"/>
      <c r="D110" s="592"/>
      <c r="E110" s="592"/>
      <c r="F110" s="592"/>
      <c r="G110" s="592"/>
      <c r="H110" s="592"/>
      <c r="I110" s="592"/>
      <c r="J110" s="592"/>
      <c r="K110" s="593"/>
      <c r="L110" s="90"/>
    </row>
    <row r="111" spans="1:12" x14ac:dyDescent="0.25">
      <c r="A111" s="91"/>
      <c r="B111" s="430" t="s">
        <v>290</v>
      </c>
      <c r="C111" s="430" t="s">
        <v>261</v>
      </c>
      <c r="D111" s="430" t="s">
        <v>248</v>
      </c>
      <c r="E111" s="430" t="s">
        <v>214</v>
      </c>
      <c r="F111" s="141" t="s">
        <v>186</v>
      </c>
      <c r="G111" s="141" t="s">
        <v>91</v>
      </c>
      <c r="H111" s="168" t="s">
        <v>85</v>
      </c>
      <c r="I111" s="92" t="s">
        <v>48</v>
      </c>
      <c r="J111" s="92" t="s">
        <v>68</v>
      </c>
      <c r="K111" s="92" t="s">
        <v>71</v>
      </c>
      <c r="L111" s="93"/>
    </row>
    <row r="112" spans="1:12" ht="15.75" thickBot="1" x14ac:dyDescent="0.3">
      <c r="A112" s="94"/>
      <c r="B112" s="143"/>
      <c r="C112" s="143"/>
      <c r="D112" s="143"/>
      <c r="E112" s="143"/>
      <c r="F112" s="143"/>
      <c r="G112" s="143"/>
      <c r="H112" s="169"/>
      <c r="I112" s="94"/>
      <c r="J112" s="94"/>
      <c r="K112" s="94"/>
      <c r="L112" s="95"/>
    </row>
    <row r="113" spans="1:12" x14ac:dyDescent="0.25">
      <c r="A113" s="96" t="s">
        <v>31</v>
      </c>
      <c r="B113" s="146">
        <f>+'CLC FY19 Actuals'!H13</f>
        <v>2173.1799999999998</v>
      </c>
      <c r="C113" s="449">
        <v>2376.4299999999998</v>
      </c>
      <c r="D113" s="449">
        <v>2099.27</v>
      </c>
      <c r="E113" s="433">
        <v>1983.57</v>
      </c>
      <c r="F113" s="265">
        <v>1918.45</v>
      </c>
      <c r="G113" s="272">
        <v>2095.6799999999998</v>
      </c>
      <c r="H113" s="170">
        <v>2501.48</v>
      </c>
      <c r="I113" s="97">
        <v>1898.43</v>
      </c>
      <c r="J113" s="125">
        <v>1017.18</v>
      </c>
      <c r="K113" s="110">
        <v>1397.83</v>
      </c>
      <c r="L113" s="98"/>
    </row>
    <row r="114" spans="1:12" x14ac:dyDescent="0.25">
      <c r="A114" s="99" t="s">
        <v>32</v>
      </c>
      <c r="B114" s="265">
        <f>+'CLC FY19 Actuals'!H14</f>
        <v>1866.98</v>
      </c>
      <c r="C114" s="449">
        <v>1830.03</v>
      </c>
      <c r="D114" s="449">
        <v>1843.23</v>
      </c>
      <c r="E114" s="433">
        <v>1778.88</v>
      </c>
      <c r="F114" s="265">
        <v>1485.55</v>
      </c>
      <c r="G114" s="272">
        <v>2027.44</v>
      </c>
      <c r="H114" s="170">
        <v>2172.71</v>
      </c>
      <c r="I114" s="122">
        <v>1967.93</v>
      </c>
      <c r="J114" s="125">
        <v>1169.73</v>
      </c>
      <c r="K114" s="110">
        <v>1180.52</v>
      </c>
      <c r="L114" s="98"/>
    </row>
    <row r="115" spans="1:12" x14ac:dyDescent="0.25">
      <c r="A115" s="99" t="s">
        <v>33</v>
      </c>
      <c r="B115" s="265">
        <f>+'CLC FY19 Actuals'!H15</f>
        <v>1550.79</v>
      </c>
      <c r="C115" s="449">
        <v>1893.38</v>
      </c>
      <c r="D115" s="449">
        <v>1280.99</v>
      </c>
      <c r="E115" s="433">
        <v>1769.01</v>
      </c>
      <c r="F115" s="265">
        <v>1184.93</v>
      </c>
      <c r="G115" s="272">
        <v>1776.53</v>
      </c>
      <c r="H115" s="170">
        <v>1840.36</v>
      </c>
      <c r="I115" s="122">
        <v>1712.36</v>
      </c>
      <c r="J115" s="125">
        <v>906.23</v>
      </c>
      <c r="K115" s="110">
        <v>750.59</v>
      </c>
      <c r="L115" s="98"/>
    </row>
    <row r="116" spans="1:12" x14ac:dyDescent="0.25">
      <c r="A116" s="99" t="s">
        <v>34</v>
      </c>
      <c r="B116" s="265">
        <f>+'CLC FY19 Actuals'!H16</f>
        <v>984.67</v>
      </c>
      <c r="C116" s="449">
        <v>1046.57</v>
      </c>
      <c r="D116" s="449">
        <v>957.15</v>
      </c>
      <c r="E116" s="433">
        <v>1091.08</v>
      </c>
      <c r="F116" s="265">
        <v>863.08</v>
      </c>
      <c r="G116" s="272">
        <v>998.22</v>
      </c>
      <c r="H116" s="170">
        <v>1352.37</v>
      </c>
      <c r="I116" s="122">
        <v>1163.67</v>
      </c>
      <c r="J116" s="125">
        <v>911.34</v>
      </c>
      <c r="K116" s="110">
        <v>815.32</v>
      </c>
      <c r="L116" s="98"/>
    </row>
    <row r="117" spans="1:12" x14ac:dyDescent="0.25">
      <c r="A117" s="99" t="s">
        <v>35</v>
      </c>
      <c r="B117" s="265">
        <f>+'CLC FY19 Actuals'!H17</f>
        <v>665.97</v>
      </c>
      <c r="C117" s="449">
        <v>753.09</v>
      </c>
      <c r="D117" s="449">
        <v>966.32</v>
      </c>
      <c r="E117" s="433">
        <v>646.01</v>
      </c>
      <c r="F117" s="265">
        <v>649.41</v>
      </c>
      <c r="G117" s="272">
        <v>745.76</v>
      </c>
      <c r="H117" s="170">
        <v>877.69</v>
      </c>
      <c r="I117" s="122">
        <v>979.56</v>
      </c>
      <c r="J117" s="125">
        <v>1104.6300000000001</v>
      </c>
      <c r="K117" s="110">
        <v>442.4</v>
      </c>
      <c r="L117" s="98"/>
    </row>
    <row r="118" spans="1:12" x14ac:dyDescent="0.25">
      <c r="A118" s="99" t="s">
        <v>36</v>
      </c>
      <c r="B118" s="265">
        <f>+'CLC FY19 Actuals'!H18</f>
        <v>341.88</v>
      </c>
      <c r="C118" s="449">
        <v>592.6</v>
      </c>
      <c r="D118" s="449">
        <v>1129.1099999999999</v>
      </c>
      <c r="E118" s="433">
        <v>654.49</v>
      </c>
      <c r="F118" s="265">
        <v>411.07</v>
      </c>
      <c r="G118" s="272">
        <v>362.94</v>
      </c>
      <c r="H118" s="170">
        <v>505</v>
      </c>
      <c r="I118" s="122">
        <v>1290.3399999999999</v>
      </c>
      <c r="J118" s="125">
        <v>666.88</v>
      </c>
      <c r="K118" s="110">
        <v>356.11</v>
      </c>
      <c r="L118" s="98"/>
    </row>
    <row r="119" spans="1:12" x14ac:dyDescent="0.25">
      <c r="A119" s="99" t="s">
        <v>37</v>
      </c>
      <c r="B119" s="265">
        <f>+'CLC FY19 Actuals'!H19</f>
        <v>650.80999999999995</v>
      </c>
      <c r="C119" s="449">
        <v>347.27</v>
      </c>
      <c r="D119" s="449">
        <v>544.45000000000005</v>
      </c>
      <c r="E119" s="433">
        <v>498.59</v>
      </c>
      <c r="F119" s="265">
        <v>963.68</v>
      </c>
      <c r="G119" s="272">
        <v>488.49</v>
      </c>
      <c r="H119" s="170">
        <v>471.62</v>
      </c>
      <c r="I119" s="122">
        <v>560.76</v>
      </c>
      <c r="J119" s="125">
        <v>1180.43</v>
      </c>
      <c r="K119" s="110">
        <v>240.53</v>
      </c>
      <c r="L119" s="98"/>
    </row>
    <row r="120" spans="1:12" x14ac:dyDescent="0.25">
      <c r="A120" s="99" t="s">
        <v>38</v>
      </c>
      <c r="B120" s="265">
        <f>+'CLC FY19 Actuals'!H20</f>
        <v>820.84</v>
      </c>
      <c r="C120" s="449">
        <v>549.03</v>
      </c>
      <c r="D120" s="449">
        <v>516.94000000000005</v>
      </c>
      <c r="E120" s="433">
        <v>608.65</v>
      </c>
      <c r="F120" s="265">
        <v>522.86</v>
      </c>
      <c r="G120" s="272">
        <v>673.72</v>
      </c>
      <c r="H120" s="170">
        <v>523.54</v>
      </c>
      <c r="I120" s="122">
        <v>452.75</v>
      </c>
      <c r="J120" s="113">
        <v>1557.53</v>
      </c>
      <c r="K120" s="137">
        <v>251.32</v>
      </c>
      <c r="L120" s="98"/>
    </row>
    <row r="121" spans="1:12" x14ac:dyDescent="0.25">
      <c r="A121" s="99" t="s">
        <v>39</v>
      </c>
      <c r="B121" s="265">
        <f>+'CLC FY19 Actuals'!H21</f>
        <v>902.26</v>
      </c>
      <c r="C121" s="449">
        <v>810.41</v>
      </c>
      <c r="D121" s="449">
        <v>918.18</v>
      </c>
      <c r="E121" s="433">
        <v>622.4</v>
      </c>
      <c r="F121" s="265">
        <v>740.1</v>
      </c>
      <c r="G121" s="272">
        <v>844.55</v>
      </c>
      <c r="H121" s="170">
        <v>594</v>
      </c>
      <c r="I121" s="122">
        <v>773</v>
      </c>
      <c r="J121" s="127">
        <v>1513.95</v>
      </c>
      <c r="K121" s="113">
        <v>557.97</v>
      </c>
      <c r="L121" s="98"/>
    </row>
    <row r="122" spans="1:12" x14ac:dyDescent="0.25">
      <c r="A122" s="99" t="s">
        <v>40</v>
      </c>
      <c r="B122" s="265">
        <f>+'CLC FY19 Actuals'!H22</f>
        <v>828.02</v>
      </c>
      <c r="C122" s="449">
        <v>1202.48</v>
      </c>
      <c r="D122" s="449">
        <v>1131.4100000000001</v>
      </c>
      <c r="E122" s="433">
        <v>581.13</v>
      </c>
      <c r="F122" s="265">
        <v>906.73</v>
      </c>
      <c r="G122" s="272">
        <v>1338.52</v>
      </c>
      <c r="H122" s="170">
        <v>820.21</v>
      </c>
      <c r="I122" s="122">
        <v>1095.1500000000001</v>
      </c>
      <c r="J122" s="127">
        <v>1352.87</v>
      </c>
      <c r="K122" s="137">
        <v>809.14</v>
      </c>
      <c r="L122" s="98"/>
    </row>
    <row r="123" spans="1:12" x14ac:dyDescent="0.25">
      <c r="A123" s="99" t="s">
        <v>41</v>
      </c>
      <c r="B123" s="265">
        <f>+'CLC FY19 Actuals'!H23</f>
        <v>1127.3699999999999</v>
      </c>
      <c r="C123" s="449">
        <v>1434.06</v>
      </c>
      <c r="D123" s="449">
        <v>1191.02</v>
      </c>
      <c r="E123" s="433">
        <v>1108.48</v>
      </c>
      <c r="F123" s="265">
        <v>826.58</v>
      </c>
      <c r="G123" s="272">
        <v>1406.44</v>
      </c>
      <c r="H123" s="170">
        <v>1419.12</v>
      </c>
      <c r="I123" s="122">
        <v>1235.3800000000001</v>
      </c>
      <c r="J123" s="127">
        <v>1019.35</v>
      </c>
      <c r="K123" s="112">
        <v>823.02</v>
      </c>
      <c r="L123" s="98"/>
    </row>
    <row r="124" spans="1:12" x14ac:dyDescent="0.25">
      <c r="A124" s="99" t="s">
        <v>42</v>
      </c>
      <c r="B124" s="265">
        <f>+'CLC FY19 Actuals'!H24</f>
        <v>1271.06</v>
      </c>
      <c r="C124" s="449">
        <v>2109.83</v>
      </c>
      <c r="D124" s="449">
        <v>2025.36</v>
      </c>
      <c r="E124" s="433">
        <v>1587.19</v>
      </c>
      <c r="F124" s="265">
        <v>1684.6899999999996</v>
      </c>
      <c r="G124" s="272">
        <v>2411.48</v>
      </c>
      <c r="H124" s="170">
        <v>2067.06</v>
      </c>
      <c r="I124" s="122">
        <v>1508.36</v>
      </c>
      <c r="J124" s="25">
        <v>1936.54</v>
      </c>
      <c r="K124" s="111">
        <v>1440.94</v>
      </c>
      <c r="L124" s="98"/>
    </row>
    <row r="125" spans="1:12" x14ac:dyDescent="0.25">
      <c r="A125" s="99"/>
      <c r="B125" s="148"/>
      <c r="C125" s="450"/>
      <c r="D125" s="344"/>
      <c r="E125" s="148"/>
      <c r="F125" s="148"/>
      <c r="G125" s="148"/>
      <c r="H125" s="171"/>
      <c r="I125" s="99"/>
      <c r="J125" s="100"/>
      <c r="K125" s="100"/>
      <c r="L125" s="90"/>
    </row>
    <row r="126" spans="1:12" x14ac:dyDescent="0.25">
      <c r="A126" s="104" t="s">
        <v>43</v>
      </c>
      <c r="B126" s="154">
        <f t="shared" ref="B126:K126" si="16">SUM(B113:B125)</f>
        <v>13183.83</v>
      </c>
      <c r="C126" s="434">
        <f t="shared" ref="C126:D126" si="17">SUM(C113:C125)</f>
        <v>14945.18</v>
      </c>
      <c r="D126" s="434">
        <f t="shared" si="17"/>
        <v>14603.430000000002</v>
      </c>
      <c r="E126" s="434">
        <f t="shared" si="16"/>
        <v>12929.479999999998</v>
      </c>
      <c r="F126" s="154">
        <f t="shared" si="16"/>
        <v>12157.129999999997</v>
      </c>
      <c r="G126" s="154">
        <f t="shared" si="16"/>
        <v>15169.769999999999</v>
      </c>
      <c r="H126" s="154">
        <f t="shared" si="16"/>
        <v>15145.159999999998</v>
      </c>
      <c r="I126" s="105">
        <f t="shared" si="16"/>
        <v>14637.690000000002</v>
      </c>
      <c r="J126" s="105">
        <f t="shared" si="16"/>
        <v>14336.66</v>
      </c>
      <c r="K126" s="105">
        <f t="shared" si="16"/>
        <v>9065.69</v>
      </c>
      <c r="L126" s="102"/>
    </row>
    <row r="127" spans="1:12" x14ac:dyDescent="0.25">
      <c r="A127" s="106"/>
      <c r="B127" s="155"/>
      <c r="C127" s="155"/>
      <c r="D127" s="155"/>
      <c r="E127" s="155"/>
      <c r="F127" s="155"/>
      <c r="G127" s="155"/>
      <c r="H127" s="172"/>
      <c r="I127" s="106"/>
      <c r="J127" s="107"/>
      <c r="K127" s="107"/>
      <c r="L127" s="108"/>
    </row>
    <row r="128" spans="1:12" x14ac:dyDescent="0.25">
      <c r="A128" s="260" t="s">
        <v>185</v>
      </c>
      <c r="B128" s="175">
        <f>(+B126-C126)/C126</f>
        <v>-0.117854050603606</v>
      </c>
      <c r="C128" s="436">
        <f>(+C126-D126)/D126</f>
        <v>2.3402036370907254E-2</v>
      </c>
      <c r="D128" s="436">
        <f>(+D126-E126)/E126</f>
        <v>0.12946769707675829</v>
      </c>
      <c r="E128" s="436">
        <f>(+E126-F126)/F126</f>
        <v>6.3530619480091144E-2</v>
      </c>
      <c r="F128" s="175">
        <f t="shared" ref="F128:J128" si="18">(+F126-G126)/G126</f>
        <v>-0.19859496880967883</v>
      </c>
      <c r="G128" s="175">
        <f t="shared" si="18"/>
        <v>1.6249415654902679E-3</v>
      </c>
      <c r="H128" s="175">
        <f t="shared" si="18"/>
        <v>3.466872163572228E-2</v>
      </c>
      <c r="I128" s="175">
        <f t="shared" si="18"/>
        <v>2.0997219715052355E-2</v>
      </c>
      <c r="J128" s="175">
        <f t="shared" si="18"/>
        <v>0.58141961615718152</v>
      </c>
      <c r="K128" s="107"/>
      <c r="L128" s="108"/>
    </row>
    <row r="129" spans="1:12" x14ac:dyDescent="0.25">
      <c r="A129" s="109" t="s">
        <v>44</v>
      </c>
      <c r="B129" s="158"/>
      <c r="C129" s="158"/>
      <c r="D129" s="158"/>
      <c r="E129" s="158"/>
      <c r="F129" s="158"/>
      <c r="G129" s="158"/>
      <c r="H129" s="173"/>
      <c r="I129" s="109"/>
      <c r="J129" s="107"/>
      <c r="K129" s="107"/>
      <c r="L129" s="108"/>
    </row>
    <row r="130" spans="1:12" x14ac:dyDescent="0.25">
      <c r="A130" s="99"/>
      <c r="B130" s="148"/>
      <c r="C130" s="450"/>
      <c r="D130" s="344"/>
      <c r="E130" s="148"/>
      <c r="F130" s="148"/>
      <c r="G130" s="148"/>
      <c r="H130" s="171"/>
      <c r="I130" s="99"/>
      <c r="J130" s="99"/>
      <c r="K130" s="99"/>
      <c r="L130" s="108"/>
    </row>
    <row r="132" spans="1:12" x14ac:dyDescent="0.25">
      <c r="B132" s="41">
        <f t="shared" ref="B132:K132" si="19">+B23+B49+B75+B101+B126</f>
        <v>4872541.1000000015</v>
      </c>
      <c r="C132" s="435"/>
      <c r="D132" s="435"/>
      <c r="E132" s="435">
        <f>+E23+E49+E75+E101+E126</f>
        <v>5240739.33</v>
      </c>
      <c r="F132" s="41">
        <f t="shared" si="19"/>
        <v>6339053.8200000012</v>
      </c>
      <c r="G132" s="41">
        <f t="shared" si="19"/>
        <v>7210724.0999999996</v>
      </c>
      <c r="H132" s="41">
        <f t="shared" si="19"/>
        <v>6850444.830000001</v>
      </c>
      <c r="I132" s="41">
        <f t="shared" si="19"/>
        <v>7400506.5499999998</v>
      </c>
      <c r="J132" s="41">
        <f t="shared" si="19"/>
        <v>7548743.7599999998</v>
      </c>
      <c r="K132" s="41">
        <f t="shared" si="19"/>
        <v>7185982.3800000008</v>
      </c>
    </row>
    <row r="133" spans="1:12" x14ac:dyDescent="0.25">
      <c r="F133" s="41">
        <f>+F126+F101</f>
        <v>348698.45999999996</v>
      </c>
      <c r="G133" s="41">
        <f>+G126+G101</f>
        <v>410347</v>
      </c>
    </row>
  </sheetData>
  <sheetProtection algorithmName="SHA-512" hashValue="Pz4QV+zvO0NY6+mj/r4+Txn4xgffQHcG70d85fdk6hgGkOVrRuI/67DV6P+7FAfJv1qDwpENBgroUVvWFTtFvg==" saltValue="G2ZYEnclhhH1YQ2c9F66pA==" spinCount="100000" sheet="1" objects="1" scenarios="1"/>
  <mergeCells count="10">
    <mergeCell ref="B59:K59"/>
    <mergeCell ref="B84:K84"/>
    <mergeCell ref="B85:K85"/>
    <mergeCell ref="B109:K109"/>
    <mergeCell ref="B110:K110"/>
    <mergeCell ref="B6:K6"/>
    <mergeCell ref="B7:K7"/>
    <mergeCell ref="B32:K32"/>
    <mergeCell ref="B33:K33"/>
    <mergeCell ref="B58:K58"/>
  </mergeCells>
  <conditionalFormatting sqref="K88:K99 J88:J98 K36:K47 J36:J46 K10:K21 J10:J20 K62:K73 J62:J72 K113:K124 J113:J123 I10:I21 A10:A21 A36:A47 A62:A73 A88:A99 A113:A124 G62:I73 G36:I47 G10:G21 G88:I99 G113:I124">
    <cfRule type="expression" dxfId="9" priority="11">
      <formula>MOD(ROW(),2)=0</formula>
    </cfRule>
  </conditionalFormatting>
  <conditionalFormatting sqref="H10:H21">
    <cfRule type="expression" dxfId="8" priority="3">
      <formula>MOD(ROW(),2)=0</formula>
    </cfRule>
  </conditionalFormatting>
  <conditionalFormatting sqref="B62:F73 B88:F99 B10:B21 B113:F124 B36:F47 D10:F21">
    <cfRule type="expression" dxfId="7" priority="2">
      <formula>MOD(ROW(),2)=0</formula>
    </cfRule>
  </conditionalFormatting>
  <conditionalFormatting sqref="C10:C21">
    <cfRule type="expression" dxfId="6" priority="1">
      <formula>MOD(ROW(),2)=0</formula>
    </cfRule>
  </conditionalFormatting>
  <pageMargins left="0.6" right="0.15" top="0.32" bottom="0.56000000000000005" header="0.3" footer="0.3"/>
  <pageSetup scale="38" fitToHeight="0" orientation="landscape" r:id="rId1"/>
  <headerFooter>
    <oddFooter>&amp;L&amp;8&amp;D&amp;R&amp;8&amp;Z&amp;F</oddFooter>
  </headerFooter>
  <rowBreaks count="1" manualBreakCount="1">
    <brk id="80"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U51"/>
  <sheetViews>
    <sheetView zoomScale="80" zoomScaleNormal="80" workbookViewId="0">
      <pane xSplit="1" topLeftCell="B1" activePane="topRight" state="frozen"/>
      <selection activeCell="A8" sqref="A8"/>
      <selection pane="topRight" activeCell="B21" sqref="B21"/>
    </sheetView>
  </sheetViews>
  <sheetFormatPr defaultRowHeight="15" x14ac:dyDescent="0.25"/>
  <cols>
    <col min="1" max="1" width="23.5703125" customWidth="1"/>
    <col min="2" max="2" width="15.140625" bestFit="1" customWidth="1"/>
    <col min="3" max="3" width="13.5703125" bestFit="1" customWidth="1"/>
    <col min="4" max="4" width="16.28515625" customWidth="1"/>
    <col min="5" max="5" width="12.85546875" bestFit="1" customWidth="1"/>
    <col min="6" max="6" width="12.85546875" customWidth="1"/>
    <col min="7" max="7" width="12.42578125" customWidth="1"/>
    <col min="8" max="8" width="12.7109375" customWidth="1"/>
    <col min="9" max="9" width="12" customWidth="1"/>
    <col min="10" max="10" width="13.140625" customWidth="1"/>
    <col min="11" max="11" width="12" style="293" customWidth="1"/>
    <col min="12" max="12" width="11.85546875" style="293" customWidth="1"/>
    <col min="13" max="13" width="12" customWidth="1"/>
    <col min="14" max="14" width="11.85546875" customWidth="1"/>
    <col min="15" max="15" width="14.140625" customWidth="1"/>
    <col min="16" max="16" width="12" customWidth="1"/>
    <col min="17" max="17" width="12.7109375" customWidth="1"/>
    <col min="18" max="18" width="12.28515625" customWidth="1"/>
    <col min="19" max="19" width="11.7109375" customWidth="1"/>
    <col min="20" max="20" width="14.42578125" bestFit="1" customWidth="1"/>
    <col min="21" max="21" width="14.7109375" customWidth="1"/>
    <col min="22" max="22" width="36.42578125" customWidth="1"/>
  </cols>
  <sheetData>
    <row r="1" spans="1:21" x14ac:dyDescent="0.25">
      <c r="A1" s="1" t="s">
        <v>0</v>
      </c>
    </row>
    <row r="2" spans="1:21" x14ac:dyDescent="0.25">
      <c r="A2" s="1" t="s">
        <v>1</v>
      </c>
    </row>
    <row r="3" spans="1:21" x14ac:dyDescent="0.25">
      <c r="A3" s="1" t="s">
        <v>2</v>
      </c>
    </row>
    <row r="4" spans="1:21" x14ac:dyDescent="0.25">
      <c r="A4" s="1" t="s">
        <v>290</v>
      </c>
    </row>
    <row r="6" spans="1:21" ht="26.25" customHeight="1" x14ac:dyDescent="0.25">
      <c r="A6" s="148"/>
      <c r="B6" s="594" t="s">
        <v>3</v>
      </c>
      <c r="C6" s="594"/>
      <c r="D6" s="594"/>
      <c r="E6" s="594"/>
      <c r="F6" s="594"/>
      <c r="G6" s="594"/>
      <c r="H6" s="594"/>
      <c r="I6" s="594"/>
      <c r="J6" s="594"/>
      <c r="K6" s="594"/>
      <c r="L6" s="594"/>
      <c r="M6" s="594"/>
      <c r="N6" s="594"/>
      <c r="O6" s="594"/>
      <c r="P6" s="594"/>
      <c r="Q6" s="594"/>
      <c r="R6" s="3"/>
      <c r="S6" s="159"/>
      <c r="T6" s="167"/>
      <c r="U6" s="4"/>
    </row>
    <row r="7" spans="1:21" s="264" customFormat="1" ht="26.25" customHeight="1" thickBot="1" x14ac:dyDescent="0.3">
      <c r="A7" s="2" t="s">
        <v>196</v>
      </c>
      <c r="B7" s="309"/>
      <c r="C7" s="309" t="s">
        <v>198</v>
      </c>
      <c r="D7" s="309" t="s">
        <v>197</v>
      </c>
      <c r="E7" s="309" t="s">
        <v>199</v>
      </c>
      <c r="F7" s="326" t="s">
        <v>200</v>
      </c>
      <c r="G7" s="326" t="s">
        <v>201</v>
      </c>
      <c r="H7" s="309" t="s">
        <v>202</v>
      </c>
      <c r="I7" s="309" t="s">
        <v>203</v>
      </c>
      <c r="J7" s="326" t="s">
        <v>204</v>
      </c>
      <c r="K7" s="326" t="s">
        <v>205</v>
      </c>
      <c r="L7" s="326" t="s">
        <v>206</v>
      </c>
      <c r="M7" s="309"/>
      <c r="N7" s="326" t="s">
        <v>207</v>
      </c>
      <c r="O7" s="326" t="s">
        <v>208</v>
      </c>
      <c r="P7" s="326" t="s">
        <v>209</v>
      </c>
      <c r="Q7" s="326" t="s">
        <v>210</v>
      </c>
      <c r="R7" s="309" t="s">
        <v>211</v>
      </c>
      <c r="S7" s="309" t="s">
        <v>212</v>
      </c>
      <c r="T7" s="309" t="s">
        <v>213</v>
      </c>
      <c r="U7" s="139"/>
    </row>
    <row r="8" spans="1:21" s="7" customFormat="1" ht="25.5" customHeight="1" thickTop="1" thickBot="1" x14ac:dyDescent="0.3">
      <c r="A8" s="5" t="s">
        <v>4</v>
      </c>
      <c r="B8" s="552">
        <v>8172000000</v>
      </c>
      <c r="C8" s="553">
        <v>7586920000</v>
      </c>
      <c r="D8" s="553">
        <v>6586920000</v>
      </c>
      <c r="E8" s="561">
        <v>2292110000</v>
      </c>
      <c r="F8" s="561">
        <v>3292110000</v>
      </c>
      <c r="G8" s="561">
        <v>4292110000</v>
      </c>
      <c r="H8" s="558">
        <v>5292110000</v>
      </c>
      <c r="I8" s="561">
        <v>6292110000</v>
      </c>
      <c r="J8" s="553">
        <v>7828300000</v>
      </c>
      <c r="K8" s="554">
        <v>7248100000</v>
      </c>
      <c r="L8" s="554">
        <v>8687300000</v>
      </c>
      <c r="M8" s="553">
        <v>1248900000</v>
      </c>
      <c r="N8" s="555" t="s">
        <v>5</v>
      </c>
      <c r="O8" s="561">
        <v>6117900000</v>
      </c>
      <c r="P8" s="561">
        <v>2248900000</v>
      </c>
      <c r="Q8" s="561">
        <v>3248900000</v>
      </c>
      <c r="R8" s="562" t="s">
        <v>80</v>
      </c>
      <c r="S8" s="559" t="s">
        <v>288</v>
      </c>
      <c r="T8" s="558">
        <v>3740433545</v>
      </c>
      <c r="U8" s="3"/>
    </row>
    <row r="9" spans="1:21" ht="45.75" customHeight="1" thickTop="1" x14ac:dyDescent="0.25">
      <c r="A9" s="5" t="s">
        <v>6</v>
      </c>
      <c r="B9" s="556" t="s">
        <v>7</v>
      </c>
      <c r="C9" s="557" t="s">
        <v>195</v>
      </c>
      <c r="D9" s="446" t="s">
        <v>8</v>
      </c>
      <c r="E9" s="446" t="s">
        <v>255</v>
      </c>
      <c r="F9" s="446" t="s">
        <v>302</v>
      </c>
      <c r="G9" s="446" t="s">
        <v>257</v>
      </c>
      <c r="H9" s="560" t="s">
        <v>304</v>
      </c>
      <c r="I9" s="446" t="s">
        <v>305</v>
      </c>
      <c r="J9" s="446" t="s">
        <v>9</v>
      </c>
      <c r="K9" s="445" t="s">
        <v>253</v>
      </c>
      <c r="L9" s="445" t="s">
        <v>254</v>
      </c>
      <c r="M9" s="446" t="s">
        <v>65</v>
      </c>
      <c r="N9" s="446" t="s">
        <v>303</v>
      </c>
      <c r="O9" s="446" t="s">
        <v>258</v>
      </c>
      <c r="P9" s="446" t="s">
        <v>301</v>
      </c>
      <c r="Q9" s="446" t="s">
        <v>10</v>
      </c>
      <c r="R9" s="446" t="s">
        <v>256</v>
      </c>
      <c r="S9" s="560" t="s">
        <v>90</v>
      </c>
      <c r="T9" s="560" t="s">
        <v>86</v>
      </c>
      <c r="U9" s="4"/>
    </row>
    <row r="10" spans="1:21" ht="26.25" customHeight="1" x14ac:dyDescent="0.25">
      <c r="A10" s="5" t="s">
        <v>11</v>
      </c>
      <c r="B10" s="8" t="s">
        <v>12</v>
      </c>
      <c r="C10" s="8" t="s">
        <v>13</v>
      </c>
      <c r="D10" s="8" t="s">
        <v>14</v>
      </c>
      <c r="E10" s="8" t="s">
        <v>15</v>
      </c>
      <c r="F10" s="8" t="s">
        <v>16</v>
      </c>
      <c r="G10" s="8" t="s">
        <v>17</v>
      </c>
      <c r="H10" s="8" t="s">
        <v>15</v>
      </c>
      <c r="I10" s="8" t="s">
        <v>15</v>
      </c>
      <c r="J10" s="8" t="s">
        <v>18</v>
      </c>
      <c r="K10" s="313" t="s">
        <v>19</v>
      </c>
      <c r="L10" s="313" t="s">
        <v>20</v>
      </c>
      <c r="M10" s="8" t="s">
        <v>21</v>
      </c>
      <c r="N10" s="8" t="s">
        <v>22</v>
      </c>
      <c r="O10" s="9" t="s">
        <v>23</v>
      </c>
      <c r="P10" s="9" t="s">
        <v>24</v>
      </c>
      <c r="Q10" s="9" t="s">
        <v>25</v>
      </c>
      <c r="R10" s="9" t="s">
        <v>26</v>
      </c>
      <c r="S10" s="9" t="s">
        <v>77</v>
      </c>
      <c r="T10" s="9" t="s">
        <v>87</v>
      </c>
      <c r="U10" s="4"/>
    </row>
    <row r="11" spans="1:21" ht="39" customHeight="1" x14ac:dyDescent="0.25">
      <c r="A11" s="54" t="s">
        <v>64</v>
      </c>
      <c r="B11" s="52"/>
      <c r="C11" s="52" t="s">
        <v>61</v>
      </c>
      <c r="D11" s="52"/>
      <c r="E11" s="52"/>
      <c r="F11" s="52"/>
      <c r="G11" s="52"/>
      <c r="H11" s="52"/>
      <c r="I11" s="52"/>
      <c r="J11" s="52" t="s">
        <v>62</v>
      </c>
      <c r="K11" s="295"/>
      <c r="L11" s="295"/>
      <c r="M11" s="52" t="s">
        <v>63</v>
      </c>
      <c r="N11" s="52" t="s">
        <v>60</v>
      </c>
      <c r="O11" s="53" t="s">
        <v>63</v>
      </c>
      <c r="P11" s="53"/>
      <c r="Q11" s="53"/>
      <c r="R11" s="53"/>
      <c r="S11" s="53" t="s">
        <v>89</v>
      </c>
      <c r="T11" s="53" t="s">
        <v>88</v>
      </c>
      <c r="U11" s="13"/>
    </row>
    <row r="12" spans="1:21" ht="26.25" customHeight="1" x14ac:dyDescent="0.25">
      <c r="A12" s="10" t="s">
        <v>27</v>
      </c>
      <c r="B12" s="11">
        <v>120422</v>
      </c>
      <c r="C12" s="11">
        <v>100860</v>
      </c>
      <c r="D12" s="11">
        <v>100860</v>
      </c>
      <c r="E12" s="11">
        <v>100860</v>
      </c>
      <c r="F12" s="11">
        <v>100860</v>
      </c>
      <c r="G12" s="11">
        <v>100860</v>
      </c>
      <c r="H12" s="11">
        <v>100860</v>
      </c>
      <c r="I12" s="11">
        <v>100860</v>
      </c>
      <c r="J12" s="11">
        <v>100860</v>
      </c>
      <c r="K12" s="296">
        <v>100860</v>
      </c>
      <c r="L12" s="296">
        <v>100860</v>
      </c>
      <c r="M12" s="11">
        <v>100860</v>
      </c>
      <c r="N12" s="11">
        <v>100860</v>
      </c>
      <c r="O12" s="12">
        <v>100860</v>
      </c>
      <c r="P12" s="12">
        <v>100860</v>
      </c>
      <c r="Q12" s="12">
        <v>100860</v>
      </c>
      <c r="R12" s="12">
        <v>100860</v>
      </c>
      <c r="S12" s="12">
        <v>100860</v>
      </c>
      <c r="T12" s="12">
        <v>100860</v>
      </c>
      <c r="U12" s="13"/>
    </row>
    <row r="13" spans="1:21" ht="26.25" customHeight="1" x14ac:dyDescent="0.25">
      <c r="A13" s="10" t="s">
        <v>28</v>
      </c>
      <c r="B13" s="11">
        <v>755100</v>
      </c>
      <c r="C13" s="11">
        <v>755100</v>
      </c>
      <c r="D13" s="11">
        <v>755100</v>
      </c>
      <c r="E13" s="11">
        <v>755100</v>
      </c>
      <c r="F13" s="11">
        <v>755100</v>
      </c>
      <c r="G13" s="11">
        <v>755100</v>
      </c>
      <c r="H13" s="11">
        <v>755100</v>
      </c>
      <c r="I13" s="11">
        <v>755100</v>
      </c>
      <c r="J13" s="11">
        <v>755100</v>
      </c>
      <c r="K13" s="296">
        <v>755100</v>
      </c>
      <c r="L13" s="296">
        <v>755100</v>
      </c>
      <c r="M13" s="11">
        <v>755100</v>
      </c>
      <c r="N13" s="11">
        <v>755100</v>
      </c>
      <c r="O13" s="11">
        <v>755100</v>
      </c>
      <c r="P13" s="11">
        <v>755100</v>
      </c>
      <c r="Q13" s="11">
        <v>755100</v>
      </c>
      <c r="R13" s="11">
        <v>755100</v>
      </c>
      <c r="S13" s="11">
        <v>755100</v>
      </c>
      <c r="T13" s="11">
        <v>755100</v>
      </c>
      <c r="U13" s="13"/>
    </row>
    <row r="14" spans="1:21" s="17" customFormat="1" ht="18.75" customHeight="1" thickBot="1" x14ac:dyDescent="0.3">
      <c r="A14" s="14" t="s">
        <v>29</v>
      </c>
      <c r="B14" s="15"/>
      <c r="C14" s="15"/>
      <c r="D14" s="15"/>
      <c r="E14" s="15"/>
      <c r="F14" s="15"/>
      <c r="G14" s="15"/>
      <c r="H14" s="15"/>
      <c r="I14" s="15"/>
      <c r="J14" s="15"/>
      <c r="K14" s="297"/>
      <c r="L14" s="297"/>
      <c r="M14" s="15"/>
      <c r="N14" s="15"/>
      <c r="O14" s="15"/>
      <c r="P14" s="15"/>
      <c r="Q14" s="15"/>
      <c r="R14" s="15"/>
      <c r="S14" s="15"/>
      <c r="T14" s="15"/>
      <c r="U14" s="16" t="s">
        <v>30</v>
      </c>
    </row>
    <row r="15" spans="1:21" ht="18.75" customHeight="1" x14ac:dyDescent="0.25">
      <c r="A15" s="18" t="s">
        <v>31</v>
      </c>
      <c r="B15" s="20">
        <v>374232.8</v>
      </c>
      <c r="C15" s="20">
        <v>3741.25</v>
      </c>
      <c r="D15" s="20">
        <v>51</v>
      </c>
      <c r="E15" s="20">
        <v>1563.12</v>
      </c>
      <c r="F15" s="20">
        <v>682.29</v>
      </c>
      <c r="G15" s="20">
        <v>273.12</v>
      </c>
      <c r="H15" s="20">
        <v>498.09</v>
      </c>
      <c r="I15" s="20">
        <v>201.3</v>
      </c>
      <c r="J15" s="20">
        <v>87.51</v>
      </c>
      <c r="K15" s="20">
        <v>39.19</v>
      </c>
      <c r="L15" s="20">
        <v>287.99</v>
      </c>
      <c r="M15" s="20"/>
      <c r="N15" s="20">
        <v>648.66999999999996</v>
      </c>
      <c r="O15" s="20">
        <v>125.37</v>
      </c>
      <c r="P15" s="20">
        <v>292.85000000000002</v>
      </c>
      <c r="Q15" s="20">
        <v>13.87</v>
      </c>
      <c r="R15" s="20">
        <v>292.33</v>
      </c>
      <c r="S15" s="20">
        <v>135.68</v>
      </c>
      <c r="T15" s="20">
        <v>28.73</v>
      </c>
      <c r="U15" s="21">
        <f t="shared" ref="U15:U28" si="0">SUM(B15:T15)</f>
        <v>383195.15999999992</v>
      </c>
    </row>
    <row r="16" spans="1:21" ht="18.75" customHeight="1" x14ac:dyDescent="0.25">
      <c r="A16" s="22" t="s">
        <v>32</v>
      </c>
      <c r="B16" s="150">
        <v>377601.34</v>
      </c>
      <c r="C16" s="150">
        <v>3683.22</v>
      </c>
      <c r="D16" s="150">
        <v>53.81</v>
      </c>
      <c r="E16" s="150">
        <v>1491.61</v>
      </c>
      <c r="F16" s="150">
        <v>673.15</v>
      </c>
      <c r="G16" s="150">
        <v>299.75</v>
      </c>
      <c r="H16" s="150">
        <v>503.21</v>
      </c>
      <c r="I16" s="150">
        <v>192.74</v>
      </c>
      <c r="J16" s="150">
        <v>85.33</v>
      </c>
      <c r="K16" s="150">
        <v>38.340000000000003</v>
      </c>
      <c r="L16" s="150">
        <v>305.64</v>
      </c>
      <c r="M16" s="150"/>
      <c r="N16" s="150">
        <v>642.07000000000005</v>
      </c>
      <c r="O16" s="150">
        <v>264.79000000000002</v>
      </c>
      <c r="P16" s="150">
        <v>251.98</v>
      </c>
      <c r="Q16" s="150">
        <v>13.87</v>
      </c>
      <c r="R16" s="150">
        <v>289.35000000000002</v>
      </c>
      <c r="S16" s="150">
        <v>124.36</v>
      </c>
      <c r="T16" s="150">
        <v>377.03</v>
      </c>
      <c r="U16" s="147">
        <f t="shared" si="0"/>
        <v>386891.59</v>
      </c>
    </row>
    <row r="17" spans="1:21" ht="18.75" customHeight="1" x14ac:dyDescent="0.25">
      <c r="A17" s="22" t="s">
        <v>33</v>
      </c>
      <c r="B17" s="150">
        <v>327542.09999999998</v>
      </c>
      <c r="C17" s="150">
        <v>3079.03</v>
      </c>
      <c r="D17" s="150">
        <v>46.4</v>
      </c>
      <c r="E17" s="150">
        <v>1121.49</v>
      </c>
      <c r="F17" s="150">
        <v>513.99</v>
      </c>
      <c r="G17" s="150">
        <v>249.31</v>
      </c>
      <c r="H17" s="150">
        <v>384.33</v>
      </c>
      <c r="I17" s="150">
        <v>150.47999999999999</v>
      </c>
      <c r="J17" s="150">
        <v>66.64</v>
      </c>
      <c r="K17" s="150">
        <v>36.409999999999997</v>
      </c>
      <c r="L17" s="150">
        <v>328.13</v>
      </c>
      <c r="M17" s="150"/>
      <c r="N17" s="150">
        <v>501.17</v>
      </c>
      <c r="O17" s="150">
        <v>76.290000000000006</v>
      </c>
      <c r="P17" s="150">
        <v>181.55</v>
      </c>
      <c r="Q17" s="150">
        <v>13.87</v>
      </c>
      <c r="R17" s="150">
        <v>288.27</v>
      </c>
      <c r="S17" s="150">
        <v>89.96</v>
      </c>
      <c r="T17" s="150">
        <v>238.41</v>
      </c>
      <c r="U17" s="147">
        <f t="shared" si="0"/>
        <v>334907.82999999996</v>
      </c>
    </row>
    <row r="18" spans="1:21" ht="18.75" customHeight="1" x14ac:dyDescent="0.25">
      <c r="A18" s="22" t="s">
        <v>34</v>
      </c>
      <c r="B18" s="150">
        <v>190996.62</v>
      </c>
      <c r="C18" s="150">
        <v>2560.73</v>
      </c>
      <c r="D18" s="150">
        <v>41.75</v>
      </c>
      <c r="E18" s="150">
        <v>912.58</v>
      </c>
      <c r="F18" s="150">
        <v>334.62</v>
      </c>
      <c r="G18" s="150">
        <v>225.72</v>
      </c>
      <c r="H18" s="150">
        <v>98.91</v>
      </c>
      <c r="I18" s="150">
        <v>120.63</v>
      </c>
      <c r="J18" s="150">
        <v>41.81</v>
      </c>
      <c r="K18" s="150">
        <v>37.270000000000003</v>
      </c>
      <c r="L18" s="150">
        <v>322.16000000000003</v>
      </c>
      <c r="M18" s="150"/>
      <c r="N18" s="150">
        <v>324.39999999999998</v>
      </c>
      <c r="O18" s="150">
        <v>111.33</v>
      </c>
      <c r="P18" s="150">
        <v>178.48</v>
      </c>
      <c r="Q18" s="150">
        <v>13.87</v>
      </c>
      <c r="R18" s="150">
        <v>253.38</v>
      </c>
      <c r="S18" s="150">
        <v>94.04</v>
      </c>
      <c r="T18" s="150">
        <v>230.42</v>
      </c>
      <c r="U18" s="147">
        <f t="shared" si="0"/>
        <v>196898.72</v>
      </c>
    </row>
    <row r="19" spans="1:21" ht="18.75" customHeight="1" x14ac:dyDescent="0.25">
      <c r="A19" s="22" t="s">
        <v>35</v>
      </c>
      <c r="B19" s="150">
        <v>111703.4</v>
      </c>
      <c r="C19" s="150">
        <v>2887.34</v>
      </c>
      <c r="D19" s="150">
        <v>43.75</v>
      </c>
      <c r="E19" s="150">
        <v>919.87</v>
      </c>
      <c r="F19" s="150">
        <v>360.97</v>
      </c>
      <c r="G19" s="150">
        <v>288.63</v>
      </c>
      <c r="H19" s="150">
        <v>123.78</v>
      </c>
      <c r="I19" s="150">
        <v>148.15</v>
      </c>
      <c r="J19" s="150">
        <v>43.77</v>
      </c>
      <c r="K19" s="150">
        <v>32</v>
      </c>
      <c r="L19" s="150">
        <v>334.7</v>
      </c>
      <c r="M19" s="150"/>
      <c r="N19" s="150">
        <v>344.79</v>
      </c>
      <c r="O19" s="150">
        <v>241.17</v>
      </c>
      <c r="P19" s="150">
        <v>176.81</v>
      </c>
      <c r="Q19" s="150">
        <v>13.87</v>
      </c>
      <c r="R19" s="150">
        <v>257.52999999999997</v>
      </c>
      <c r="S19" s="150">
        <v>208.24</v>
      </c>
      <c r="T19" s="150">
        <v>19.809999999999999</v>
      </c>
      <c r="U19" s="147">
        <f t="shared" si="0"/>
        <v>118148.57999999997</v>
      </c>
    </row>
    <row r="20" spans="1:21" ht="18.75" customHeight="1" x14ac:dyDescent="0.25">
      <c r="A20" s="22" t="s">
        <v>36</v>
      </c>
      <c r="B20" s="150">
        <v>131830.89000000001</v>
      </c>
      <c r="C20" s="150">
        <v>2957.21</v>
      </c>
      <c r="D20" s="150">
        <v>34.26</v>
      </c>
      <c r="E20" s="150">
        <v>832.06</v>
      </c>
      <c r="F20" s="150">
        <v>338.56</v>
      </c>
      <c r="G20" s="150">
        <v>237.2</v>
      </c>
      <c r="H20" s="150">
        <v>152.12</v>
      </c>
      <c r="I20" s="150">
        <v>140.66999999999999</v>
      </c>
      <c r="J20" s="150">
        <v>33.869999999999997</v>
      </c>
      <c r="K20" s="150">
        <v>34.9</v>
      </c>
      <c r="L20" s="150">
        <v>342.66</v>
      </c>
      <c r="M20" s="150"/>
      <c r="N20" s="150">
        <v>333.87</v>
      </c>
      <c r="O20" s="150">
        <v>39.799999999999997</v>
      </c>
      <c r="P20" s="150">
        <v>204.08</v>
      </c>
      <c r="Q20" s="150">
        <v>13.87</v>
      </c>
      <c r="R20" s="150">
        <v>256.23</v>
      </c>
      <c r="S20" s="150">
        <v>252.53</v>
      </c>
      <c r="T20" s="150">
        <v>19.809999999999999</v>
      </c>
      <c r="U20" s="147">
        <f t="shared" si="0"/>
        <v>138054.59</v>
      </c>
    </row>
    <row r="21" spans="1:21" ht="18.75" customHeight="1" x14ac:dyDescent="0.25">
      <c r="A21" s="22" t="s">
        <v>37</v>
      </c>
      <c r="B21" s="150">
        <v>106120.78</v>
      </c>
      <c r="C21" s="150">
        <v>2653.58</v>
      </c>
      <c r="D21" s="150">
        <v>41.2</v>
      </c>
      <c r="E21" s="150">
        <v>772.3</v>
      </c>
      <c r="F21" s="150">
        <v>338.54</v>
      </c>
      <c r="G21" s="150">
        <v>254.63</v>
      </c>
      <c r="H21" s="150">
        <v>110.31</v>
      </c>
      <c r="I21" s="150">
        <v>147.51</v>
      </c>
      <c r="J21" s="150">
        <v>36.56</v>
      </c>
      <c r="K21" s="150">
        <v>34.729999999999997</v>
      </c>
      <c r="L21" s="150">
        <v>325.36</v>
      </c>
      <c r="M21" s="150"/>
      <c r="N21" s="150">
        <v>338.25</v>
      </c>
      <c r="O21" s="150">
        <v>95.41</v>
      </c>
      <c r="P21" s="150">
        <v>292.97000000000003</v>
      </c>
      <c r="Q21" s="150">
        <v>13.87</v>
      </c>
      <c r="R21" s="150">
        <v>254.96</v>
      </c>
      <c r="S21" s="150">
        <v>272.14</v>
      </c>
      <c r="T21" s="150">
        <v>19.809999999999999</v>
      </c>
      <c r="U21" s="147">
        <f t="shared" si="0"/>
        <v>112122.90999999999</v>
      </c>
    </row>
    <row r="22" spans="1:21" ht="18.75" customHeight="1" x14ac:dyDescent="0.25">
      <c r="A22" s="22" t="s">
        <v>38</v>
      </c>
      <c r="B22" s="150">
        <v>121543.35</v>
      </c>
      <c r="C22" s="150">
        <v>2844.08</v>
      </c>
      <c r="D22" s="150">
        <v>41.41</v>
      </c>
      <c r="E22" s="150">
        <v>737.77</v>
      </c>
      <c r="F22" s="150">
        <v>354.92</v>
      </c>
      <c r="G22" s="150">
        <v>270.25</v>
      </c>
      <c r="H22" s="150">
        <v>86.98</v>
      </c>
      <c r="I22" s="150">
        <v>131.71</v>
      </c>
      <c r="J22" s="150">
        <v>37.619999999999997</v>
      </c>
      <c r="K22" s="150">
        <v>35.46</v>
      </c>
      <c r="L22" s="150">
        <v>328.39</v>
      </c>
      <c r="M22" s="150"/>
      <c r="N22" s="150">
        <v>349.38</v>
      </c>
      <c r="O22" s="150">
        <v>166.96</v>
      </c>
      <c r="P22" s="150">
        <v>354.23</v>
      </c>
      <c r="Q22" s="150">
        <v>13.87</v>
      </c>
      <c r="R22" s="150">
        <v>255.46</v>
      </c>
      <c r="S22" s="150">
        <v>189.15</v>
      </c>
      <c r="T22" s="150">
        <v>250.85</v>
      </c>
      <c r="U22" s="147">
        <f t="shared" si="0"/>
        <v>127991.84000000003</v>
      </c>
    </row>
    <row r="23" spans="1:21" ht="18.600000000000001" customHeight="1" x14ac:dyDescent="0.25">
      <c r="A23" s="22" t="s">
        <v>39</v>
      </c>
      <c r="B23" s="150">
        <v>140976.01999999999</v>
      </c>
      <c r="C23" s="150">
        <v>1683.68</v>
      </c>
      <c r="D23" s="150">
        <v>37.81</v>
      </c>
      <c r="E23" s="150">
        <v>664.76</v>
      </c>
      <c r="F23" s="150">
        <v>308.88</v>
      </c>
      <c r="G23" s="150">
        <v>325.27</v>
      </c>
      <c r="H23" s="150">
        <v>50.14</v>
      </c>
      <c r="I23" s="150">
        <v>116.76</v>
      </c>
      <c r="J23" s="150">
        <v>50.97</v>
      </c>
      <c r="K23" s="150">
        <v>34.340000000000003</v>
      </c>
      <c r="L23" s="150">
        <v>258.19</v>
      </c>
      <c r="M23" s="150"/>
      <c r="N23" s="150">
        <v>288.91000000000003</v>
      </c>
      <c r="O23" s="150">
        <v>159.97</v>
      </c>
      <c r="P23" s="150">
        <v>161.63999999999999</v>
      </c>
      <c r="Q23" s="150">
        <v>13.87</v>
      </c>
      <c r="R23" s="150">
        <v>247.17</v>
      </c>
      <c r="S23" s="150">
        <v>104.76</v>
      </c>
      <c r="T23" s="150">
        <v>301.64</v>
      </c>
      <c r="U23" s="147">
        <f t="shared" si="0"/>
        <v>145784.78000000006</v>
      </c>
    </row>
    <row r="24" spans="1:21" ht="18.75" customHeight="1" x14ac:dyDescent="0.25">
      <c r="A24" s="22" t="s">
        <v>40</v>
      </c>
      <c r="B24" s="150">
        <v>84831.74</v>
      </c>
      <c r="C24" s="150">
        <v>2853.31</v>
      </c>
      <c r="D24" s="150">
        <v>42.46</v>
      </c>
      <c r="E24" s="150">
        <v>837.42</v>
      </c>
      <c r="F24" s="150">
        <v>444.73</v>
      </c>
      <c r="G24" s="150">
        <v>254.01</v>
      </c>
      <c r="H24" s="150">
        <v>104.96</v>
      </c>
      <c r="I24" s="150">
        <v>130.69</v>
      </c>
      <c r="J24" s="150">
        <v>92.85</v>
      </c>
      <c r="K24" s="150">
        <v>29.19</v>
      </c>
      <c r="L24" s="150">
        <v>293.11</v>
      </c>
      <c r="M24" s="150"/>
      <c r="N24" s="150">
        <v>407.83</v>
      </c>
      <c r="O24" s="150">
        <v>264.5</v>
      </c>
      <c r="P24" s="150">
        <v>137.87</v>
      </c>
      <c r="Q24" s="150">
        <v>13.87</v>
      </c>
      <c r="R24" s="150">
        <v>286.37</v>
      </c>
      <c r="S24" s="150">
        <v>107.41</v>
      </c>
      <c r="T24" s="150">
        <v>21.33</v>
      </c>
      <c r="U24" s="147">
        <f t="shared" si="0"/>
        <v>91153.650000000009</v>
      </c>
    </row>
    <row r="25" spans="1:21" s="325" customFormat="1" ht="18.75" customHeight="1" x14ac:dyDescent="0.25">
      <c r="A25" s="323" t="s">
        <v>41</v>
      </c>
      <c r="B25" s="578">
        <v>105426.1</v>
      </c>
      <c r="C25" s="576">
        <v>3569.78</v>
      </c>
      <c r="D25" s="577">
        <v>46.16</v>
      </c>
      <c r="E25" s="578">
        <v>1067.02</v>
      </c>
      <c r="F25" s="578">
        <v>528.02</v>
      </c>
      <c r="G25" s="578">
        <v>329.02</v>
      </c>
      <c r="H25" s="578">
        <v>157.41</v>
      </c>
      <c r="I25" s="578">
        <v>148.43</v>
      </c>
      <c r="J25" s="577">
        <v>84.16</v>
      </c>
      <c r="K25" s="578">
        <v>35.17</v>
      </c>
      <c r="L25" s="577">
        <v>311.44</v>
      </c>
      <c r="M25" s="152"/>
      <c r="N25" s="575">
        <v>479.77</v>
      </c>
      <c r="O25" s="578">
        <v>315.52</v>
      </c>
      <c r="P25" s="578">
        <v>205.09</v>
      </c>
      <c r="Q25" s="578">
        <v>13.87</v>
      </c>
      <c r="R25" s="578">
        <v>290.08999999999997</v>
      </c>
      <c r="S25" s="578">
        <v>93.49</v>
      </c>
      <c r="T25" s="578">
        <v>297.3</v>
      </c>
      <c r="U25" s="324">
        <f>SUM(B25:T25)</f>
        <v>113397.84000000003</v>
      </c>
    </row>
    <row r="26" spans="1:21" ht="18.75" customHeight="1" x14ac:dyDescent="0.25">
      <c r="A26" s="22" t="s">
        <v>42</v>
      </c>
      <c r="B26" s="576">
        <v>224305.93</v>
      </c>
      <c r="C26" s="581">
        <v>3249.12</v>
      </c>
      <c r="D26" s="581">
        <v>46.64</v>
      </c>
      <c r="E26" s="581">
        <v>1094.2</v>
      </c>
      <c r="F26" s="581">
        <v>539.54</v>
      </c>
      <c r="G26" s="581">
        <v>292.17</v>
      </c>
      <c r="H26" s="581">
        <v>182.6</v>
      </c>
      <c r="I26" s="581">
        <v>141.72999999999999</v>
      </c>
      <c r="J26" s="581">
        <v>82.38</v>
      </c>
      <c r="K26" s="581">
        <v>35.79</v>
      </c>
      <c r="L26" s="581">
        <v>303.35000000000002</v>
      </c>
      <c r="M26" s="581"/>
      <c r="N26" s="581">
        <v>510.37</v>
      </c>
      <c r="O26" s="581">
        <v>182.58</v>
      </c>
      <c r="P26" s="581">
        <v>194.53</v>
      </c>
      <c r="Q26" s="581">
        <v>13.87</v>
      </c>
      <c r="R26" s="581">
        <v>285.44</v>
      </c>
      <c r="S26" s="581">
        <v>84.6</v>
      </c>
      <c r="T26" s="581">
        <v>279.97000000000003</v>
      </c>
      <c r="U26" s="324">
        <f>SUM(B26:T26)</f>
        <v>231824.81000000006</v>
      </c>
    </row>
    <row r="27" spans="1:21" ht="18.75" customHeight="1" x14ac:dyDescent="0.25">
      <c r="A27" s="22"/>
      <c r="B27" s="162"/>
      <c r="C27" s="162"/>
      <c r="D27" s="162"/>
      <c r="E27" s="23"/>
      <c r="F27" s="23"/>
      <c r="G27" s="23"/>
      <c r="H27" s="23"/>
      <c r="I27" s="23"/>
      <c r="J27" s="23"/>
      <c r="K27" s="298"/>
      <c r="L27" s="305"/>
      <c r="M27" s="22"/>
      <c r="N27" s="22"/>
      <c r="O27" s="22"/>
      <c r="P27" s="22"/>
      <c r="Q27" s="22"/>
      <c r="R27" s="22"/>
      <c r="S27" s="148"/>
      <c r="T27" s="148"/>
      <c r="U27" s="4"/>
    </row>
    <row r="28" spans="1:21" ht="18.75" customHeight="1" x14ac:dyDescent="0.25">
      <c r="A28" s="26" t="s">
        <v>43</v>
      </c>
      <c r="B28" s="27">
        <f t="shared" ref="B28:T28" si="1">SUM(B15:B27)</f>
        <v>2297111.0700000003</v>
      </c>
      <c r="C28" s="27">
        <f t="shared" si="1"/>
        <v>35762.33</v>
      </c>
      <c r="D28" s="27">
        <f t="shared" si="1"/>
        <v>526.65</v>
      </c>
      <c r="E28" s="27">
        <f t="shared" si="1"/>
        <v>12014.2</v>
      </c>
      <c r="F28" s="27">
        <f t="shared" si="1"/>
        <v>5418.21</v>
      </c>
      <c r="G28" s="27">
        <f>SUM(G15:G27)</f>
        <v>3299.0800000000004</v>
      </c>
      <c r="H28" s="27">
        <f>SUM(H15:H27)</f>
        <v>2452.8399999999997</v>
      </c>
      <c r="I28" s="27">
        <f t="shared" si="1"/>
        <v>1770.8000000000002</v>
      </c>
      <c r="J28" s="27">
        <f t="shared" si="1"/>
        <v>743.47</v>
      </c>
      <c r="K28" s="299">
        <f>SUM(K15:K27)</f>
        <v>422.79</v>
      </c>
      <c r="L28" s="299">
        <f t="shared" si="1"/>
        <v>3741.1200000000003</v>
      </c>
      <c r="M28" s="27">
        <f t="shared" si="1"/>
        <v>0</v>
      </c>
      <c r="N28" s="27">
        <f>SUM(N15:N27)</f>
        <v>5169.4800000000005</v>
      </c>
      <c r="O28" s="27">
        <f t="shared" si="1"/>
        <v>2043.6899999999998</v>
      </c>
      <c r="P28" s="27">
        <f t="shared" si="1"/>
        <v>2632.0800000000004</v>
      </c>
      <c r="Q28" s="27">
        <f t="shared" si="1"/>
        <v>166.44000000000003</v>
      </c>
      <c r="R28" s="154">
        <f t="shared" si="1"/>
        <v>3256.58</v>
      </c>
      <c r="S28" s="154">
        <f t="shared" si="1"/>
        <v>1756.36</v>
      </c>
      <c r="T28" s="154">
        <f t="shared" si="1"/>
        <v>2085.1099999999997</v>
      </c>
      <c r="U28" s="324">
        <f t="shared" si="0"/>
        <v>2380372.3000000003</v>
      </c>
    </row>
    <row r="29" spans="1:21" s="55" customFormat="1" ht="18.75" hidden="1" customHeight="1" x14ac:dyDescent="0.25">
      <c r="A29" s="164" t="s">
        <v>92</v>
      </c>
      <c r="B29" s="163"/>
      <c r="C29" s="163"/>
      <c r="D29" s="163"/>
      <c r="E29" s="163"/>
      <c r="F29" s="163"/>
      <c r="G29" s="163"/>
      <c r="H29" s="163"/>
      <c r="I29" s="163"/>
      <c r="J29" s="163"/>
      <c r="K29" s="300"/>
      <c r="L29" s="300"/>
      <c r="M29" s="163"/>
      <c r="N29" s="163"/>
      <c r="O29" s="163"/>
      <c r="P29" s="163"/>
      <c r="Q29" s="163"/>
      <c r="R29" s="163"/>
      <c r="S29" s="163"/>
      <c r="T29" s="163"/>
      <c r="U29" s="157"/>
    </row>
    <row r="30" spans="1:21" ht="18.75" hidden="1" customHeight="1" x14ac:dyDescent="0.25">
      <c r="A30" s="160" t="s">
        <v>79</v>
      </c>
      <c r="B30" s="165"/>
      <c r="C30" s="165"/>
      <c r="D30" s="165"/>
      <c r="E30" s="165"/>
      <c r="F30" s="165"/>
      <c r="G30" s="165"/>
      <c r="H30" s="165"/>
      <c r="I30" s="165"/>
      <c r="J30" s="165"/>
      <c r="K30" s="301"/>
      <c r="L30" s="301"/>
      <c r="M30" s="165"/>
      <c r="N30" s="165"/>
      <c r="O30" s="165"/>
      <c r="P30" s="165"/>
      <c r="Q30" s="165"/>
      <c r="R30" s="165"/>
      <c r="S30" s="165"/>
      <c r="T30" s="165"/>
      <c r="U30" s="30"/>
    </row>
    <row r="31" spans="1:21" ht="18.75" hidden="1" customHeight="1" x14ac:dyDescent="0.25">
      <c r="A31" s="160" t="s">
        <v>81</v>
      </c>
      <c r="B31" s="165"/>
      <c r="C31" s="165"/>
      <c r="D31" s="165"/>
      <c r="E31" s="165"/>
      <c r="F31" s="165"/>
      <c r="G31" s="165"/>
      <c r="H31" s="165"/>
      <c r="I31" s="165"/>
      <c r="J31" s="165"/>
      <c r="K31" s="301"/>
      <c r="L31" s="301"/>
      <c r="M31" s="165"/>
      <c r="N31" s="165"/>
      <c r="O31" s="165"/>
      <c r="P31" s="165"/>
      <c r="Q31" s="165"/>
      <c r="R31" s="165"/>
      <c r="S31" s="165"/>
      <c r="T31" s="165"/>
      <c r="U31" s="30"/>
    </row>
    <row r="32" spans="1:21" ht="18.75" hidden="1" customHeight="1" x14ac:dyDescent="0.25">
      <c r="A32" s="160" t="s">
        <v>84</v>
      </c>
      <c r="B32" s="165"/>
      <c r="C32" s="165"/>
      <c r="D32" s="165"/>
      <c r="E32" s="165"/>
      <c r="F32" s="165"/>
      <c r="G32" s="165"/>
      <c r="H32" s="165"/>
      <c r="I32" s="165"/>
      <c r="J32" s="165"/>
      <c r="K32" s="301"/>
      <c r="L32" s="301"/>
      <c r="M32" s="165"/>
      <c r="N32" s="165"/>
      <c r="O32" s="165"/>
      <c r="P32" s="165"/>
      <c r="Q32" s="165"/>
      <c r="R32" s="165"/>
      <c r="S32" s="165"/>
      <c r="T32" s="165"/>
      <c r="U32" s="157"/>
    </row>
    <row r="33" spans="1:21" ht="18.75" hidden="1" customHeight="1" x14ac:dyDescent="0.25">
      <c r="A33" s="160"/>
      <c r="B33" s="165"/>
      <c r="C33" s="165"/>
      <c r="D33" s="165"/>
      <c r="E33" s="165"/>
      <c r="F33" s="165"/>
      <c r="G33" s="165"/>
      <c r="H33" s="165"/>
      <c r="I33" s="165"/>
      <c r="J33" s="165"/>
      <c r="K33" s="301"/>
      <c r="L33" s="301"/>
      <c r="M33" s="165"/>
      <c r="N33" s="165"/>
      <c r="O33" s="165"/>
      <c r="P33" s="165"/>
      <c r="Q33" s="165"/>
      <c r="R33" s="165"/>
      <c r="S33" s="165"/>
      <c r="T33" s="165"/>
      <c r="U33" s="157"/>
    </row>
    <row r="34" spans="1:21" ht="18.75" hidden="1" customHeight="1" x14ac:dyDescent="0.25">
      <c r="A34" s="164" t="s">
        <v>82</v>
      </c>
      <c r="B34" s="166">
        <f t="shared" ref="B34:S34" si="2">B29+B30-B31+B32</f>
        <v>0</v>
      </c>
      <c r="C34" s="166">
        <f t="shared" si="2"/>
        <v>0</v>
      </c>
      <c r="D34" s="166">
        <f t="shared" si="2"/>
        <v>0</v>
      </c>
      <c r="E34" s="166">
        <f t="shared" si="2"/>
        <v>0</v>
      </c>
      <c r="F34" s="166">
        <f t="shared" si="2"/>
        <v>0</v>
      </c>
      <c r="G34" s="166">
        <f t="shared" si="2"/>
        <v>0</v>
      </c>
      <c r="H34" s="166">
        <f t="shared" si="2"/>
        <v>0</v>
      </c>
      <c r="I34" s="166">
        <f t="shared" si="2"/>
        <v>0</v>
      </c>
      <c r="J34" s="166">
        <f t="shared" si="2"/>
        <v>0</v>
      </c>
      <c r="K34" s="302">
        <f t="shared" si="2"/>
        <v>0</v>
      </c>
      <c r="L34" s="302">
        <f t="shared" si="2"/>
        <v>0</v>
      </c>
      <c r="M34" s="166">
        <f t="shared" si="2"/>
        <v>0</v>
      </c>
      <c r="N34" s="166">
        <f t="shared" si="2"/>
        <v>0</v>
      </c>
      <c r="O34" s="166">
        <f t="shared" si="2"/>
        <v>0</v>
      </c>
      <c r="P34" s="166">
        <f t="shared" si="2"/>
        <v>0</v>
      </c>
      <c r="Q34" s="166">
        <f t="shared" si="2"/>
        <v>0</v>
      </c>
      <c r="R34" s="166">
        <f t="shared" si="2"/>
        <v>0</v>
      </c>
      <c r="S34" s="166">
        <f t="shared" si="2"/>
        <v>0</v>
      </c>
      <c r="T34" s="166"/>
      <c r="U34" s="157"/>
    </row>
    <row r="35" spans="1:21" ht="18.75" hidden="1" customHeight="1" x14ac:dyDescent="0.25">
      <c r="A35" s="160" t="s">
        <v>83</v>
      </c>
      <c r="B35" s="165">
        <f t="shared" ref="B35:H35" si="3">+B28-B34</f>
        <v>2297111.0700000003</v>
      </c>
      <c r="C35" s="165">
        <f t="shared" si="3"/>
        <v>35762.33</v>
      </c>
      <c r="D35" s="165">
        <f t="shared" si="3"/>
        <v>526.65</v>
      </c>
      <c r="E35" s="165">
        <f t="shared" si="3"/>
        <v>12014.2</v>
      </c>
      <c r="F35" s="165">
        <f t="shared" si="3"/>
        <v>5418.21</v>
      </c>
      <c r="G35" s="165">
        <f t="shared" si="3"/>
        <v>3299.0800000000004</v>
      </c>
      <c r="H35" s="165">
        <f t="shared" si="3"/>
        <v>2452.8399999999997</v>
      </c>
      <c r="I35" s="165">
        <f t="shared" ref="I35:S35" si="4">+I28-I34</f>
        <v>1770.8000000000002</v>
      </c>
      <c r="J35" s="165">
        <f t="shared" si="4"/>
        <v>743.47</v>
      </c>
      <c r="K35" s="301">
        <f t="shared" si="4"/>
        <v>422.79</v>
      </c>
      <c r="L35" s="301">
        <f t="shared" si="4"/>
        <v>3741.1200000000003</v>
      </c>
      <c r="M35" s="165">
        <f t="shared" si="4"/>
        <v>0</v>
      </c>
      <c r="N35" s="165">
        <f t="shared" si="4"/>
        <v>5169.4800000000005</v>
      </c>
      <c r="O35" s="165">
        <f t="shared" si="4"/>
        <v>2043.6899999999998</v>
      </c>
      <c r="P35" s="165">
        <f t="shared" si="4"/>
        <v>2632.0800000000004</v>
      </c>
      <c r="Q35" s="165">
        <f t="shared" si="4"/>
        <v>166.44000000000003</v>
      </c>
      <c r="R35" s="165">
        <f t="shared" si="4"/>
        <v>3256.58</v>
      </c>
      <c r="S35" s="165">
        <f t="shared" si="4"/>
        <v>1756.36</v>
      </c>
      <c r="T35" s="165"/>
      <c r="U35" s="157"/>
    </row>
    <row r="36" spans="1:21" ht="18.75" hidden="1" customHeight="1" x14ac:dyDescent="0.25">
      <c r="A36" s="160"/>
      <c r="B36" s="161"/>
      <c r="C36" s="161"/>
      <c r="D36" s="161"/>
      <c r="E36" s="161"/>
      <c r="F36" s="161"/>
      <c r="G36" s="161"/>
      <c r="H36" s="161"/>
      <c r="I36" s="161"/>
      <c r="J36" s="161"/>
      <c r="K36" s="303"/>
      <c r="L36" s="303"/>
      <c r="M36" s="161"/>
      <c r="N36" s="161"/>
      <c r="O36" s="161"/>
      <c r="P36" s="161"/>
      <c r="Q36" s="161"/>
      <c r="R36" s="161"/>
      <c r="S36" s="161"/>
      <c r="T36" s="161"/>
      <c r="U36" s="157"/>
    </row>
    <row r="37" spans="1:21" ht="18.75" customHeight="1" x14ac:dyDescent="0.25">
      <c r="A37" s="160"/>
      <c r="B37" s="161"/>
      <c r="C37" s="161"/>
      <c r="D37" s="161"/>
      <c r="E37" s="161"/>
      <c r="F37" s="161"/>
      <c r="G37" s="161"/>
      <c r="H37" s="161"/>
      <c r="I37" s="161"/>
      <c r="J37" s="161"/>
      <c r="K37" s="303"/>
      <c r="L37" s="306"/>
      <c r="M37" s="160"/>
      <c r="N37" s="160"/>
      <c r="O37" s="160"/>
      <c r="P37" s="160"/>
      <c r="Q37" s="160"/>
      <c r="R37" s="160"/>
      <c r="S37" s="160"/>
      <c r="T37" s="160"/>
      <c r="U37" s="157"/>
    </row>
    <row r="38" spans="1:21" ht="18.75" customHeight="1" x14ac:dyDescent="0.25">
      <c r="A38" s="31" t="s">
        <v>44</v>
      </c>
      <c r="B38" s="29"/>
      <c r="C38" s="29"/>
      <c r="D38" s="29"/>
      <c r="E38" s="29"/>
      <c r="F38" s="29"/>
      <c r="G38" s="29"/>
      <c r="H38" s="29"/>
      <c r="I38" s="29"/>
      <c r="J38" s="29"/>
      <c r="K38" s="304"/>
      <c r="L38" s="307"/>
      <c r="M38" s="155"/>
      <c r="N38" s="28"/>
      <c r="O38" s="28" t="s">
        <v>182</v>
      </c>
      <c r="P38" s="28"/>
      <c r="Q38" s="28"/>
      <c r="R38" s="28"/>
      <c r="S38" s="155"/>
      <c r="T38" s="155"/>
      <c r="U38" s="30">
        <v>2460413.15</v>
      </c>
    </row>
    <row r="39" spans="1:21" s="32" customFormat="1" ht="18.75" customHeight="1" x14ac:dyDescent="0.25">
      <c r="A39" s="22"/>
      <c r="B39" s="22"/>
      <c r="C39" s="22"/>
      <c r="D39" s="22"/>
      <c r="E39" s="22"/>
      <c r="F39" s="22"/>
      <c r="G39" s="22"/>
      <c r="H39" s="22"/>
      <c r="I39" s="22"/>
      <c r="J39" s="22"/>
      <c r="K39" s="305"/>
      <c r="L39" s="305"/>
      <c r="M39" s="148"/>
      <c r="N39" s="22"/>
      <c r="O39" s="22" t="s">
        <v>45</v>
      </c>
      <c r="P39" s="22"/>
      <c r="Q39" s="22"/>
      <c r="R39" s="22"/>
      <c r="S39" s="148"/>
      <c r="T39" s="148"/>
      <c r="U39" s="30">
        <v>85531.01</v>
      </c>
    </row>
    <row r="40" spans="1:21" s="32" customFormat="1" ht="18.75" customHeight="1" x14ac:dyDescent="0.25">
      <c r="A40" s="22"/>
      <c r="B40" s="22"/>
      <c r="C40" s="22"/>
      <c r="D40" s="22"/>
      <c r="E40" s="22"/>
      <c r="F40" s="22"/>
      <c r="G40" s="22"/>
      <c r="H40" s="22"/>
      <c r="I40" s="22"/>
      <c r="J40" s="22"/>
      <c r="K40" s="305"/>
      <c r="L40" s="305"/>
      <c r="M40" s="148"/>
      <c r="N40" s="22"/>
      <c r="O40" s="22" t="s">
        <v>226</v>
      </c>
      <c r="P40" s="22"/>
      <c r="Q40" s="22"/>
      <c r="R40" s="22"/>
      <c r="S40" s="148"/>
      <c r="T40" s="148"/>
      <c r="U40" s="30">
        <f>SUM(U38:U39)</f>
        <v>2545944.1599999997</v>
      </c>
    </row>
    <row r="41" spans="1:21" s="32" customFormat="1" ht="18.75" customHeight="1" x14ac:dyDescent="0.25">
      <c r="A41" s="22"/>
      <c r="B41" s="22"/>
      <c r="C41" s="22"/>
      <c r="D41" s="22"/>
      <c r="E41" s="22"/>
      <c r="F41" s="22"/>
      <c r="G41" s="22"/>
      <c r="H41" s="22"/>
      <c r="I41" s="22"/>
      <c r="J41" s="22"/>
      <c r="K41" s="305"/>
      <c r="L41" s="305"/>
      <c r="M41" s="148"/>
      <c r="N41" s="22"/>
      <c r="O41" s="22" t="s">
        <v>83</v>
      </c>
      <c r="P41" s="22"/>
      <c r="Q41" s="22"/>
      <c r="R41" s="22"/>
      <c r="S41" s="148"/>
      <c r="T41" s="148"/>
      <c r="U41" s="30">
        <f>+U28-U40</f>
        <v>-165571.8599999994</v>
      </c>
    </row>
    <row r="42" spans="1:21" s="32" customFormat="1" ht="18.75" customHeight="1" x14ac:dyDescent="0.25">
      <c r="A42" s="22"/>
      <c r="B42" s="23"/>
      <c r="C42" s="23"/>
      <c r="D42" s="23"/>
      <c r="E42" s="23"/>
      <c r="F42" s="23"/>
      <c r="G42" s="23"/>
      <c r="H42" s="23"/>
      <c r="I42" s="23"/>
      <c r="J42" s="23"/>
      <c r="K42" s="298"/>
      <c r="L42" s="298"/>
      <c r="M42" s="149"/>
      <c r="N42" s="23"/>
      <c r="O42" s="33"/>
      <c r="P42" s="33"/>
      <c r="Q42" s="33"/>
      <c r="R42" s="33"/>
      <c r="S42" s="33"/>
      <c r="T42" s="33"/>
      <c r="U42" s="34"/>
    </row>
    <row r="43" spans="1:21" s="32" customFormat="1" ht="18.75" customHeight="1" x14ac:dyDescent="0.25">
      <c r="A43" s="22"/>
      <c r="B43" s="22"/>
      <c r="C43" s="22"/>
      <c r="D43" s="22"/>
      <c r="E43" s="22"/>
      <c r="F43" s="22"/>
      <c r="G43" s="22"/>
      <c r="H43" s="22"/>
      <c r="I43" s="22"/>
      <c r="J43" s="22"/>
      <c r="K43" s="305"/>
      <c r="L43" s="305"/>
      <c r="M43" s="22"/>
      <c r="N43" s="22"/>
      <c r="O43" s="35"/>
      <c r="P43" s="35"/>
      <c r="Q43" s="35"/>
      <c r="R43" s="35"/>
      <c r="S43" s="35"/>
      <c r="T43" s="35"/>
      <c r="U43" s="34"/>
    </row>
    <row r="45" spans="1:21" hidden="1" x14ac:dyDescent="0.25">
      <c r="Q45" t="s">
        <v>46</v>
      </c>
      <c r="R45" s="36"/>
      <c r="S45" s="36">
        <v>41823</v>
      </c>
      <c r="T45" s="36"/>
      <c r="U45" s="37">
        <v>3352325.97</v>
      </c>
    </row>
    <row r="46" spans="1:21" hidden="1" x14ac:dyDescent="0.25">
      <c r="A46" s="32"/>
      <c r="U46" s="37"/>
    </row>
    <row r="47" spans="1:21" hidden="1" x14ac:dyDescent="0.25">
      <c r="S47" t="s">
        <v>47</v>
      </c>
      <c r="U47" s="41">
        <f>+U38-U45</f>
        <v>-891912.8200000003</v>
      </c>
    </row>
    <row r="49" spans="1:4" x14ac:dyDescent="0.25">
      <c r="A49" s="182" t="s">
        <v>260</v>
      </c>
    </row>
    <row r="50" spans="1:4" x14ac:dyDescent="0.25">
      <c r="A50" s="38" t="s">
        <v>289</v>
      </c>
      <c r="B50" s="39"/>
      <c r="C50" s="40"/>
      <c r="D50" s="40"/>
    </row>
    <row r="51" spans="1:4" x14ac:dyDescent="0.25">
      <c r="A51" s="327" t="s">
        <v>225</v>
      </c>
      <c r="B51" s="327"/>
    </row>
  </sheetData>
  <sheetProtection algorithmName="SHA-512" hashValue="Hc5CFbLO2LHXiUx2AmdCjxWiAGcK8R4q/O6ePIdpYRnQT3dSI21u7Oe3SBVpNbEnoDw9NzhaoR15ePxwwkqZ1g==" saltValue="1OQMTIYPDJSxMTI+1WIYKA==" spinCount="100000" sheet="1" objects="1" scenarios="1"/>
  <mergeCells count="1">
    <mergeCell ref="B6:Q6"/>
  </mergeCells>
  <conditionalFormatting sqref="V15:XFD26 A15:A26 B15:T24">
    <cfRule type="expression" dxfId="5" priority="5">
      <formula>MOD(ROW(),2)=0</formula>
    </cfRule>
  </conditionalFormatting>
  <pageMargins left="0.28999999999999998" right="0.15" top="0.41" bottom="0.56000000000000005" header="0.3" footer="0.3"/>
  <pageSetup paperSize="5" scale="56" orientation="landscape" r:id="rId1"/>
  <headerFooter>
    <oddFooter>&amp;L&amp;8&amp;D&amp;R&amp;8&amp;Z&amp;F</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HP46"/>
  <sheetViews>
    <sheetView topLeftCell="A7" zoomScale="80" zoomScaleNormal="80" workbookViewId="0">
      <selection activeCell="G25" sqref="G25"/>
    </sheetView>
  </sheetViews>
  <sheetFormatPr defaultRowHeight="15" x14ac:dyDescent="0.25"/>
  <cols>
    <col min="1" max="1" width="13" customWidth="1"/>
    <col min="2" max="2" width="15" bestFit="1" customWidth="1"/>
    <col min="3" max="3" width="13" customWidth="1"/>
    <col min="4" max="4" width="15.5703125" customWidth="1"/>
    <col min="5" max="6" width="15.5703125" style="448" customWidth="1"/>
    <col min="7" max="11" width="13" customWidth="1"/>
    <col min="12" max="12" width="15.5703125" style="264" customWidth="1"/>
    <col min="13" max="13" width="17.140625" customWidth="1"/>
    <col min="14" max="14" width="19.85546875" customWidth="1"/>
    <col min="15" max="15" width="13" customWidth="1"/>
    <col min="16" max="16" width="17.28515625" customWidth="1"/>
    <col min="17" max="20" width="13" customWidth="1"/>
    <col min="21" max="21" width="14" customWidth="1"/>
  </cols>
  <sheetData>
    <row r="1" spans="1:224" x14ac:dyDescent="0.25">
      <c r="A1" s="1" t="s">
        <v>0</v>
      </c>
    </row>
    <row r="2" spans="1:224" x14ac:dyDescent="0.25">
      <c r="A2" s="1" t="s">
        <v>1</v>
      </c>
    </row>
    <row r="3" spans="1:224" x14ac:dyDescent="0.25">
      <c r="A3" s="1" t="s">
        <v>49</v>
      </c>
    </row>
    <row r="4" spans="1:224" x14ac:dyDescent="0.25">
      <c r="A4" s="1" t="s">
        <v>290</v>
      </c>
    </row>
    <row r="6" spans="1:224" x14ac:dyDescent="0.25">
      <c r="A6" s="2"/>
      <c r="B6" s="42" t="s">
        <v>3</v>
      </c>
      <c r="C6" s="42"/>
      <c r="D6" s="42"/>
      <c r="E6" s="42"/>
      <c r="F6" s="42"/>
      <c r="G6" s="42"/>
      <c r="H6" s="42"/>
      <c r="I6" s="42"/>
      <c r="J6" s="42"/>
      <c r="K6" s="42"/>
      <c r="L6" s="42"/>
      <c r="M6" s="42"/>
    </row>
    <row r="7" spans="1:224" s="7" customFormat="1" ht="30" x14ac:dyDescent="0.25">
      <c r="A7" s="571" t="s">
        <v>4</v>
      </c>
      <c r="B7" s="572" t="s">
        <v>50</v>
      </c>
      <c r="C7" s="572" t="s">
        <v>51</v>
      </c>
      <c r="D7" s="572" t="s">
        <v>53</v>
      </c>
      <c r="E7" s="573" t="s">
        <v>267</v>
      </c>
      <c r="F7" s="573" t="s">
        <v>268</v>
      </c>
      <c r="G7" s="595" t="s">
        <v>52</v>
      </c>
      <c r="H7" s="596"/>
      <c r="I7" s="597"/>
      <c r="J7" s="572" t="s">
        <v>54</v>
      </c>
      <c r="K7" s="572" t="s">
        <v>72</v>
      </c>
      <c r="L7" s="572" t="s">
        <v>216</v>
      </c>
      <c r="M7" s="44"/>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row>
    <row r="8" spans="1:224" x14ac:dyDescent="0.25">
      <c r="A8" s="5" t="s">
        <v>6</v>
      </c>
      <c r="B8" s="45" t="s">
        <v>55</v>
      </c>
      <c r="C8" s="46" t="s">
        <v>294</v>
      </c>
      <c r="D8" s="46" t="s">
        <v>59</v>
      </c>
      <c r="E8" s="452" t="s">
        <v>293</v>
      </c>
      <c r="F8" s="452" t="s">
        <v>292</v>
      </c>
      <c r="G8" s="46" t="s">
        <v>56</v>
      </c>
      <c r="H8" s="46" t="s">
        <v>57</v>
      </c>
      <c r="I8" s="46" t="s">
        <v>58</v>
      </c>
      <c r="J8" s="46"/>
      <c r="K8" s="46"/>
      <c r="L8" s="46" t="s">
        <v>218</v>
      </c>
      <c r="M8" s="3"/>
    </row>
    <row r="9" spans="1:224" ht="42.6" customHeight="1" x14ac:dyDescent="0.25">
      <c r="A9" s="5" t="s">
        <v>11</v>
      </c>
      <c r="B9" s="47"/>
      <c r="C9" s="47"/>
      <c r="D9" s="47"/>
      <c r="E9" s="47"/>
      <c r="F9" s="47"/>
      <c r="G9" s="47"/>
      <c r="H9" s="47"/>
      <c r="I9" s="47"/>
      <c r="J9" s="311" t="s">
        <v>67</v>
      </c>
      <c r="K9" s="310" t="s">
        <v>73</v>
      </c>
      <c r="L9" s="310" t="s">
        <v>217</v>
      </c>
      <c r="M9" s="48"/>
    </row>
    <row r="10" spans="1:224" x14ac:dyDescent="0.25">
      <c r="A10" s="5" t="s">
        <v>27</v>
      </c>
      <c r="B10" s="49">
        <v>120423</v>
      </c>
      <c r="C10" s="49">
        <v>120423</v>
      </c>
      <c r="D10" s="49">
        <v>120423</v>
      </c>
      <c r="E10" s="49">
        <v>120423</v>
      </c>
      <c r="F10" s="49">
        <v>120423</v>
      </c>
      <c r="G10" s="49">
        <v>120423</v>
      </c>
      <c r="H10" s="49">
        <v>100863</v>
      </c>
      <c r="I10" s="49">
        <v>120425</v>
      </c>
      <c r="J10" s="49">
        <v>100863</v>
      </c>
      <c r="K10" s="47"/>
      <c r="L10" s="49">
        <v>100863</v>
      </c>
      <c r="M10" s="48"/>
    </row>
    <row r="11" spans="1:224" x14ac:dyDescent="0.25">
      <c r="A11" s="5" t="s">
        <v>28</v>
      </c>
      <c r="B11" s="49">
        <v>755200</v>
      </c>
      <c r="C11" s="49">
        <v>755200</v>
      </c>
      <c r="D11" s="49">
        <v>755200</v>
      </c>
      <c r="E11" s="49">
        <v>755200</v>
      </c>
      <c r="F11" s="49">
        <v>755200</v>
      </c>
      <c r="G11" s="49">
        <v>755200</v>
      </c>
      <c r="H11" s="49">
        <v>755300</v>
      </c>
      <c r="I11" s="49">
        <v>755400</v>
      </c>
      <c r="J11" s="49">
        <v>755300</v>
      </c>
      <c r="K11" s="47"/>
      <c r="L11" s="49">
        <v>755200</v>
      </c>
      <c r="M11" s="48"/>
    </row>
    <row r="12" spans="1:224" s="17" customFormat="1" ht="19.5" customHeight="1" x14ac:dyDescent="0.25">
      <c r="A12" s="50" t="s">
        <v>29</v>
      </c>
      <c r="B12" s="47"/>
      <c r="C12" s="47"/>
      <c r="D12" s="47"/>
      <c r="E12" s="47"/>
      <c r="F12" s="47"/>
      <c r="G12" s="47"/>
      <c r="H12" s="47"/>
      <c r="I12" s="47"/>
      <c r="J12" s="47"/>
      <c r="K12" s="47"/>
      <c r="L12" s="47"/>
      <c r="M12" s="48" t="s">
        <v>30</v>
      </c>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row>
    <row r="13" spans="1:224" ht="19.5" customHeight="1" x14ac:dyDescent="0.25">
      <c r="A13" s="22" t="s">
        <v>31</v>
      </c>
      <c r="B13" s="23">
        <v>114976.58</v>
      </c>
      <c r="C13" s="149">
        <v>17442</v>
      </c>
      <c r="D13" s="149">
        <v>1064.28</v>
      </c>
      <c r="E13" s="149">
        <v>1064.28</v>
      </c>
      <c r="F13" s="149">
        <v>1064.28</v>
      </c>
      <c r="G13" s="149">
        <v>4225.7</v>
      </c>
      <c r="H13" s="149">
        <v>2173.1799999999998</v>
      </c>
      <c r="I13" s="149">
        <v>29649.26</v>
      </c>
      <c r="J13" s="149"/>
      <c r="K13" s="149"/>
      <c r="L13" s="149">
        <v>16.739999999999998</v>
      </c>
      <c r="M13" s="24">
        <f t="shared" ref="M13:M24" si="0">SUM(B13:L13)</f>
        <v>171676.30000000002</v>
      </c>
    </row>
    <row r="14" spans="1:224" ht="19.5" customHeight="1" x14ac:dyDescent="0.25">
      <c r="A14" s="22" t="s">
        <v>32</v>
      </c>
      <c r="B14" s="23">
        <v>131040.21</v>
      </c>
      <c r="C14" s="149">
        <v>38903.980000000003</v>
      </c>
      <c r="D14" s="149">
        <v>1064.28</v>
      </c>
      <c r="E14" s="149">
        <v>1064.28</v>
      </c>
      <c r="F14" s="149">
        <v>1064.28</v>
      </c>
      <c r="G14" s="149">
        <v>4715.03</v>
      </c>
      <c r="H14" s="149">
        <v>1866.98</v>
      </c>
      <c r="I14" s="149">
        <v>28956.35</v>
      </c>
      <c r="J14" s="149"/>
      <c r="K14" s="149"/>
      <c r="L14" s="149">
        <v>16.739999999999998</v>
      </c>
      <c r="M14" s="266">
        <f t="shared" si="0"/>
        <v>208692.13</v>
      </c>
    </row>
    <row r="15" spans="1:224" ht="19.5" customHeight="1" x14ac:dyDescent="0.25">
      <c r="A15" s="22" t="s">
        <v>33</v>
      </c>
      <c r="B15" s="23">
        <v>135732.57</v>
      </c>
      <c r="C15" s="149">
        <v>24458.15</v>
      </c>
      <c r="D15" s="149">
        <v>1064.28</v>
      </c>
      <c r="E15" s="149">
        <v>1064.28</v>
      </c>
      <c r="F15" s="149">
        <v>1064.28</v>
      </c>
      <c r="G15" s="149">
        <v>5403.2</v>
      </c>
      <c r="H15" s="149">
        <v>1550.79</v>
      </c>
      <c r="I15" s="149">
        <v>39099.800000000003</v>
      </c>
      <c r="J15" s="149"/>
      <c r="K15" s="149"/>
      <c r="L15" s="149">
        <v>16.739999999999998</v>
      </c>
      <c r="M15" s="266">
        <f t="shared" si="0"/>
        <v>209454.09000000003</v>
      </c>
    </row>
    <row r="16" spans="1:224" ht="19.5" customHeight="1" x14ac:dyDescent="0.25">
      <c r="A16" s="22" t="s">
        <v>34</v>
      </c>
      <c r="B16" s="23">
        <v>98060.78</v>
      </c>
      <c r="C16" s="149">
        <v>13540.41</v>
      </c>
      <c r="D16" s="149">
        <v>1064.28</v>
      </c>
      <c r="E16" s="149">
        <v>7602.2</v>
      </c>
      <c r="F16" s="149">
        <v>6452.97</v>
      </c>
      <c r="G16" s="149">
        <v>8881.11</v>
      </c>
      <c r="H16" s="149">
        <v>984.67</v>
      </c>
      <c r="I16" s="149">
        <v>32961.03</v>
      </c>
      <c r="J16" s="149"/>
      <c r="K16" s="149"/>
      <c r="L16" s="149">
        <v>152.19</v>
      </c>
      <c r="M16" s="266">
        <f t="shared" si="0"/>
        <v>169699.64</v>
      </c>
    </row>
    <row r="17" spans="1:224" ht="19.5" customHeight="1" x14ac:dyDescent="0.25">
      <c r="A17" s="22" t="s">
        <v>35</v>
      </c>
      <c r="B17" s="23">
        <v>147931.04999999999</v>
      </c>
      <c r="C17" s="149">
        <v>14152.8</v>
      </c>
      <c r="D17" s="149">
        <v>1064.28</v>
      </c>
      <c r="E17" s="149">
        <v>15818.5</v>
      </c>
      <c r="F17" s="149">
        <v>7740.05</v>
      </c>
      <c r="G17" s="149">
        <v>21042.02</v>
      </c>
      <c r="H17" s="149">
        <v>665.97</v>
      </c>
      <c r="I17" s="149">
        <v>35137.26</v>
      </c>
      <c r="J17" s="149"/>
      <c r="K17" s="149"/>
      <c r="L17" s="149">
        <v>242.93</v>
      </c>
      <c r="M17" s="266">
        <f t="shared" si="0"/>
        <v>243794.85999999996</v>
      </c>
    </row>
    <row r="18" spans="1:224" ht="19.5" customHeight="1" x14ac:dyDescent="0.25">
      <c r="A18" s="208" t="s">
        <v>36</v>
      </c>
      <c r="B18" s="162">
        <v>138119.74</v>
      </c>
      <c r="C18" s="162">
        <v>15669.81</v>
      </c>
      <c r="D18" s="162">
        <v>1064.28</v>
      </c>
      <c r="E18" s="162">
        <v>21943.77</v>
      </c>
      <c r="F18" s="162">
        <v>13084.6</v>
      </c>
      <c r="G18" s="162">
        <v>24541.61</v>
      </c>
      <c r="H18" s="162">
        <v>341.88</v>
      </c>
      <c r="I18" s="162">
        <v>30347.45</v>
      </c>
      <c r="J18" s="162"/>
      <c r="K18" s="162"/>
      <c r="L18" s="162">
        <v>281.20999999999998</v>
      </c>
      <c r="M18" s="266">
        <f t="shared" si="0"/>
        <v>245394.35</v>
      </c>
    </row>
    <row r="19" spans="1:224" ht="19.5" customHeight="1" x14ac:dyDescent="0.25">
      <c r="A19" s="208" t="s">
        <v>37</v>
      </c>
      <c r="B19" s="162">
        <v>186771.77</v>
      </c>
      <c r="C19" s="162">
        <v>21512.76</v>
      </c>
      <c r="D19" s="162">
        <v>1064.28</v>
      </c>
      <c r="E19" s="162">
        <v>39619.01</v>
      </c>
      <c r="F19" s="162">
        <v>7327.78</v>
      </c>
      <c r="G19" s="162">
        <v>46735.76</v>
      </c>
      <c r="H19" s="162">
        <v>650.80999999999995</v>
      </c>
      <c r="I19" s="162">
        <v>22580.47</v>
      </c>
      <c r="J19" s="162"/>
      <c r="K19" s="162"/>
      <c r="L19" s="162">
        <v>399.16</v>
      </c>
      <c r="M19" s="266">
        <f t="shared" si="0"/>
        <v>326661.8</v>
      </c>
    </row>
    <row r="20" spans="1:224" ht="19.5" customHeight="1" x14ac:dyDescent="0.25">
      <c r="A20" s="208" t="s">
        <v>38</v>
      </c>
      <c r="B20" s="162">
        <v>157859.85</v>
      </c>
      <c r="C20" s="162">
        <v>18921.36</v>
      </c>
      <c r="D20" s="162">
        <v>1064.28</v>
      </c>
      <c r="E20" s="162">
        <v>25589.13</v>
      </c>
      <c r="F20" s="162">
        <v>7911.53</v>
      </c>
      <c r="G20" s="162">
        <v>35212.26</v>
      </c>
      <c r="H20" s="162">
        <v>820.84</v>
      </c>
      <c r="I20" s="162">
        <v>26872.34</v>
      </c>
      <c r="J20" s="162"/>
      <c r="K20" s="162"/>
      <c r="L20" s="162">
        <v>286.26</v>
      </c>
      <c r="M20" s="266">
        <f t="shared" si="0"/>
        <v>274537.85000000003</v>
      </c>
    </row>
    <row r="21" spans="1:224" ht="19.5" customHeight="1" x14ac:dyDescent="0.25">
      <c r="A21" s="208" t="s">
        <v>39</v>
      </c>
      <c r="B21" s="150">
        <v>118984.77</v>
      </c>
      <c r="C21" s="150">
        <v>12533.54</v>
      </c>
      <c r="D21" s="150">
        <v>1083.69</v>
      </c>
      <c r="E21" s="150">
        <v>16951.75</v>
      </c>
      <c r="F21" s="150">
        <v>1575.32</v>
      </c>
      <c r="G21" s="150">
        <v>21539.68</v>
      </c>
      <c r="H21" s="150">
        <v>902.26</v>
      </c>
      <c r="I21" s="150">
        <v>27776.02</v>
      </c>
      <c r="J21" s="150"/>
      <c r="K21" s="150"/>
      <c r="L21" s="150">
        <v>211.46</v>
      </c>
      <c r="M21" s="266">
        <f t="shared" si="0"/>
        <v>201558.49</v>
      </c>
    </row>
    <row r="22" spans="1:224" ht="19.5" customHeight="1" x14ac:dyDescent="0.25">
      <c r="A22" s="208" t="s">
        <v>40</v>
      </c>
      <c r="B22" s="25">
        <v>108046.42</v>
      </c>
      <c r="C22" s="25">
        <v>13006</v>
      </c>
      <c r="D22" s="25">
        <v>1064.28</v>
      </c>
      <c r="E22" s="25">
        <v>12446.22</v>
      </c>
      <c r="F22" s="25">
        <v>6288.78</v>
      </c>
      <c r="G22" s="25">
        <v>7408.56</v>
      </c>
      <c r="H22" s="25">
        <v>828.02</v>
      </c>
      <c r="I22" s="25">
        <v>30073.45</v>
      </c>
      <c r="J22" s="25"/>
      <c r="K22" s="25"/>
      <c r="L22" s="25">
        <v>65.010000000000005</v>
      </c>
      <c r="M22" s="266">
        <f t="shared" si="0"/>
        <v>179226.74</v>
      </c>
    </row>
    <row r="23" spans="1:224" ht="19.5" customHeight="1" x14ac:dyDescent="0.25">
      <c r="A23" s="208" t="s">
        <v>41</v>
      </c>
      <c r="B23" s="152">
        <v>85505.49</v>
      </c>
      <c r="C23" s="152">
        <v>14229.3</v>
      </c>
      <c r="D23" s="152">
        <v>1064.28</v>
      </c>
      <c r="E23" s="152">
        <v>7978.14</v>
      </c>
      <c r="F23" s="152">
        <v>2445.12</v>
      </c>
      <c r="G23" s="152">
        <v>5150.91</v>
      </c>
      <c r="H23" s="152">
        <v>1127.3699999999999</v>
      </c>
      <c r="I23" s="152">
        <v>46634.42</v>
      </c>
      <c r="J23" s="152"/>
      <c r="K23" s="152"/>
      <c r="L23" s="152">
        <v>16.739999999999998</v>
      </c>
      <c r="M23" s="266">
        <f t="shared" si="0"/>
        <v>164151.76999999999</v>
      </c>
    </row>
    <row r="24" spans="1:224" ht="19.5" customHeight="1" x14ac:dyDescent="0.25">
      <c r="A24" s="208" t="s">
        <v>42</v>
      </c>
      <c r="B24" s="581">
        <v>115875.11</v>
      </c>
      <c r="C24" s="581">
        <v>11828.39</v>
      </c>
      <c r="D24" s="581">
        <v>1064.28</v>
      </c>
      <c r="E24" s="581">
        <v>1556.29</v>
      </c>
      <c r="F24" s="581">
        <v>1064.28</v>
      </c>
      <c r="G24" s="581">
        <v>3916.4</v>
      </c>
      <c r="H24" s="581">
        <v>1271.06</v>
      </c>
      <c r="I24" s="581">
        <v>45711.38</v>
      </c>
      <c r="J24" s="581"/>
      <c r="K24" s="581"/>
      <c r="L24" s="581"/>
      <c r="M24" s="266">
        <f t="shared" si="0"/>
        <v>182287.19</v>
      </c>
    </row>
    <row r="25" spans="1:224" ht="19.5" customHeight="1" x14ac:dyDescent="0.25">
      <c r="A25" s="22"/>
      <c r="B25" s="23"/>
      <c r="C25" s="23"/>
      <c r="D25" s="23"/>
      <c r="E25" s="149"/>
      <c r="F25" s="149"/>
      <c r="G25" s="23"/>
      <c r="H25" s="23"/>
      <c r="I25" s="23"/>
      <c r="J25" s="23"/>
      <c r="K25" s="23"/>
      <c r="L25" s="149"/>
      <c r="M25" s="24"/>
    </row>
    <row r="26" spans="1:224" ht="19.5" customHeight="1" x14ac:dyDescent="0.25">
      <c r="A26" s="26" t="s">
        <v>43</v>
      </c>
      <c r="B26" s="27">
        <f t="shared" ref="B26:L26" si="1">SUM(B13:B25)</f>
        <v>1538904.34</v>
      </c>
      <c r="C26" s="27">
        <f t="shared" si="1"/>
        <v>216198.5</v>
      </c>
      <c r="D26" s="27">
        <f t="shared" si="1"/>
        <v>12790.770000000002</v>
      </c>
      <c r="E26" s="434">
        <f t="shared" si="1"/>
        <v>152697.85000000003</v>
      </c>
      <c r="F26" s="434">
        <f t="shared" si="1"/>
        <v>57083.27</v>
      </c>
      <c r="G26" s="27">
        <f t="shared" si="1"/>
        <v>188772.24</v>
      </c>
      <c r="H26" s="27">
        <f t="shared" si="1"/>
        <v>13183.83</v>
      </c>
      <c r="I26" s="27">
        <f t="shared" si="1"/>
        <v>395799.23000000004</v>
      </c>
      <c r="J26" s="27">
        <f t="shared" si="1"/>
        <v>0</v>
      </c>
      <c r="K26" s="27">
        <f t="shared" si="1"/>
        <v>0</v>
      </c>
      <c r="L26" s="154">
        <f t="shared" si="1"/>
        <v>1705.18</v>
      </c>
      <c r="M26" s="27">
        <f>SUM(M13:M25)</f>
        <v>2577135.21</v>
      </c>
      <c r="N26" s="41"/>
    </row>
    <row r="27" spans="1:224" ht="19.5" customHeight="1" x14ac:dyDescent="0.25">
      <c r="A27" s="22"/>
      <c r="B27" s="23"/>
      <c r="C27" s="23"/>
      <c r="D27" s="23"/>
      <c r="E27" s="149"/>
      <c r="F27" s="149"/>
      <c r="G27" s="23"/>
      <c r="H27" s="23"/>
      <c r="I27" s="23"/>
      <c r="J27" s="23"/>
      <c r="K27" s="23"/>
      <c r="L27" s="149"/>
      <c r="M27" s="24"/>
    </row>
    <row r="28" spans="1:224" s="32" customFormat="1" ht="19.5" customHeight="1" x14ac:dyDescent="0.25">
      <c r="A28" s="22"/>
      <c r="B28" s="22"/>
      <c r="C28" s="22"/>
      <c r="D28" s="22"/>
      <c r="E28" s="450"/>
      <c r="F28" s="450"/>
      <c r="G28" s="22"/>
      <c r="H28" s="22"/>
      <c r="I28" s="22"/>
      <c r="J28" s="22" t="s">
        <v>181</v>
      </c>
      <c r="K28" s="22"/>
      <c r="L28" s="148"/>
      <c r="M28" s="30"/>
      <c r="N28" s="41"/>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row>
    <row r="29" spans="1:224" s="32" customFormat="1" ht="19.5" customHeight="1" x14ac:dyDescent="0.25">
      <c r="A29" s="22"/>
      <c r="B29" s="23"/>
      <c r="C29" s="23"/>
      <c r="D29" s="23"/>
      <c r="E29" s="149"/>
      <c r="F29" s="149"/>
      <c r="G29" s="23"/>
      <c r="H29" s="23"/>
      <c r="I29" s="23"/>
      <c r="J29" s="23"/>
      <c r="K29" s="23"/>
      <c r="L29" s="149"/>
      <c r="M29" s="24"/>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row>
    <row r="30" spans="1:224" s="32" customFormat="1" ht="19.5" customHeight="1" x14ac:dyDescent="0.25">
      <c r="A30" s="22"/>
      <c r="B30" s="22"/>
      <c r="C30" s="22"/>
      <c r="D30" s="22"/>
      <c r="E30" s="450"/>
      <c r="F30" s="450"/>
      <c r="G30" s="22"/>
      <c r="H30" s="22"/>
      <c r="I30" s="22"/>
      <c r="J30" s="22"/>
      <c r="K30" s="22"/>
      <c r="L30" s="148"/>
      <c r="M30" s="22"/>
      <c r="N30"/>
      <c r="O30"/>
      <c r="P30" s="37"/>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row>
    <row r="31" spans="1:224" x14ac:dyDescent="0.25">
      <c r="P31" s="37"/>
    </row>
    <row r="32" spans="1:224" x14ac:dyDescent="0.25">
      <c r="L32"/>
      <c r="P32" s="37"/>
    </row>
    <row r="33" spans="1:16" x14ac:dyDescent="0.25">
      <c r="A33" s="328" t="s">
        <v>306</v>
      </c>
      <c r="B33" s="40"/>
      <c r="C33" s="40"/>
      <c r="L33"/>
      <c r="P33" s="37"/>
    </row>
    <row r="34" spans="1:16" x14ac:dyDescent="0.25">
      <c r="L34"/>
      <c r="P34" s="37"/>
    </row>
    <row r="35" spans="1:16" x14ac:dyDescent="0.25">
      <c r="L35"/>
      <c r="P35" s="37"/>
    </row>
    <row r="36" spans="1:16" x14ac:dyDescent="0.25">
      <c r="L36"/>
      <c r="P36" s="37"/>
    </row>
    <row r="37" spans="1:16" x14ac:dyDescent="0.25">
      <c r="L37"/>
      <c r="P37" s="37"/>
    </row>
    <row r="38" spans="1:16" x14ac:dyDescent="0.25">
      <c r="L38"/>
    </row>
    <row r="39" spans="1:16" x14ac:dyDescent="0.25">
      <c r="L39"/>
      <c r="P39" s="37"/>
    </row>
    <row r="40" spans="1:16" x14ac:dyDescent="0.25">
      <c r="L40"/>
      <c r="P40" s="37"/>
    </row>
    <row r="41" spans="1:16" x14ac:dyDescent="0.25">
      <c r="P41" s="37"/>
    </row>
    <row r="46" spans="1:16" x14ac:dyDescent="0.25">
      <c r="B46" t="s">
        <v>66</v>
      </c>
    </row>
  </sheetData>
  <sheetProtection algorithmName="SHA-512" hashValue="QsXhLriuigsr8zH772aXYrpyUqs8u7fBzl2iYuQ66DJyA172tZJiK+MkeZ/bqg1p/57Wk83KZpFQ5iaa5SosBw==" saltValue="YkNOPQM3qBXu05jtNTrCrg==" spinCount="100000" sheet="1" objects="1" scenarios="1"/>
  <protectedRanges>
    <protectedRange sqref="B24:L24" name="Range1"/>
  </protectedRanges>
  <mergeCells count="1">
    <mergeCell ref="G7:I7"/>
  </mergeCells>
  <conditionalFormatting sqref="HQ13:XFD24 A13:A23 B13:L21">
    <cfRule type="expression" dxfId="4" priority="2">
      <formula>MOD(ROW(),2)=0</formula>
    </cfRule>
  </conditionalFormatting>
  <conditionalFormatting sqref="A24">
    <cfRule type="expression" dxfId="3" priority="1">
      <formula>MOD(ROW(),2)=0</formula>
    </cfRule>
  </conditionalFormatting>
  <pageMargins left="0.52" right="0.18" top="0.45" bottom="0.67" header="0.3" footer="0.3"/>
  <pageSetup scale="65" orientation="landscape" r:id="rId1"/>
  <headerFooter>
    <oddFooter>&amp;L&amp;8&amp;D&amp;R&amp;8&amp;Z&amp;F</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7" sqref="R7"/>
    </sheetView>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5" sqref="H25"/>
    </sheetView>
  </sheetViews>
  <sheetFormatPr defaultRowHeight="15" x14ac:dyDescent="0.2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U51"/>
  <sheetViews>
    <sheetView zoomScale="80" zoomScaleNormal="80" workbookViewId="0">
      <pane xSplit="1" topLeftCell="B1" activePane="topRight" state="frozen"/>
      <selection activeCell="A8" sqref="A8"/>
      <selection pane="topRight" activeCell="K16" sqref="K16"/>
    </sheetView>
  </sheetViews>
  <sheetFormatPr defaultRowHeight="15" x14ac:dyDescent="0.25"/>
  <cols>
    <col min="1" max="1" width="23.5703125" style="448" customWidth="1"/>
    <col min="2" max="2" width="15.140625" style="448" bestFit="1" customWidth="1"/>
    <col min="3" max="3" width="13.5703125" style="448" bestFit="1" customWidth="1"/>
    <col min="4" max="4" width="16.28515625" style="448" customWidth="1"/>
    <col min="5" max="5" width="12.85546875" style="448" bestFit="1" customWidth="1"/>
    <col min="6" max="6" width="12.85546875" style="448" customWidth="1"/>
    <col min="7" max="7" width="12.42578125" style="448" customWidth="1"/>
    <col min="8" max="8" width="12.7109375" style="448" customWidth="1"/>
    <col min="9" max="9" width="12" style="448" customWidth="1"/>
    <col min="10" max="10" width="13.140625" style="448" customWidth="1"/>
    <col min="11" max="11" width="12" style="293" customWidth="1"/>
    <col min="12" max="12" width="11.85546875" style="293" customWidth="1"/>
    <col min="13" max="13" width="12" style="448" customWidth="1"/>
    <col min="14" max="14" width="11.85546875" style="448" customWidth="1"/>
    <col min="15" max="15" width="14.140625" style="448" customWidth="1"/>
    <col min="16" max="16" width="12" style="448" customWidth="1"/>
    <col min="17" max="17" width="12.7109375" style="448" customWidth="1"/>
    <col min="18" max="18" width="12.28515625" style="448" customWidth="1"/>
    <col min="19" max="19" width="11.7109375" style="448" customWidth="1"/>
    <col min="20" max="20" width="14.42578125" style="448" bestFit="1" customWidth="1"/>
    <col min="21" max="21" width="14.7109375" style="448" customWidth="1"/>
    <col min="22" max="22" width="36.42578125" style="448" customWidth="1"/>
    <col min="23" max="16384" width="9.140625" style="448"/>
  </cols>
  <sheetData>
    <row r="1" spans="1:21" x14ac:dyDescent="0.25">
      <c r="A1" s="1" t="s">
        <v>0</v>
      </c>
    </row>
    <row r="2" spans="1:21" x14ac:dyDescent="0.25">
      <c r="A2" s="1" t="s">
        <v>1</v>
      </c>
    </row>
    <row r="3" spans="1:21" x14ac:dyDescent="0.25">
      <c r="A3" s="1" t="s">
        <v>2</v>
      </c>
    </row>
    <row r="4" spans="1:21" x14ac:dyDescent="0.25">
      <c r="A4" s="1" t="s">
        <v>290</v>
      </c>
    </row>
    <row r="6" spans="1:21" ht="26.25" customHeight="1" x14ac:dyDescent="0.25">
      <c r="A6" s="450"/>
      <c r="B6" s="594" t="s">
        <v>3</v>
      </c>
      <c r="C6" s="594"/>
      <c r="D6" s="594"/>
      <c r="E6" s="594"/>
      <c r="F6" s="594"/>
      <c r="G6" s="594"/>
      <c r="H6" s="594"/>
      <c r="I6" s="594"/>
      <c r="J6" s="594"/>
      <c r="K6" s="594"/>
      <c r="L6" s="594"/>
      <c r="M6" s="594"/>
      <c r="N6" s="594"/>
      <c r="O6" s="594"/>
      <c r="P6" s="594"/>
      <c r="Q6" s="594"/>
      <c r="R6" s="579"/>
      <c r="S6" s="579"/>
      <c r="T6" s="579"/>
      <c r="U6" s="139"/>
    </row>
    <row r="7" spans="1:21" ht="26.25" customHeight="1" thickBot="1" x14ac:dyDescent="0.3">
      <c r="A7" s="138" t="s">
        <v>196</v>
      </c>
      <c r="B7" s="579"/>
      <c r="C7" s="579" t="s">
        <v>198</v>
      </c>
      <c r="D7" s="579" t="s">
        <v>197</v>
      </c>
      <c r="E7" s="579" t="s">
        <v>199</v>
      </c>
      <c r="F7" s="326" t="s">
        <v>200</v>
      </c>
      <c r="G7" s="326" t="s">
        <v>201</v>
      </c>
      <c r="H7" s="579" t="s">
        <v>202</v>
      </c>
      <c r="I7" s="579" t="s">
        <v>203</v>
      </c>
      <c r="J7" s="326" t="s">
        <v>204</v>
      </c>
      <c r="K7" s="326" t="s">
        <v>205</v>
      </c>
      <c r="L7" s="326" t="s">
        <v>206</v>
      </c>
      <c r="M7" s="579"/>
      <c r="N7" s="326" t="s">
        <v>207</v>
      </c>
      <c r="O7" s="326" t="s">
        <v>208</v>
      </c>
      <c r="P7" s="326" t="s">
        <v>209</v>
      </c>
      <c r="Q7" s="326" t="s">
        <v>210</v>
      </c>
      <c r="R7" s="579" t="s">
        <v>211</v>
      </c>
      <c r="S7" s="579" t="s">
        <v>212</v>
      </c>
      <c r="T7" s="579" t="s">
        <v>213</v>
      </c>
      <c r="U7" s="139"/>
    </row>
    <row r="8" spans="1:21" s="7" customFormat="1" ht="25.5" customHeight="1" thickTop="1" thickBot="1" x14ac:dyDescent="0.3">
      <c r="A8" s="140" t="s">
        <v>4</v>
      </c>
      <c r="B8" s="552">
        <v>8172000000</v>
      </c>
      <c r="C8" s="553">
        <v>7586920000</v>
      </c>
      <c r="D8" s="553">
        <v>6586920000</v>
      </c>
      <c r="E8" s="561">
        <v>2292110000</v>
      </c>
      <c r="F8" s="561">
        <v>3292110000</v>
      </c>
      <c r="G8" s="561">
        <v>4292110000</v>
      </c>
      <c r="H8" s="558">
        <v>5292110000</v>
      </c>
      <c r="I8" s="561">
        <v>6292110000</v>
      </c>
      <c r="J8" s="553">
        <v>7828300000</v>
      </c>
      <c r="K8" s="554">
        <v>7248100000</v>
      </c>
      <c r="L8" s="554">
        <v>8687300000</v>
      </c>
      <c r="M8" s="553">
        <v>1248900000</v>
      </c>
      <c r="N8" s="555" t="s">
        <v>5</v>
      </c>
      <c r="O8" s="561">
        <v>6117900000</v>
      </c>
      <c r="P8" s="561">
        <v>2248900000</v>
      </c>
      <c r="Q8" s="561">
        <v>3248900000</v>
      </c>
      <c r="R8" s="562" t="s">
        <v>80</v>
      </c>
      <c r="S8" s="559" t="s">
        <v>288</v>
      </c>
      <c r="T8" s="558">
        <v>3740433545</v>
      </c>
      <c r="U8" s="579"/>
    </row>
    <row r="9" spans="1:21" ht="45.75" customHeight="1" thickTop="1" x14ac:dyDescent="0.25">
      <c r="A9" s="140" t="s">
        <v>6</v>
      </c>
      <c r="B9" s="556" t="s">
        <v>7</v>
      </c>
      <c r="C9" s="557" t="s">
        <v>195</v>
      </c>
      <c r="D9" s="446" t="s">
        <v>8</v>
      </c>
      <c r="E9" s="446" t="s">
        <v>255</v>
      </c>
      <c r="F9" s="446" t="s">
        <v>302</v>
      </c>
      <c r="G9" s="446" t="s">
        <v>257</v>
      </c>
      <c r="H9" s="560" t="s">
        <v>304</v>
      </c>
      <c r="I9" s="446" t="s">
        <v>305</v>
      </c>
      <c r="J9" s="446" t="s">
        <v>9</v>
      </c>
      <c r="K9" s="445" t="s">
        <v>253</v>
      </c>
      <c r="L9" s="445" t="s">
        <v>254</v>
      </c>
      <c r="M9" s="446" t="s">
        <v>65</v>
      </c>
      <c r="N9" s="446" t="s">
        <v>303</v>
      </c>
      <c r="O9" s="446" t="s">
        <v>258</v>
      </c>
      <c r="P9" s="446" t="s">
        <v>301</v>
      </c>
      <c r="Q9" s="446" t="s">
        <v>10</v>
      </c>
      <c r="R9" s="446" t="s">
        <v>256</v>
      </c>
      <c r="S9" s="560" t="s">
        <v>90</v>
      </c>
      <c r="T9" s="560" t="s">
        <v>86</v>
      </c>
      <c r="U9" s="139"/>
    </row>
    <row r="10" spans="1:21" ht="26.25" customHeight="1" x14ac:dyDescent="0.25">
      <c r="A10" s="140" t="s">
        <v>11</v>
      </c>
      <c r="B10" s="8" t="s">
        <v>12</v>
      </c>
      <c r="C10" s="8" t="s">
        <v>13</v>
      </c>
      <c r="D10" s="8" t="s">
        <v>14</v>
      </c>
      <c r="E10" s="8" t="s">
        <v>15</v>
      </c>
      <c r="F10" s="8" t="s">
        <v>16</v>
      </c>
      <c r="G10" s="8" t="s">
        <v>17</v>
      </c>
      <c r="H10" s="8" t="s">
        <v>15</v>
      </c>
      <c r="I10" s="8" t="s">
        <v>15</v>
      </c>
      <c r="J10" s="8" t="s">
        <v>18</v>
      </c>
      <c r="K10" s="313" t="s">
        <v>19</v>
      </c>
      <c r="L10" s="313" t="s">
        <v>20</v>
      </c>
      <c r="M10" s="8" t="s">
        <v>21</v>
      </c>
      <c r="N10" s="8" t="s">
        <v>22</v>
      </c>
      <c r="O10" s="9" t="s">
        <v>23</v>
      </c>
      <c r="P10" s="9" t="s">
        <v>24</v>
      </c>
      <c r="Q10" s="9" t="s">
        <v>25</v>
      </c>
      <c r="R10" s="9" t="s">
        <v>26</v>
      </c>
      <c r="S10" s="9" t="s">
        <v>77</v>
      </c>
      <c r="T10" s="9" t="s">
        <v>87</v>
      </c>
      <c r="U10" s="139"/>
    </row>
    <row r="11" spans="1:21" ht="39" customHeight="1" x14ac:dyDescent="0.25">
      <c r="A11" s="54" t="s">
        <v>64</v>
      </c>
      <c r="B11" s="52"/>
      <c r="C11" s="52" t="s">
        <v>61</v>
      </c>
      <c r="D11" s="52"/>
      <c r="E11" s="52"/>
      <c r="F11" s="52"/>
      <c r="G11" s="52"/>
      <c r="H11" s="52"/>
      <c r="I11" s="52"/>
      <c r="J11" s="52" t="s">
        <v>62</v>
      </c>
      <c r="K11" s="295"/>
      <c r="L11" s="295"/>
      <c r="M11" s="52" t="s">
        <v>63</v>
      </c>
      <c r="N11" s="52" t="s">
        <v>60</v>
      </c>
      <c r="O11" s="53" t="s">
        <v>63</v>
      </c>
      <c r="P11" s="53"/>
      <c r="Q11" s="53"/>
      <c r="R11" s="53"/>
      <c r="S11" s="53" t="s">
        <v>89</v>
      </c>
      <c r="T11" s="53" t="s">
        <v>88</v>
      </c>
      <c r="U11" s="13"/>
    </row>
    <row r="12" spans="1:21" ht="26.25" customHeight="1" x14ac:dyDescent="0.25">
      <c r="A12" s="10" t="s">
        <v>27</v>
      </c>
      <c r="B12" s="11">
        <v>120422</v>
      </c>
      <c r="C12" s="11">
        <v>100860</v>
      </c>
      <c r="D12" s="11">
        <v>100860</v>
      </c>
      <c r="E12" s="11">
        <v>100860</v>
      </c>
      <c r="F12" s="11">
        <v>100860</v>
      </c>
      <c r="G12" s="11">
        <v>100860</v>
      </c>
      <c r="H12" s="11">
        <v>100860</v>
      </c>
      <c r="I12" s="11">
        <v>100860</v>
      </c>
      <c r="J12" s="11">
        <v>100860</v>
      </c>
      <c r="K12" s="296">
        <v>100860</v>
      </c>
      <c r="L12" s="296">
        <v>100860</v>
      </c>
      <c r="M12" s="11">
        <v>100860</v>
      </c>
      <c r="N12" s="11">
        <v>100860</v>
      </c>
      <c r="O12" s="12">
        <v>100860</v>
      </c>
      <c r="P12" s="12">
        <v>100860</v>
      </c>
      <c r="Q12" s="12">
        <v>100860</v>
      </c>
      <c r="R12" s="12">
        <v>100860</v>
      </c>
      <c r="S12" s="12">
        <v>100860</v>
      </c>
      <c r="T12" s="12">
        <v>100860</v>
      </c>
      <c r="U12" s="13"/>
    </row>
    <row r="13" spans="1:21" ht="26.25" customHeight="1" x14ac:dyDescent="0.25">
      <c r="A13" s="10" t="s">
        <v>28</v>
      </c>
      <c r="B13" s="11">
        <v>755100</v>
      </c>
      <c r="C13" s="11">
        <v>755100</v>
      </c>
      <c r="D13" s="11">
        <v>755100</v>
      </c>
      <c r="E13" s="11">
        <v>755100</v>
      </c>
      <c r="F13" s="11">
        <v>755100</v>
      </c>
      <c r="G13" s="11">
        <v>755100</v>
      </c>
      <c r="H13" s="11">
        <v>755100</v>
      </c>
      <c r="I13" s="11">
        <v>755100</v>
      </c>
      <c r="J13" s="11">
        <v>755100</v>
      </c>
      <c r="K13" s="296">
        <v>755100</v>
      </c>
      <c r="L13" s="296">
        <v>755100</v>
      </c>
      <c r="M13" s="11">
        <v>755100</v>
      </c>
      <c r="N13" s="11">
        <v>755100</v>
      </c>
      <c r="O13" s="11">
        <v>755100</v>
      </c>
      <c r="P13" s="11">
        <v>755100</v>
      </c>
      <c r="Q13" s="11">
        <v>755100</v>
      </c>
      <c r="R13" s="11">
        <v>755100</v>
      </c>
      <c r="S13" s="11">
        <v>755100</v>
      </c>
      <c r="T13" s="11">
        <v>755100</v>
      </c>
      <c r="U13" s="13"/>
    </row>
    <row r="14" spans="1:21" s="17" customFormat="1" ht="18.75" customHeight="1" thickBot="1" x14ac:dyDescent="0.3">
      <c r="A14" s="143" t="s">
        <v>29</v>
      </c>
      <c r="B14" s="15"/>
      <c r="C14" s="15"/>
      <c r="D14" s="15"/>
      <c r="E14" s="15"/>
      <c r="F14" s="15"/>
      <c r="G14" s="15"/>
      <c r="H14" s="15"/>
      <c r="I14" s="15"/>
      <c r="J14" s="15"/>
      <c r="K14" s="297"/>
      <c r="L14" s="297"/>
      <c r="M14" s="15"/>
      <c r="N14" s="15"/>
      <c r="O14" s="15"/>
      <c r="P14" s="15"/>
      <c r="Q14" s="15"/>
      <c r="R14" s="15"/>
      <c r="S14" s="15"/>
      <c r="T14" s="15"/>
      <c r="U14" s="144" t="s">
        <v>30</v>
      </c>
    </row>
    <row r="15" spans="1:21" ht="18.75" customHeight="1" x14ac:dyDescent="0.25">
      <c r="A15" s="145" t="s">
        <v>31</v>
      </c>
      <c r="B15" s="20">
        <v>374232.8</v>
      </c>
      <c r="C15" s="20">
        <v>3741.25</v>
      </c>
      <c r="D15" s="20">
        <v>51</v>
      </c>
      <c r="E15" s="20">
        <v>1563.12</v>
      </c>
      <c r="F15" s="20">
        <v>682.29</v>
      </c>
      <c r="G15" s="20">
        <v>273.12</v>
      </c>
      <c r="H15" s="20">
        <v>498.09</v>
      </c>
      <c r="I15" s="20">
        <v>201.3</v>
      </c>
      <c r="J15" s="20">
        <v>87.51</v>
      </c>
      <c r="K15" s="20">
        <v>39.19</v>
      </c>
      <c r="L15" s="20">
        <v>287.99</v>
      </c>
      <c r="M15" s="20"/>
      <c r="N15" s="20">
        <v>648.66999999999996</v>
      </c>
      <c r="O15" s="20">
        <v>125.37</v>
      </c>
      <c r="P15" s="20">
        <v>292.85000000000002</v>
      </c>
      <c r="Q15" s="20">
        <v>13.87</v>
      </c>
      <c r="R15" s="20">
        <v>292.33</v>
      </c>
      <c r="S15" s="20">
        <v>135.68</v>
      </c>
      <c r="T15" s="20">
        <v>28.73</v>
      </c>
      <c r="U15" s="147">
        <f t="shared" ref="U15:U28" si="0">SUM(B15:T15)</f>
        <v>383195.15999999992</v>
      </c>
    </row>
    <row r="16" spans="1:21" ht="18.75" customHeight="1" x14ac:dyDescent="0.25">
      <c r="A16" s="450" t="s">
        <v>32</v>
      </c>
      <c r="B16" s="150">
        <v>377601.34</v>
      </c>
      <c r="C16" s="150">
        <v>3683.22</v>
      </c>
      <c r="D16" s="150">
        <v>53.81</v>
      </c>
      <c r="E16" s="150">
        <v>1491.61</v>
      </c>
      <c r="F16" s="150">
        <v>673.15</v>
      </c>
      <c r="G16" s="150">
        <v>299.75</v>
      </c>
      <c r="H16" s="150">
        <v>503.21</v>
      </c>
      <c r="I16" s="150">
        <v>192.74</v>
      </c>
      <c r="J16" s="150">
        <v>85.33</v>
      </c>
      <c r="K16" s="150">
        <v>38.340000000000003</v>
      </c>
      <c r="L16" s="150">
        <v>305.64</v>
      </c>
      <c r="M16" s="150"/>
      <c r="N16" s="150">
        <v>642.07000000000005</v>
      </c>
      <c r="O16" s="150">
        <v>264.79000000000002</v>
      </c>
      <c r="P16" s="150">
        <v>251.98</v>
      </c>
      <c r="Q16" s="150">
        <v>13.87</v>
      </c>
      <c r="R16" s="150">
        <v>289.35000000000002</v>
      </c>
      <c r="S16" s="150">
        <v>124.36</v>
      </c>
      <c r="T16" s="150">
        <v>377.03</v>
      </c>
      <c r="U16" s="147">
        <f t="shared" si="0"/>
        <v>386891.59</v>
      </c>
    </row>
    <row r="17" spans="1:21" ht="18.75" customHeight="1" x14ac:dyDescent="0.25">
      <c r="A17" s="450" t="s">
        <v>33</v>
      </c>
      <c r="B17" s="150">
        <v>327542.09999999998</v>
      </c>
      <c r="C17" s="150">
        <v>3079.03</v>
      </c>
      <c r="D17" s="150">
        <v>46.4</v>
      </c>
      <c r="E17" s="150">
        <v>1121.49</v>
      </c>
      <c r="F17" s="150">
        <v>513.99</v>
      </c>
      <c r="G17" s="150">
        <v>249.31</v>
      </c>
      <c r="H17" s="150">
        <v>384.33</v>
      </c>
      <c r="I17" s="150">
        <v>150.47999999999999</v>
      </c>
      <c r="J17" s="150">
        <v>66.64</v>
      </c>
      <c r="K17" s="150">
        <v>36.409999999999997</v>
      </c>
      <c r="L17" s="150">
        <v>328.13</v>
      </c>
      <c r="M17" s="150"/>
      <c r="N17" s="150">
        <v>501.17</v>
      </c>
      <c r="O17" s="150">
        <v>76.290000000000006</v>
      </c>
      <c r="P17" s="150">
        <v>181.55</v>
      </c>
      <c r="Q17" s="150">
        <v>13.87</v>
      </c>
      <c r="R17" s="150">
        <v>288.27</v>
      </c>
      <c r="S17" s="150">
        <v>89.96</v>
      </c>
      <c r="T17" s="150">
        <v>238.41</v>
      </c>
      <c r="U17" s="147">
        <f t="shared" si="0"/>
        <v>334907.82999999996</v>
      </c>
    </row>
    <row r="18" spans="1:21" ht="18.75" customHeight="1" x14ac:dyDescent="0.25">
      <c r="A18" s="450" t="s">
        <v>34</v>
      </c>
      <c r="B18" s="150">
        <v>190996.62</v>
      </c>
      <c r="C18" s="150">
        <v>2560.73</v>
      </c>
      <c r="D18" s="150">
        <v>41.75</v>
      </c>
      <c r="E18" s="150">
        <v>912.58</v>
      </c>
      <c r="F18" s="150">
        <v>334.62</v>
      </c>
      <c r="G18" s="150">
        <v>225.72</v>
      </c>
      <c r="H18" s="150">
        <v>98.91</v>
      </c>
      <c r="I18" s="150">
        <v>120.63</v>
      </c>
      <c r="J18" s="150">
        <v>41.81</v>
      </c>
      <c r="K18" s="150">
        <v>37.270000000000003</v>
      </c>
      <c r="L18" s="150">
        <v>322.16000000000003</v>
      </c>
      <c r="M18" s="150"/>
      <c r="N18" s="150">
        <v>324.39999999999998</v>
      </c>
      <c r="O18" s="150">
        <v>111.33</v>
      </c>
      <c r="P18" s="150">
        <v>178.48</v>
      </c>
      <c r="Q18" s="150">
        <v>13.87</v>
      </c>
      <c r="R18" s="150">
        <v>253.38</v>
      </c>
      <c r="S18" s="150">
        <v>94.04</v>
      </c>
      <c r="T18" s="150">
        <v>230.42</v>
      </c>
      <c r="U18" s="147">
        <f t="shared" si="0"/>
        <v>196898.72</v>
      </c>
    </row>
    <row r="19" spans="1:21" ht="18.75" customHeight="1" x14ac:dyDescent="0.25">
      <c r="A19" s="450" t="s">
        <v>35</v>
      </c>
      <c r="B19" s="150">
        <v>111703.4</v>
      </c>
      <c r="C19" s="150">
        <v>2887.34</v>
      </c>
      <c r="D19" s="150">
        <v>43.75</v>
      </c>
      <c r="E19" s="150">
        <v>919.87</v>
      </c>
      <c r="F19" s="150">
        <v>360.97</v>
      </c>
      <c r="G19" s="150">
        <v>288.63</v>
      </c>
      <c r="H19" s="150">
        <v>123.78</v>
      </c>
      <c r="I19" s="150">
        <v>148.15</v>
      </c>
      <c r="J19" s="150">
        <v>43.77</v>
      </c>
      <c r="K19" s="150">
        <v>32</v>
      </c>
      <c r="L19" s="150">
        <v>334.7</v>
      </c>
      <c r="M19" s="150"/>
      <c r="N19" s="150">
        <v>344.79</v>
      </c>
      <c r="O19" s="150">
        <v>241.17</v>
      </c>
      <c r="P19" s="150">
        <v>176.81</v>
      </c>
      <c r="Q19" s="150">
        <v>13.87</v>
      </c>
      <c r="R19" s="150">
        <v>257.52999999999997</v>
      </c>
      <c r="S19" s="150">
        <v>208.24</v>
      </c>
      <c r="T19" s="150">
        <v>19.809999999999999</v>
      </c>
      <c r="U19" s="147">
        <f t="shared" si="0"/>
        <v>118148.57999999997</v>
      </c>
    </row>
    <row r="20" spans="1:21" ht="18.75" customHeight="1" x14ac:dyDescent="0.25">
      <c r="A20" s="450" t="s">
        <v>36</v>
      </c>
      <c r="B20" s="150">
        <v>131830.89000000001</v>
      </c>
      <c r="C20" s="150">
        <v>2957.21</v>
      </c>
      <c r="D20" s="150">
        <v>34.26</v>
      </c>
      <c r="E20" s="150">
        <v>832.06</v>
      </c>
      <c r="F20" s="150">
        <v>338.56</v>
      </c>
      <c r="G20" s="150">
        <v>237.2</v>
      </c>
      <c r="H20" s="150">
        <v>152.12</v>
      </c>
      <c r="I20" s="150">
        <v>140.66999999999999</v>
      </c>
      <c r="J20" s="150">
        <v>33.869999999999997</v>
      </c>
      <c r="K20" s="150">
        <v>34.9</v>
      </c>
      <c r="L20" s="150">
        <v>342.66</v>
      </c>
      <c r="M20" s="150"/>
      <c r="N20" s="150">
        <v>333.87</v>
      </c>
      <c r="O20" s="150">
        <v>39.799999999999997</v>
      </c>
      <c r="P20" s="150">
        <v>204.08</v>
      </c>
      <c r="Q20" s="150">
        <v>13.87</v>
      </c>
      <c r="R20" s="150">
        <v>256.23</v>
      </c>
      <c r="S20" s="150">
        <v>252.53</v>
      </c>
      <c r="T20" s="150">
        <v>19.809999999999999</v>
      </c>
      <c r="U20" s="147">
        <f t="shared" si="0"/>
        <v>138054.59</v>
      </c>
    </row>
    <row r="21" spans="1:21" ht="18.75" customHeight="1" x14ac:dyDescent="0.25">
      <c r="A21" s="450" t="s">
        <v>37</v>
      </c>
      <c r="B21" s="150">
        <v>106120.78</v>
      </c>
      <c r="C21" s="150">
        <v>2653.58</v>
      </c>
      <c r="D21" s="150">
        <v>41.2</v>
      </c>
      <c r="E21" s="150">
        <v>772.3</v>
      </c>
      <c r="F21" s="150">
        <v>338.54</v>
      </c>
      <c r="G21" s="150">
        <v>254.63</v>
      </c>
      <c r="H21" s="150">
        <v>110.31</v>
      </c>
      <c r="I21" s="150">
        <v>147.51</v>
      </c>
      <c r="J21" s="150">
        <v>36.56</v>
      </c>
      <c r="K21" s="150">
        <v>34.729999999999997</v>
      </c>
      <c r="L21" s="150">
        <v>325.36</v>
      </c>
      <c r="M21" s="150"/>
      <c r="N21" s="150">
        <v>338.25</v>
      </c>
      <c r="O21" s="150">
        <v>95.41</v>
      </c>
      <c r="P21" s="150">
        <v>292.97000000000003</v>
      </c>
      <c r="Q21" s="150">
        <v>13.87</v>
      </c>
      <c r="R21" s="150">
        <v>254.96</v>
      </c>
      <c r="S21" s="150">
        <v>272.14</v>
      </c>
      <c r="T21" s="150">
        <v>19.809999999999999</v>
      </c>
      <c r="U21" s="147">
        <f t="shared" si="0"/>
        <v>112122.90999999999</v>
      </c>
    </row>
    <row r="22" spans="1:21" ht="18.75" customHeight="1" x14ac:dyDescent="0.25">
      <c r="A22" s="450" t="s">
        <v>38</v>
      </c>
      <c r="B22" s="150">
        <v>121543.35</v>
      </c>
      <c r="C22" s="150">
        <v>2844.08</v>
      </c>
      <c r="D22" s="150">
        <v>41.41</v>
      </c>
      <c r="E22" s="150">
        <v>737.77</v>
      </c>
      <c r="F22" s="150">
        <v>354.92</v>
      </c>
      <c r="G22" s="150">
        <v>270.25</v>
      </c>
      <c r="H22" s="150">
        <v>86.98</v>
      </c>
      <c r="I22" s="150">
        <v>131.71</v>
      </c>
      <c r="J22" s="150">
        <v>37.619999999999997</v>
      </c>
      <c r="K22" s="150">
        <v>35.46</v>
      </c>
      <c r="L22" s="150">
        <v>328.39</v>
      </c>
      <c r="M22" s="150"/>
      <c r="N22" s="150">
        <v>349.38</v>
      </c>
      <c r="O22" s="150">
        <v>166.96</v>
      </c>
      <c r="P22" s="150">
        <v>354.23</v>
      </c>
      <c r="Q22" s="150">
        <v>13.87</v>
      </c>
      <c r="R22" s="150">
        <v>255.46</v>
      </c>
      <c r="S22" s="150">
        <v>189.15</v>
      </c>
      <c r="T22" s="150">
        <v>250.85</v>
      </c>
      <c r="U22" s="147">
        <f t="shared" si="0"/>
        <v>127991.84000000003</v>
      </c>
    </row>
    <row r="23" spans="1:21" ht="18.600000000000001" customHeight="1" x14ac:dyDescent="0.25">
      <c r="A23" s="450" t="s">
        <v>39</v>
      </c>
      <c r="B23" s="150">
        <v>140976.01999999999</v>
      </c>
      <c r="C23" s="150">
        <v>1683.68</v>
      </c>
      <c r="D23" s="150">
        <v>37.81</v>
      </c>
      <c r="E23" s="150">
        <v>664.76</v>
      </c>
      <c r="F23" s="150">
        <v>308.88</v>
      </c>
      <c r="G23" s="150">
        <v>325.27</v>
      </c>
      <c r="H23" s="150">
        <v>50.14</v>
      </c>
      <c r="I23" s="150">
        <v>116.76</v>
      </c>
      <c r="J23" s="150">
        <v>50.97</v>
      </c>
      <c r="K23" s="150">
        <v>34.340000000000003</v>
      </c>
      <c r="L23" s="150">
        <v>258.19</v>
      </c>
      <c r="M23" s="150"/>
      <c r="N23" s="150">
        <v>288.91000000000003</v>
      </c>
      <c r="O23" s="150">
        <v>159.97</v>
      </c>
      <c r="P23" s="150">
        <v>161.63999999999999</v>
      </c>
      <c r="Q23" s="150">
        <v>13.87</v>
      </c>
      <c r="R23" s="150">
        <v>247.17</v>
      </c>
      <c r="S23" s="150">
        <v>104.76</v>
      </c>
      <c r="T23" s="150">
        <v>301.64</v>
      </c>
      <c r="U23" s="147">
        <f t="shared" si="0"/>
        <v>145784.78000000006</v>
      </c>
    </row>
    <row r="24" spans="1:21" ht="18.75" customHeight="1" x14ac:dyDescent="0.25">
      <c r="A24" s="450" t="s">
        <v>40</v>
      </c>
      <c r="B24" s="150">
        <v>84831.74</v>
      </c>
      <c r="C24" s="150">
        <v>2853.31</v>
      </c>
      <c r="D24" s="150">
        <v>42.46</v>
      </c>
      <c r="E24" s="150">
        <v>837.42</v>
      </c>
      <c r="F24" s="150">
        <v>444.73</v>
      </c>
      <c r="G24" s="150">
        <v>254.01</v>
      </c>
      <c r="H24" s="150">
        <v>104.96</v>
      </c>
      <c r="I24" s="150">
        <v>130.69</v>
      </c>
      <c r="J24" s="150">
        <v>92.85</v>
      </c>
      <c r="K24" s="150">
        <v>29.19</v>
      </c>
      <c r="L24" s="150">
        <v>293.11</v>
      </c>
      <c r="M24" s="150"/>
      <c r="N24" s="150">
        <v>407.83</v>
      </c>
      <c r="O24" s="150">
        <v>264.5</v>
      </c>
      <c r="P24" s="150">
        <v>137.87</v>
      </c>
      <c r="Q24" s="150">
        <v>13.87</v>
      </c>
      <c r="R24" s="150">
        <v>286.37</v>
      </c>
      <c r="S24" s="150">
        <v>107.41</v>
      </c>
      <c r="T24" s="150">
        <v>21.33</v>
      </c>
      <c r="U24" s="147">
        <f t="shared" si="0"/>
        <v>91153.650000000009</v>
      </c>
    </row>
    <row r="25" spans="1:21" s="325" customFormat="1" ht="18.75" customHeight="1" x14ac:dyDescent="0.25">
      <c r="A25" s="323" t="s">
        <v>41</v>
      </c>
      <c r="B25" s="578">
        <v>105426.1</v>
      </c>
      <c r="C25" s="576">
        <v>3569.78</v>
      </c>
      <c r="D25" s="577">
        <v>46.16</v>
      </c>
      <c r="E25" s="578">
        <v>1067.02</v>
      </c>
      <c r="F25" s="578">
        <v>528.02</v>
      </c>
      <c r="G25" s="578">
        <v>329.02</v>
      </c>
      <c r="H25" s="578">
        <v>157.41</v>
      </c>
      <c r="I25" s="578">
        <v>148.43</v>
      </c>
      <c r="J25" s="577">
        <v>84.16</v>
      </c>
      <c r="K25" s="578">
        <v>35.17</v>
      </c>
      <c r="L25" s="577">
        <v>311.44</v>
      </c>
      <c r="M25" s="152"/>
      <c r="N25" s="575">
        <v>479.77</v>
      </c>
      <c r="O25" s="578">
        <v>315.52</v>
      </c>
      <c r="P25" s="578">
        <v>205.09</v>
      </c>
      <c r="Q25" s="578">
        <v>13.87</v>
      </c>
      <c r="R25" s="578">
        <v>290.08999999999997</v>
      </c>
      <c r="S25" s="578">
        <v>93.49</v>
      </c>
      <c r="T25" s="578">
        <v>297.3</v>
      </c>
      <c r="U25" s="324">
        <f>SUM(B25:T25)</f>
        <v>113397.84000000003</v>
      </c>
    </row>
    <row r="26" spans="1:21" ht="18.75" customHeight="1" x14ac:dyDescent="0.25">
      <c r="A26" s="450" t="s">
        <v>42</v>
      </c>
      <c r="B26" s="576">
        <v>224305.93</v>
      </c>
      <c r="C26" s="38">
        <f>AVERAGE(C15:C25)</f>
        <v>2955.7463636363641</v>
      </c>
      <c r="D26" s="38">
        <f t="shared" ref="D26:T26" si="1">AVERAGE(D15:D25)</f>
        <v>43.637272727272723</v>
      </c>
      <c r="E26" s="38">
        <f t="shared" si="1"/>
        <v>992.72727272727275</v>
      </c>
      <c r="F26" s="38">
        <f t="shared" si="1"/>
        <v>443.51545454545453</v>
      </c>
      <c r="G26" s="38">
        <f t="shared" si="1"/>
        <v>273.35545454545456</v>
      </c>
      <c r="H26" s="38">
        <f t="shared" si="1"/>
        <v>206.38545454545454</v>
      </c>
      <c r="I26" s="38">
        <f t="shared" si="1"/>
        <v>148.09727272727275</v>
      </c>
      <c r="J26" s="38">
        <f t="shared" si="1"/>
        <v>60.099090909090911</v>
      </c>
      <c r="K26" s="38">
        <f t="shared" si="1"/>
        <v>35.18181818181818</v>
      </c>
      <c r="L26" s="38">
        <f t="shared" si="1"/>
        <v>312.52454545454549</v>
      </c>
      <c r="M26" s="38"/>
      <c r="N26" s="38">
        <f t="shared" si="1"/>
        <v>423.55545454545461</v>
      </c>
      <c r="O26" s="38">
        <f t="shared" si="1"/>
        <v>169.19181818181818</v>
      </c>
      <c r="P26" s="38">
        <f t="shared" si="1"/>
        <v>221.59545454545457</v>
      </c>
      <c r="Q26" s="38">
        <f t="shared" si="1"/>
        <v>13.870000000000003</v>
      </c>
      <c r="R26" s="38">
        <v>268.11</v>
      </c>
      <c r="S26" s="38">
        <f t="shared" si="1"/>
        <v>151.97818181818181</v>
      </c>
      <c r="T26" s="38">
        <f t="shared" si="1"/>
        <v>164.10363636363633</v>
      </c>
      <c r="U26" s="324">
        <f>SUM(B26:T26)</f>
        <v>231189.60454545449</v>
      </c>
    </row>
    <row r="27" spans="1:21" ht="18.75" customHeight="1" x14ac:dyDescent="0.25">
      <c r="A27" s="450"/>
      <c r="B27" s="162"/>
      <c r="C27" s="162"/>
      <c r="D27" s="162"/>
      <c r="E27" s="149"/>
      <c r="F27" s="149"/>
      <c r="G27" s="149"/>
      <c r="H27" s="149"/>
      <c r="I27" s="149"/>
      <c r="J27" s="149"/>
      <c r="K27" s="298"/>
      <c r="L27" s="305"/>
      <c r="M27" s="450"/>
      <c r="N27" s="450"/>
      <c r="O27" s="450"/>
      <c r="P27" s="450"/>
      <c r="Q27" s="450"/>
      <c r="R27" s="450"/>
      <c r="S27" s="450"/>
      <c r="T27" s="450"/>
      <c r="U27" s="139"/>
    </row>
    <row r="28" spans="1:21" ht="18.75" customHeight="1" x14ac:dyDescent="0.25">
      <c r="A28" s="153" t="s">
        <v>43</v>
      </c>
      <c r="B28" s="434">
        <f t="shared" ref="B28:T28" si="2">SUM(B15:B27)</f>
        <v>2297111.0700000003</v>
      </c>
      <c r="C28" s="434">
        <f t="shared" si="2"/>
        <v>35468.956363636367</v>
      </c>
      <c r="D28" s="434">
        <f t="shared" si="2"/>
        <v>523.64727272727271</v>
      </c>
      <c r="E28" s="434">
        <f t="shared" si="2"/>
        <v>11912.727272727272</v>
      </c>
      <c r="F28" s="434">
        <f t="shared" si="2"/>
        <v>5322.1854545454544</v>
      </c>
      <c r="G28" s="434">
        <f>SUM(G15:G27)</f>
        <v>3280.2654545454548</v>
      </c>
      <c r="H28" s="434">
        <f>SUM(H15:H27)</f>
        <v>2476.6254545454544</v>
      </c>
      <c r="I28" s="434">
        <f t="shared" si="2"/>
        <v>1777.167272727273</v>
      </c>
      <c r="J28" s="434">
        <f t="shared" si="2"/>
        <v>721.18909090909096</v>
      </c>
      <c r="K28" s="299">
        <f>SUM(K15:K27)</f>
        <v>422.18181818181819</v>
      </c>
      <c r="L28" s="299">
        <f t="shared" si="2"/>
        <v>3750.2945454545461</v>
      </c>
      <c r="M28" s="434">
        <f t="shared" si="2"/>
        <v>0</v>
      </c>
      <c r="N28" s="434">
        <f>SUM(N15:N27)</f>
        <v>5082.6654545454548</v>
      </c>
      <c r="O28" s="434">
        <f t="shared" si="2"/>
        <v>2030.3018181818181</v>
      </c>
      <c r="P28" s="434">
        <f t="shared" si="2"/>
        <v>2659.1454545454549</v>
      </c>
      <c r="Q28" s="434">
        <f t="shared" si="2"/>
        <v>166.44000000000003</v>
      </c>
      <c r="R28" s="434">
        <f t="shared" si="2"/>
        <v>3239.25</v>
      </c>
      <c r="S28" s="434">
        <f t="shared" si="2"/>
        <v>1823.7381818181818</v>
      </c>
      <c r="T28" s="434">
        <f t="shared" si="2"/>
        <v>1969.2436363636359</v>
      </c>
      <c r="U28" s="324">
        <f t="shared" si="0"/>
        <v>2379737.0945454552</v>
      </c>
    </row>
    <row r="29" spans="1:21" s="267" customFormat="1" ht="18.75" hidden="1" customHeight="1" x14ac:dyDescent="0.25">
      <c r="A29" s="164" t="s">
        <v>92</v>
      </c>
      <c r="B29" s="163"/>
      <c r="C29" s="163"/>
      <c r="D29" s="163"/>
      <c r="E29" s="163"/>
      <c r="F29" s="163"/>
      <c r="G29" s="163"/>
      <c r="H29" s="163"/>
      <c r="I29" s="163"/>
      <c r="J29" s="163"/>
      <c r="K29" s="300"/>
      <c r="L29" s="300"/>
      <c r="M29" s="163"/>
      <c r="N29" s="163"/>
      <c r="O29" s="163"/>
      <c r="P29" s="163"/>
      <c r="Q29" s="163"/>
      <c r="R29" s="163"/>
      <c r="S29" s="163"/>
      <c r="T29" s="163"/>
      <c r="U29" s="157"/>
    </row>
    <row r="30" spans="1:21" ht="18.75" hidden="1" customHeight="1" x14ac:dyDescent="0.25">
      <c r="A30" s="160" t="s">
        <v>79</v>
      </c>
      <c r="B30" s="165"/>
      <c r="C30" s="165"/>
      <c r="D30" s="165"/>
      <c r="E30" s="165"/>
      <c r="F30" s="165"/>
      <c r="G30" s="165"/>
      <c r="H30" s="165"/>
      <c r="I30" s="165"/>
      <c r="J30" s="165"/>
      <c r="K30" s="301"/>
      <c r="L30" s="301"/>
      <c r="M30" s="165"/>
      <c r="N30" s="165"/>
      <c r="O30" s="165"/>
      <c r="P30" s="165"/>
      <c r="Q30" s="165"/>
      <c r="R30" s="165"/>
      <c r="S30" s="165"/>
      <c r="T30" s="165"/>
      <c r="U30" s="157"/>
    </row>
    <row r="31" spans="1:21" ht="18.75" hidden="1" customHeight="1" x14ac:dyDescent="0.25">
      <c r="A31" s="160" t="s">
        <v>81</v>
      </c>
      <c r="B31" s="165"/>
      <c r="C31" s="165"/>
      <c r="D31" s="165"/>
      <c r="E31" s="165"/>
      <c r="F31" s="165"/>
      <c r="G31" s="165"/>
      <c r="H31" s="165"/>
      <c r="I31" s="165"/>
      <c r="J31" s="165"/>
      <c r="K31" s="301"/>
      <c r="L31" s="301"/>
      <c r="M31" s="165"/>
      <c r="N31" s="165"/>
      <c r="O31" s="165"/>
      <c r="P31" s="165"/>
      <c r="Q31" s="165"/>
      <c r="R31" s="165"/>
      <c r="S31" s="165"/>
      <c r="T31" s="165"/>
      <c r="U31" s="157"/>
    </row>
    <row r="32" spans="1:21" ht="18.75" hidden="1" customHeight="1" x14ac:dyDescent="0.25">
      <c r="A32" s="160" t="s">
        <v>84</v>
      </c>
      <c r="B32" s="165"/>
      <c r="C32" s="165"/>
      <c r="D32" s="165"/>
      <c r="E32" s="165"/>
      <c r="F32" s="165"/>
      <c r="G32" s="165"/>
      <c r="H32" s="165"/>
      <c r="I32" s="165"/>
      <c r="J32" s="165"/>
      <c r="K32" s="301"/>
      <c r="L32" s="301"/>
      <c r="M32" s="165"/>
      <c r="N32" s="165"/>
      <c r="O32" s="165"/>
      <c r="P32" s="165"/>
      <c r="Q32" s="165"/>
      <c r="R32" s="165"/>
      <c r="S32" s="165"/>
      <c r="T32" s="165"/>
      <c r="U32" s="157"/>
    </row>
    <row r="33" spans="1:21" ht="18.75" hidden="1" customHeight="1" x14ac:dyDescent="0.25">
      <c r="A33" s="160"/>
      <c r="B33" s="165"/>
      <c r="C33" s="165"/>
      <c r="D33" s="165"/>
      <c r="E33" s="165"/>
      <c r="F33" s="165"/>
      <c r="G33" s="165"/>
      <c r="H33" s="165"/>
      <c r="I33" s="165"/>
      <c r="J33" s="165"/>
      <c r="K33" s="301"/>
      <c r="L33" s="301"/>
      <c r="M33" s="165"/>
      <c r="N33" s="165"/>
      <c r="O33" s="165"/>
      <c r="P33" s="165"/>
      <c r="Q33" s="165"/>
      <c r="R33" s="165"/>
      <c r="S33" s="165"/>
      <c r="T33" s="165"/>
      <c r="U33" s="157"/>
    </row>
    <row r="34" spans="1:21" ht="18.75" hidden="1" customHeight="1" x14ac:dyDescent="0.25">
      <c r="A34" s="164" t="s">
        <v>82</v>
      </c>
      <c r="B34" s="166">
        <f t="shared" ref="B34:S34" si="3">B29+B30-B31+B32</f>
        <v>0</v>
      </c>
      <c r="C34" s="166">
        <f t="shared" si="3"/>
        <v>0</v>
      </c>
      <c r="D34" s="166">
        <f t="shared" si="3"/>
        <v>0</v>
      </c>
      <c r="E34" s="166">
        <f t="shared" si="3"/>
        <v>0</v>
      </c>
      <c r="F34" s="166">
        <f t="shared" si="3"/>
        <v>0</v>
      </c>
      <c r="G34" s="166">
        <f t="shared" si="3"/>
        <v>0</v>
      </c>
      <c r="H34" s="166">
        <f t="shared" si="3"/>
        <v>0</v>
      </c>
      <c r="I34" s="166">
        <f t="shared" si="3"/>
        <v>0</v>
      </c>
      <c r="J34" s="166">
        <f t="shared" si="3"/>
        <v>0</v>
      </c>
      <c r="K34" s="302">
        <f t="shared" si="3"/>
        <v>0</v>
      </c>
      <c r="L34" s="302">
        <f t="shared" si="3"/>
        <v>0</v>
      </c>
      <c r="M34" s="166">
        <f t="shared" si="3"/>
        <v>0</v>
      </c>
      <c r="N34" s="166">
        <f t="shared" si="3"/>
        <v>0</v>
      </c>
      <c r="O34" s="166">
        <f t="shared" si="3"/>
        <v>0</v>
      </c>
      <c r="P34" s="166">
        <f t="shared" si="3"/>
        <v>0</v>
      </c>
      <c r="Q34" s="166">
        <f t="shared" si="3"/>
        <v>0</v>
      </c>
      <c r="R34" s="166">
        <f t="shared" si="3"/>
        <v>0</v>
      </c>
      <c r="S34" s="166">
        <f t="shared" si="3"/>
        <v>0</v>
      </c>
      <c r="T34" s="166"/>
      <c r="U34" s="157"/>
    </row>
    <row r="35" spans="1:21" ht="18.75" hidden="1" customHeight="1" x14ac:dyDescent="0.25">
      <c r="A35" s="160" t="s">
        <v>83</v>
      </c>
      <c r="B35" s="165">
        <f t="shared" ref="B35:S35" si="4">+B28-B34</f>
        <v>2297111.0700000003</v>
      </c>
      <c r="C35" s="165">
        <f t="shared" si="4"/>
        <v>35468.956363636367</v>
      </c>
      <c r="D35" s="165">
        <f t="shared" si="4"/>
        <v>523.64727272727271</v>
      </c>
      <c r="E35" s="165">
        <f t="shared" si="4"/>
        <v>11912.727272727272</v>
      </c>
      <c r="F35" s="165">
        <f t="shared" si="4"/>
        <v>5322.1854545454544</v>
      </c>
      <c r="G35" s="165">
        <f t="shared" si="4"/>
        <v>3280.2654545454548</v>
      </c>
      <c r="H35" s="165">
        <f t="shared" si="4"/>
        <v>2476.6254545454544</v>
      </c>
      <c r="I35" s="165">
        <f t="shared" si="4"/>
        <v>1777.167272727273</v>
      </c>
      <c r="J35" s="165">
        <f t="shared" si="4"/>
        <v>721.18909090909096</v>
      </c>
      <c r="K35" s="301">
        <f t="shared" si="4"/>
        <v>422.18181818181819</v>
      </c>
      <c r="L35" s="301">
        <f t="shared" si="4"/>
        <v>3750.2945454545461</v>
      </c>
      <c r="M35" s="165">
        <f t="shared" si="4"/>
        <v>0</v>
      </c>
      <c r="N35" s="165">
        <f t="shared" si="4"/>
        <v>5082.6654545454548</v>
      </c>
      <c r="O35" s="165">
        <f t="shared" si="4"/>
        <v>2030.3018181818181</v>
      </c>
      <c r="P35" s="165">
        <f t="shared" si="4"/>
        <v>2659.1454545454549</v>
      </c>
      <c r="Q35" s="165">
        <f t="shared" si="4"/>
        <v>166.44000000000003</v>
      </c>
      <c r="R35" s="165">
        <f t="shared" si="4"/>
        <v>3239.25</v>
      </c>
      <c r="S35" s="165">
        <f t="shared" si="4"/>
        <v>1823.7381818181818</v>
      </c>
      <c r="T35" s="165"/>
      <c r="U35" s="157"/>
    </row>
    <row r="36" spans="1:21" ht="18.75" hidden="1" customHeight="1" x14ac:dyDescent="0.25">
      <c r="A36" s="160"/>
      <c r="B36" s="161"/>
      <c r="C36" s="161"/>
      <c r="D36" s="161"/>
      <c r="E36" s="161"/>
      <c r="F36" s="161"/>
      <c r="G36" s="161"/>
      <c r="H36" s="161"/>
      <c r="I36" s="161"/>
      <c r="J36" s="161"/>
      <c r="K36" s="303"/>
      <c r="L36" s="303"/>
      <c r="M36" s="161"/>
      <c r="N36" s="161"/>
      <c r="O36" s="161"/>
      <c r="P36" s="161"/>
      <c r="Q36" s="161"/>
      <c r="R36" s="161"/>
      <c r="S36" s="161"/>
      <c r="T36" s="161"/>
      <c r="U36" s="157"/>
    </row>
    <row r="37" spans="1:21" ht="18.75" customHeight="1" x14ac:dyDescent="0.25">
      <c r="A37" s="160"/>
      <c r="B37" s="161"/>
      <c r="C37" s="161"/>
      <c r="D37" s="161"/>
      <c r="E37" s="161"/>
      <c r="F37" s="161"/>
      <c r="G37" s="161"/>
      <c r="H37" s="161"/>
      <c r="I37" s="161"/>
      <c r="J37" s="161"/>
      <c r="K37" s="303"/>
      <c r="L37" s="306"/>
      <c r="M37" s="160"/>
      <c r="N37" s="160"/>
      <c r="O37" s="160"/>
      <c r="P37" s="160"/>
      <c r="Q37" s="160"/>
      <c r="R37" s="160"/>
      <c r="S37" s="160"/>
      <c r="T37" s="160"/>
      <c r="U37" s="157"/>
    </row>
    <row r="38" spans="1:21" ht="18.75" customHeight="1" x14ac:dyDescent="0.25">
      <c r="A38" s="158" t="s">
        <v>44</v>
      </c>
      <c r="B38" s="156"/>
      <c r="C38" s="156"/>
      <c r="D38" s="156"/>
      <c r="E38" s="156"/>
      <c r="F38" s="156"/>
      <c r="G38" s="156"/>
      <c r="H38" s="156"/>
      <c r="I38" s="156"/>
      <c r="J38" s="156"/>
      <c r="K38" s="304"/>
      <c r="L38" s="307"/>
      <c r="M38" s="155"/>
      <c r="N38" s="155"/>
      <c r="O38" s="155" t="s">
        <v>182</v>
      </c>
      <c r="P38" s="155"/>
      <c r="Q38" s="155"/>
      <c r="R38" s="155"/>
      <c r="S38" s="155"/>
      <c r="T38" s="155"/>
      <c r="U38" s="157">
        <v>2460413.15</v>
      </c>
    </row>
    <row r="39" spans="1:21" s="32" customFormat="1" ht="18.75" customHeight="1" x14ac:dyDescent="0.25">
      <c r="A39" s="450"/>
      <c r="B39" s="450"/>
      <c r="C39" s="450"/>
      <c r="D39" s="450"/>
      <c r="E39" s="450"/>
      <c r="F39" s="450"/>
      <c r="G39" s="450"/>
      <c r="H39" s="450"/>
      <c r="I39" s="450"/>
      <c r="J39" s="450"/>
      <c r="K39" s="305"/>
      <c r="L39" s="305"/>
      <c r="M39" s="450"/>
      <c r="N39" s="450"/>
      <c r="O39" s="450" t="s">
        <v>45</v>
      </c>
      <c r="P39" s="450"/>
      <c r="Q39" s="450"/>
      <c r="R39" s="450"/>
      <c r="S39" s="450"/>
      <c r="T39" s="450"/>
      <c r="U39" s="157">
        <v>85531.01</v>
      </c>
    </row>
    <row r="40" spans="1:21" s="32" customFormat="1" ht="18.75" customHeight="1" x14ac:dyDescent="0.25">
      <c r="A40" s="450"/>
      <c r="B40" s="450"/>
      <c r="C40" s="450"/>
      <c r="D40" s="450"/>
      <c r="E40" s="450"/>
      <c r="F40" s="450"/>
      <c r="G40" s="450"/>
      <c r="H40" s="450"/>
      <c r="I40" s="450"/>
      <c r="J40" s="450"/>
      <c r="K40" s="305"/>
      <c r="L40" s="305"/>
      <c r="M40" s="450"/>
      <c r="N40" s="450"/>
      <c r="O40" s="450" t="s">
        <v>226</v>
      </c>
      <c r="P40" s="450"/>
      <c r="Q40" s="450"/>
      <c r="R40" s="450"/>
      <c r="S40" s="450"/>
      <c r="T40" s="450"/>
      <c r="U40" s="157">
        <f>SUM(U38:U39)</f>
        <v>2545944.1599999997</v>
      </c>
    </row>
    <row r="41" spans="1:21" s="32" customFormat="1" ht="18.75" customHeight="1" x14ac:dyDescent="0.25">
      <c r="A41" s="450"/>
      <c r="B41" s="450"/>
      <c r="C41" s="450"/>
      <c r="D41" s="450"/>
      <c r="E41" s="450"/>
      <c r="F41" s="450"/>
      <c r="G41" s="450"/>
      <c r="H41" s="450"/>
      <c r="I41" s="450"/>
      <c r="J41" s="450"/>
      <c r="K41" s="305"/>
      <c r="L41" s="305"/>
      <c r="M41" s="450"/>
      <c r="N41" s="450"/>
      <c r="O41" s="450" t="s">
        <v>83</v>
      </c>
      <c r="P41" s="450"/>
      <c r="Q41" s="450"/>
      <c r="R41" s="450"/>
      <c r="S41" s="450"/>
      <c r="T41" s="450"/>
      <c r="U41" s="157">
        <f>+U28-U40</f>
        <v>-166207.0654545445</v>
      </c>
    </row>
    <row r="42" spans="1:21" s="32" customFormat="1" ht="18.75" customHeight="1" x14ac:dyDescent="0.25">
      <c r="A42" s="450"/>
      <c r="B42" s="149"/>
      <c r="C42" s="149"/>
      <c r="D42" s="149"/>
      <c r="E42" s="149"/>
      <c r="F42" s="149"/>
      <c r="G42" s="149"/>
      <c r="H42" s="149"/>
      <c r="I42" s="149"/>
      <c r="J42" s="149"/>
      <c r="K42" s="298"/>
      <c r="L42" s="298"/>
      <c r="M42" s="149"/>
      <c r="N42" s="149"/>
      <c r="O42" s="33"/>
      <c r="P42" s="33"/>
      <c r="Q42" s="33"/>
      <c r="R42" s="33"/>
      <c r="S42" s="33"/>
      <c r="T42" s="33"/>
      <c r="U42" s="34"/>
    </row>
    <row r="43" spans="1:21" s="32" customFormat="1" ht="18.75" customHeight="1" x14ac:dyDescent="0.25">
      <c r="A43" s="450"/>
      <c r="B43" s="450"/>
      <c r="C43" s="450"/>
      <c r="D43" s="450"/>
      <c r="E43" s="450"/>
      <c r="F43" s="450"/>
      <c r="G43" s="450"/>
      <c r="H43" s="450"/>
      <c r="I43" s="450"/>
      <c r="J43" s="450"/>
      <c r="K43" s="305"/>
      <c r="L43" s="305"/>
      <c r="M43" s="450"/>
      <c r="N43" s="450"/>
      <c r="O43" s="35"/>
      <c r="P43" s="35"/>
      <c r="Q43" s="35"/>
      <c r="R43" s="35"/>
      <c r="S43" s="35"/>
      <c r="T43" s="35"/>
      <c r="U43" s="34"/>
    </row>
    <row r="45" spans="1:21" hidden="1" x14ac:dyDescent="0.25">
      <c r="Q45" s="448" t="s">
        <v>46</v>
      </c>
      <c r="R45" s="36"/>
      <c r="S45" s="36">
        <v>41823</v>
      </c>
      <c r="T45" s="36"/>
      <c r="U45" s="37">
        <v>3352325.97</v>
      </c>
    </row>
    <row r="46" spans="1:21" hidden="1" x14ac:dyDescent="0.25">
      <c r="A46" s="32"/>
      <c r="U46" s="37"/>
    </row>
    <row r="47" spans="1:21" hidden="1" x14ac:dyDescent="0.25">
      <c r="S47" s="448" t="s">
        <v>47</v>
      </c>
      <c r="U47" s="435">
        <f>+U38-U45</f>
        <v>-891912.8200000003</v>
      </c>
    </row>
    <row r="49" spans="1:4" x14ac:dyDescent="0.25">
      <c r="A49" s="182" t="s">
        <v>260</v>
      </c>
    </row>
    <row r="50" spans="1:4" x14ac:dyDescent="0.25">
      <c r="A50" s="38" t="s">
        <v>289</v>
      </c>
      <c r="B50" s="39"/>
      <c r="C50" s="40"/>
      <c r="D50" s="40"/>
    </row>
    <row r="51" spans="1:4" x14ac:dyDescent="0.25">
      <c r="A51" s="327" t="s">
        <v>225</v>
      </c>
      <c r="B51" s="327"/>
    </row>
  </sheetData>
  <sheetProtection sheet="1" objects="1" scenarios="1"/>
  <mergeCells count="1">
    <mergeCell ref="B6:Q6"/>
  </mergeCells>
  <conditionalFormatting sqref="V15:XFD26 A15:A26 B15:T24">
    <cfRule type="expression" dxfId="2" priority="1">
      <formula>MOD(ROW(),2)=0</formula>
    </cfRule>
  </conditionalFormatting>
  <pageMargins left="0.28999999999999998" right="0.15" top="0.41" bottom="0.56000000000000005" header="0.3" footer="0.3"/>
  <pageSetup paperSize="5" scale="56" orientation="landscape" r:id="rId1"/>
  <headerFooter>
    <oddFooter>&amp;L&amp;8&amp;D&amp;R&amp;8&amp;Z&amp;F</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Utility Costs by FY</vt:lpstr>
      <vt:lpstr>EPEC KWH Comparison</vt:lpstr>
      <vt:lpstr>CLC DTH Comparison</vt:lpstr>
      <vt:lpstr>FY Comparison</vt:lpstr>
      <vt:lpstr>EPEC FY19 Actuals</vt:lpstr>
      <vt:lpstr>CLC FY19 Actuals</vt:lpstr>
      <vt:lpstr>Sheet1</vt:lpstr>
      <vt:lpstr>Sheet2</vt:lpstr>
      <vt:lpstr>EPEC FY19 w Accruals</vt:lpstr>
      <vt:lpstr>CLC FY19 w Accruals</vt:lpstr>
      <vt:lpstr>'EPEC FY19 Actuals'!Print_Area</vt:lpstr>
      <vt:lpstr>'EPEC FY19 w Accruals'!Print_Area</vt:lpstr>
      <vt:lpstr>'EPEC KWH Comparison'!Print_Area</vt:lpstr>
      <vt:lpstr>'FY Comparison'!Print_Area</vt:lpstr>
      <vt:lpstr>'Utility Costs by FY'!Print_Area</vt:lpstr>
      <vt:lpstr>'EPEC KWH Comparison'!Print_Titles</vt:lpstr>
      <vt:lpstr>'FY Comparison'!Print_Titles</vt:lpstr>
    </vt:vector>
  </TitlesOfParts>
  <Company>NMSU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lorrsilv</dc:creator>
  <cp:lastModifiedBy>Lorraine M. Silva</cp:lastModifiedBy>
  <cp:lastPrinted>2019-07-05T17:54:59Z</cp:lastPrinted>
  <dcterms:created xsi:type="dcterms:W3CDTF">2011-08-18T15:01:38Z</dcterms:created>
  <dcterms:modified xsi:type="dcterms:W3CDTF">2019-08-23T22:34:45Z</dcterms:modified>
</cp:coreProperties>
</file>