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acil\Common\Sustainability\Waste Audit1\2019 Data\"/>
    </mc:Choice>
  </mc:AlternateContent>
  <xr:revisionPtr revIDLastSave="0" documentId="13_ncr:1_{68BB22F0-CCBE-43CF-8C03-48D05F503A6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aste &amp; Recycle" sheetId="6" r:id="rId1"/>
  </sheets>
  <definedNames>
    <definedName name="_xlnm._FilterDatabase" localSheetId="0" hidden="1">'Waste &amp; Recycle'!$A$1:$S$86</definedName>
    <definedName name="_xlnm.Print_Area" localSheetId="0">'Waste &amp; Recycle'!$A$1:$O$92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98" i="6" l="1"/>
  <c r="G88" i="6" l="1"/>
  <c r="S15" i="6" l="1"/>
  <c r="I88" i="6"/>
  <c r="J88" i="6"/>
  <c r="K88" i="6"/>
  <c r="L88" i="6"/>
  <c r="M88" i="6"/>
  <c r="N88" i="6"/>
  <c r="O88" i="6"/>
  <c r="P88" i="6"/>
  <c r="Q88" i="6"/>
  <c r="R88" i="6"/>
  <c r="H88" i="6"/>
  <c r="I87" i="6"/>
  <c r="J87" i="6"/>
  <c r="K87" i="6"/>
  <c r="L87" i="6"/>
  <c r="M87" i="6"/>
  <c r="N87" i="6"/>
  <c r="O87" i="6"/>
  <c r="P87" i="6"/>
  <c r="Q87" i="6"/>
  <c r="R87" i="6"/>
  <c r="H87" i="6"/>
  <c r="G87" i="6"/>
  <c r="I86" i="6"/>
  <c r="J86" i="6"/>
  <c r="K86" i="6"/>
  <c r="L86" i="6"/>
  <c r="M86" i="6"/>
  <c r="N86" i="6"/>
  <c r="O86" i="6"/>
  <c r="P86" i="6"/>
  <c r="Q86" i="6"/>
  <c r="R86" i="6"/>
  <c r="H86" i="6"/>
  <c r="G86" i="6"/>
  <c r="D53" i="6"/>
  <c r="G17" i="6"/>
  <c r="S86" i="6" l="1"/>
  <c r="S87" i="6"/>
  <c r="S88" i="6"/>
  <c r="G84" i="6"/>
  <c r="D9" i="6" l="1"/>
  <c r="K80" i="6"/>
  <c r="S80" i="6" s="1"/>
  <c r="M89" i="6" l="1"/>
  <c r="O89" i="6"/>
  <c r="R89" i="6"/>
  <c r="H89" i="6"/>
  <c r="P89" i="6"/>
  <c r="J89" i="6"/>
  <c r="L89" i="6"/>
  <c r="S96" i="6" l="1"/>
  <c r="S97" i="6"/>
  <c r="S94" i="6" l="1"/>
  <c r="S93" i="6" l="1"/>
  <c r="S92" i="6" l="1"/>
  <c r="S75" i="6" l="1"/>
  <c r="S73" i="6" l="1"/>
  <c r="S72" i="6"/>
  <c r="Q89" i="6"/>
  <c r="S74" i="6"/>
  <c r="I89" i="6"/>
  <c r="S79" i="6"/>
  <c r="N89" i="6"/>
  <c r="G35" i="6" l="1"/>
  <c r="G89" i="6" s="1"/>
  <c r="S35" i="6" l="1"/>
  <c r="I63" i="6" l="1"/>
  <c r="J63" i="6"/>
  <c r="K63" i="6"/>
  <c r="L63" i="6"/>
  <c r="M63" i="6"/>
  <c r="N63" i="6"/>
  <c r="O63" i="6"/>
  <c r="P63" i="6"/>
  <c r="Q63" i="6"/>
  <c r="R63" i="6"/>
  <c r="H63" i="6"/>
  <c r="G63" i="6"/>
  <c r="I62" i="6"/>
  <c r="J62" i="6"/>
  <c r="K62" i="6"/>
  <c r="L62" i="6"/>
  <c r="M62" i="6"/>
  <c r="N62" i="6"/>
  <c r="O62" i="6"/>
  <c r="P62" i="6"/>
  <c r="Q62" i="6"/>
  <c r="R62" i="6"/>
  <c r="H62" i="6"/>
  <c r="G62" i="6"/>
  <c r="I38" i="6"/>
  <c r="J38" i="6"/>
  <c r="K38" i="6"/>
  <c r="L38" i="6"/>
  <c r="M38" i="6"/>
  <c r="N38" i="6"/>
  <c r="O38" i="6"/>
  <c r="P38" i="6"/>
  <c r="Q38" i="6"/>
  <c r="R38" i="6"/>
  <c r="H38" i="6"/>
  <c r="G38" i="6"/>
  <c r="I22" i="6"/>
  <c r="J22" i="6"/>
  <c r="K22" i="6"/>
  <c r="L22" i="6"/>
  <c r="M22" i="6"/>
  <c r="N22" i="6"/>
  <c r="O22" i="6"/>
  <c r="P22" i="6"/>
  <c r="Q22" i="6"/>
  <c r="R22" i="6"/>
  <c r="H22" i="6"/>
  <c r="G22" i="6"/>
  <c r="M18" i="6"/>
  <c r="N18" i="6"/>
  <c r="O18" i="6"/>
  <c r="P18" i="6"/>
  <c r="Q18" i="6"/>
  <c r="R18" i="6"/>
  <c r="I18" i="6"/>
  <c r="J18" i="6"/>
  <c r="K18" i="6"/>
  <c r="L18" i="6"/>
  <c r="H18" i="6"/>
  <c r="G18" i="6"/>
  <c r="L17" i="6"/>
  <c r="M17" i="6"/>
  <c r="N17" i="6"/>
  <c r="O17" i="6"/>
  <c r="P17" i="6"/>
  <c r="Q17" i="6"/>
  <c r="R17" i="6"/>
  <c r="K17" i="6"/>
  <c r="I17" i="6"/>
  <c r="J17" i="6"/>
  <c r="H17" i="6"/>
  <c r="P82" i="6" l="1"/>
  <c r="P85" i="6"/>
  <c r="O85" i="6"/>
  <c r="O82" i="6"/>
  <c r="N85" i="6"/>
  <c r="N82" i="6"/>
  <c r="M85" i="6"/>
  <c r="M82" i="6"/>
  <c r="J82" i="6"/>
  <c r="J85" i="6"/>
  <c r="I82" i="6"/>
  <c r="I85" i="6"/>
  <c r="R82" i="6"/>
  <c r="R85" i="6"/>
  <c r="H82" i="6"/>
  <c r="H85" i="6"/>
  <c r="L82" i="6"/>
  <c r="L85" i="6"/>
  <c r="Q82" i="6"/>
  <c r="Q85" i="6"/>
  <c r="G85" i="6"/>
  <c r="G82" i="6"/>
  <c r="G99" i="6" s="1"/>
  <c r="S17" i="6"/>
  <c r="S38" i="6"/>
  <c r="S18" i="6"/>
  <c r="G83" i="6" l="1"/>
  <c r="S67" i="6" l="1"/>
  <c r="S28" i="6"/>
  <c r="S29" i="6"/>
  <c r="S30" i="6"/>
  <c r="S31" i="6"/>
  <c r="S32" i="6"/>
  <c r="S33" i="6"/>
  <c r="S34" i="6"/>
  <c r="S36" i="6"/>
  <c r="S37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4" i="6"/>
  <c r="S65" i="6"/>
  <c r="S66" i="6"/>
  <c r="S68" i="6"/>
  <c r="S69" i="6"/>
  <c r="S70" i="6"/>
  <c r="S25" i="6"/>
  <c r="S24" i="6"/>
  <c r="S23" i="6"/>
  <c r="S2" i="6"/>
  <c r="S12" i="6"/>
  <c r="S3" i="6"/>
  <c r="S4" i="6"/>
  <c r="S5" i="6"/>
  <c r="S6" i="6"/>
  <c r="S7" i="6"/>
  <c r="S8" i="6"/>
  <c r="S9" i="6"/>
  <c r="S10" i="6"/>
  <c r="S11" i="6"/>
  <c r="S13" i="6"/>
  <c r="S14" i="6"/>
  <c r="S16" i="6"/>
  <c r="S19" i="6"/>
  <c r="S20" i="6"/>
  <c r="S21" i="6"/>
  <c r="S26" i="6"/>
  <c r="S27" i="6"/>
  <c r="K78" i="6" l="1"/>
  <c r="S78" i="6" s="1"/>
  <c r="K77" i="6"/>
  <c r="S77" i="6" s="1"/>
  <c r="K76" i="6"/>
  <c r="S62" i="6"/>
  <c r="S22" i="6"/>
  <c r="S63" i="6"/>
  <c r="P84" i="6"/>
  <c r="P99" i="6" s="1"/>
  <c r="R84" i="6"/>
  <c r="R99" i="6" s="1"/>
  <c r="Q84" i="6"/>
  <c r="Q99" i="6" s="1"/>
  <c r="S76" i="6" l="1"/>
  <c r="K85" i="6"/>
  <c r="S85" i="6" s="1"/>
  <c r="K82" i="6"/>
  <c r="K89" i="6"/>
  <c r="S89" i="6" s="1"/>
  <c r="R83" i="6"/>
  <c r="Q83" i="6"/>
  <c r="P83" i="6"/>
  <c r="S82" i="6" l="1"/>
  <c r="H84" i="6"/>
  <c r="H99" i="6" s="1"/>
  <c r="I84" i="6"/>
  <c r="I99" i="6" s="1"/>
  <c r="J84" i="6"/>
  <c r="J99" i="6" s="1"/>
  <c r="K84" i="6"/>
  <c r="K99" i="6" s="1"/>
  <c r="L84" i="6"/>
  <c r="L99" i="6" s="1"/>
  <c r="M84" i="6"/>
  <c r="M99" i="6" s="1"/>
  <c r="N84" i="6"/>
  <c r="N99" i="6" s="1"/>
  <c r="O84" i="6"/>
  <c r="O99" i="6" s="1"/>
  <c r="O83" i="6" l="1"/>
  <c r="N83" i="6"/>
  <c r="M83" i="6"/>
  <c r="K83" i="6"/>
  <c r="L83" i="6"/>
  <c r="J83" i="6"/>
  <c r="I83" i="6"/>
  <c r="H83" i="6"/>
  <c r="S84" i="6"/>
  <c r="S99" i="6" s="1"/>
  <c r="S8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tc={768BFF03-A153-49F4-94CE-1D525BE72E56}</author>
    <author>tc={1C95EB9A-322F-47D7-BC3A-1EF642AF7A03}</author>
    <author>tc={D5ACB6F4-5A48-4FCA-A0B8-090C783A4F18}</author>
    <author>tc={0FD4B732-D711-425E-B946-367D81C6969B}</author>
    <author>tc={B68C6A56-D4E4-434D-A748-28BBDCD8BA0C}</author>
    <author>tc={A2AD9F68-D607-4BEA-80F6-39E554A2BC1F}</author>
    <author>tc={F148DDD5-F1E5-4A15-A929-249FE76624AB}</author>
    <author>tc={A011448B-4EA7-4E2C-9630-D4BD93D8A734}</author>
    <author>tc={40AB1F5F-675F-4B63-9382-7E8F258707D1}</author>
    <author>tc={D2350FD0-9BF5-40BD-9BC7-8902C0AC28DD}</author>
    <author>tc={FDC896D0-32CC-44F2-872A-6D418C63062A}</author>
    <author>tc={EC1009DB-D988-4080-BBD7-5A7A6F08A77A}</author>
    <author>tc={C21F7136-483A-48C0-8671-0C0A71E9D33B}</author>
    <author>tc={777F949E-E435-4E50-8E65-B19100C2E376}</author>
    <author>tc={AE1E9CB0-9D76-4C24-A97F-5BE66E87F0D9}</author>
    <author>tc={951E4FB7-F39E-441A-8F8A-460CF0BE02E1}</author>
    <author>tc={D0DED5A9-3D15-4B72-95A8-EF6F76F591A1}</author>
    <author>tc={65C5C8C6-3402-4C1F-BC4D-A9C07D2009AA}</author>
    <author>Neidigh, Douglas W</author>
  </authors>
  <commentList>
    <comment ref="D9" authorId="0" shapeId="0" xr:uid="{768BFF03-A153-49F4-94CE-1D525BE72E56}">
      <text>
        <t>[Threaded comment]
Your version of Excel allows you to read this threaded comment; however, any edits to it will get removed if the file is opened in a newer version of Excel. Learn more: https://go.microsoft.com/fwlink/?linkid=870924
Comment:
    Calculation corrected for 96 gallon toter</t>
      </text>
    </comment>
    <comment ref="A15" authorId="1" shapeId="0" xr:uid="{1C95EB9A-322F-47D7-BC3A-1EF642AF7A03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dumpster name, with this service at this address does not exist on the invoices upon review. All others do. Not being charged for it, but tonnage accounted for here.</t>
      </text>
    </comment>
    <comment ref="D17" authorId="2" shapeId="0" xr:uid="{D5ACB6F4-5A48-4FCA-A0B8-090C783A4F18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capacity for shared dumpster. Remainder of line has generation and costs split accordingly.</t>
      </text>
    </comment>
    <comment ref="D18" authorId="3" shapeId="0" xr:uid="{0FD4B732-D711-425E-B946-367D81C6969B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capacity for shared dumpster. Remainder of line has generation and costs split accordingly.</t>
      </text>
    </comment>
    <comment ref="D22" authorId="4" shapeId="0" xr:uid="{B68C6A56-D4E4-434D-A748-28BBDCD8BA0C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capacity for shared dumpster. Remainder of line has generation and costs split accordingly.</t>
      </text>
    </comment>
    <comment ref="I34" authorId="5" shapeId="0" xr:uid="{A2AD9F68-D607-4BEA-80F6-39E554A2BC1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scheduled service 3/15 at $44.16 added on this month.</t>
      </text>
    </comment>
    <comment ref="P34" authorId="6" shapeId="0" xr:uid="{F148DDD5-F1E5-4A15-A929-249FE76624A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scheduled service 10/8 at $44.16 added on this month.</t>
      </text>
    </comment>
    <comment ref="D38" authorId="7" shapeId="0" xr:uid="{A011448B-4EA7-4E2C-9630-D4BD93D8A734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capacity for shared dumpster. Remainder of line has generation and costs split accordingly.</t>
      </text>
    </comment>
    <comment ref="E45" authorId="8" shapeId="0" xr:uid="{40AB1F5F-675F-4B63-9382-7E8F258707D1}">
      <text>
        <t>[Threaded comment]
Your version of Excel allows you to read this threaded comment; however, any edits to it will get removed if the file is opened in a newer version of Excel. Learn more: https://go.microsoft.com/fwlink/?linkid=870924
Comment:
    Actually two (2) 8-cy containers on call per invoices</t>
      </text>
    </comment>
    <comment ref="D53" authorId="9" shapeId="0" xr:uid="{D2350FD0-9BF5-40BD-9BC7-8902C0AC28DD}">
      <text>
        <t>[Threaded comment]
Your version of Excel allows you to read this threaded comment; however, any edits to it will get removed if the file is opened in a newer version of Excel. Learn more: https://go.microsoft.com/fwlink/?linkid=870924
Comment:
    9 x 96 gallon totes, 1 lift per 2 weeks</t>
      </text>
    </comment>
    <comment ref="F53" authorId="10" shapeId="0" xr:uid="{FDC896D0-32CC-44F2-872A-6D418C63062A}">
      <text>
        <t>[Threaded comment]
Your version of Excel allows you to read this threaded comment; however, any edits to it will get removed if the file is opened in a newer version of Excel. Learn more: https://go.microsoft.com/fwlink/?linkid=870924
Comment:
    9 lifts per 2 weeks. 9 (96) gallon toters</t>
      </text>
    </comment>
    <comment ref="G55" authorId="11" shapeId="0" xr:uid="{EC1009DB-D988-4080-BBD7-5A7A6F08A77A}">
      <text>
        <t>[Threaded comment]
Your version of Excel allows you to read this threaded comment; however, any edits to it will get removed if the file is opened in a newer version of Excel. Learn more: https://go.microsoft.com/fwlink/?linkid=870924
Comment:
    One pick up this month</t>
      </text>
    </comment>
    <comment ref="H55" authorId="12" shapeId="0" xr:uid="{C21F7136-483A-48C0-8671-0C0A71E9D33B}">
      <text>
        <t>[Threaded comment]
Your version of Excel allows you to read this threaded comment; however, any edits to it will get removed if the file is opened in a newer version of Excel. Learn more: https://go.microsoft.com/fwlink/?linkid=870924
Comment:
    3 pick ups this month</t>
      </text>
    </comment>
    <comment ref="I55" authorId="13" shapeId="0" xr:uid="{777F949E-E435-4E50-8E65-B19100C2E376}">
      <text>
        <t>[Threaded comment]
Your version of Excel allows you to read this threaded comment; however, any edits to it will get removed if the file is opened in a newer version of Excel. Learn more: https://go.microsoft.com/fwlink/?linkid=870924
Comment:
    2 pick ups this month</t>
      </text>
    </comment>
    <comment ref="J55" authorId="14" shapeId="0" xr:uid="{AE1E9CB0-9D76-4C24-A97F-5BE66E87F0D9}">
      <text>
        <t>[Threaded comment]
Your version of Excel allows you to read this threaded comment; however, any edits to it will get removed if the file is opened in a newer version of Excel. Learn more: https://go.microsoft.com/fwlink/?linkid=870924
Comment:
    4 pick ups this month</t>
      </text>
    </comment>
    <comment ref="F59" authorId="15" shapeId="0" xr:uid="{951E4FB7-F39E-441A-8F8A-460CF0BE02E1}">
      <text>
        <t>[Threaded comment]
Your version of Excel allows you to read this threaded comment; however, any edits to it will get removed if the file is opened in a newer version of Excel. Learn more: https://go.microsoft.com/fwlink/?linkid=870924
Comment:
    One lift per 2 weeks</t>
      </text>
    </comment>
    <comment ref="D62" authorId="16" shapeId="0" xr:uid="{D0DED5A9-3D15-4B72-95A8-EF6F76F591A1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capacity for shared dumpster. Remainder of line has generation and costs split accordingly.</t>
      </text>
    </comment>
    <comment ref="D63" authorId="17" shapeId="0" xr:uid="{65C5C8C6-3402-4C1F-BC4D-A9C07D2009AA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capacity for shared dumpster. Remainder of line has generation and costs split accordingly.</t>
      </text>
    </comment>
    <comment ref="A64" authorId="18" shapeId="0" xr:uid="{00000000-0006-0000-0100-000003000000}">
      <text>
        <r>
          <rPr>
            <b/>
            <sz val="9"/>
            <color indexed="81"/>
            <rFont val="Tahoma"/>
            <family val="2"/>
          </rPr>
          <t>Neidigh, Douglas W:</t>
        </r>
        <r>
          <rPr>
            <sz val="9"/>
            <color indexed="81"/>
            <rFont val="Tahoma"/>
            <family val="2"/>
          </rPr>
          <t xml:space="preserve">
These are for trash dumpsters used by Grounds Dept. for parking lots across Grand</t>
        </r>
      </text>
    </comment>
    <comment ref="A65" authorId="18" shapeId="0" xr:uid="{00000000-0006-0000-0100-000004000000}">
      <text>
        <r>
          <rPr>
            <b/>
            <sz val="9"/>
            <color indexed="81"/>
            <rFont val="Tahoma"/>
            <family val="2"/>
          </rPr>
          <t>Neidigh, Douglas W:</t>
        </r>
        <r>
          <rPr>
            <sz val="9"/>
            <color indexed="81"/>
            <rFont val="Tahoma"/>
            <family val="2"/>
          </rPr>
          <t xml:space="preserve">
Neidigh, Douglas W:
These are for trash dumpsters used by Grounds Dept. for parking lots across Grand</t>
        </r>
      </text>
    </comment>
    <comment ref="A66" authorId="18" shapeId="0" xr:uid="{00000000-0006-0000-0100-000005000000}">
      <text>
        <r>
          <rPr>
            <b/>
            <sz val="9"/>
            <color indexed="81"/>
            <rFont val="Tahoma"/>
            <family val="2"/>
          </rPr>
          <t>Neidigh, Douglas W:</t>
        </r>
        <r>
          <rPr>
            <sz val="9"/>
            <color indexed="81"/>
            <rFont val="Tahoma"/>
            <family val="2"/>
          </rPr>
          <t xml:space="preserve">
Neidigh, Douglas W:
These are for trash dumpsters used by Grounds Dept. for parking lots across Grand</t>
        </r>
      </text>
    </comment>
    <comment ref="A67" authorId="18" shapeId="0" xr:uid="{00000000-0006-0000-0100-000006000000}">
      <text>
        <r>
          <rPr>
            <b/>
            <sz val="9"/>
            <color indexed="81"/>
            <rFont val="Tahoma"/>
            <family val="2"/>
          </rPr>
          <t>Neidigh, Douglas W:</t>
        </r>
        <r>
          <rPr>
            <sz val="9"/>
            <color indexed="81"/>
            <rFont val="Tahoma"/>
            <family val="2"/>
          </rPr>
          <t xml:space="preserve">
Neidigh, Douglas W:
These are for trash dumpsters used by Grounds Dept. for parking lots across Grand</t>
        </r>
      </text>
    </comment>
    <comment ref="A68" authorId="18" shapeId="0" xr:uid="{00000000-0006-0000-0100-000007000000}">
      <text>
        <r>
          <rPr>
            <b/>
            <sz val="9"/>
            <color indexed="81"/>
            <rFont val="Tahoma"/>
            <family val="2"/>
          </rPr>
          <t>Neidigh, Douglas W:</t>
        </r>
        <r>
          <rPr>
            <sz val="9"/>
            <color indexed="81"/>
            <rFont val="Tahoma"/>
            <family val="2"/>
          </rPr>
          <t xml:space="preserve">
Neidigh, Douglas W:
These are for trash dumpsters used by Grounds Dept. for parking lots across Grand</t>
        </r>
      </text>
    </comment>
    <comment ref="A69" authorId="18" shapeId="0" xr:uid="{00000000-0006-0000-0100-000008000000}">
      <text>
        <r>
          <rPr>
            <b/>
            <sz val="9"/>
            <color indexed="81"/>
            <rFont val="Tahoma"/>
            <family val="2"/>
          </rPr>
          <t>Neidigh, Douglas W:</t>
        </r>
        <r>
          <rPr>
            <sz val="9"/>
            <color indexed="81"/>
            <rFont val="Tahoma"/>
            <family val="2"/>
          </rPr>
          <t xml:space="preserve">
Neidigh, Douglas W:
These are for trash dumpsters used by Grounds Dept. for parking lots across Grand</t>
        </r>
      </text>
    </comment>
  </commentList>
</comments>
</file>

<file path=xl/sharedStrings.xml><?xml version="1.0" encoding="utf-8"?>
<sst xmlns="http://schemas.openxmlformats.org/spreadsheetml/2006/main" count="711" uniqueCount="178">
  <si>
    <t>Site Name</t>
  </si>
  <si>
    <t>ADDRESS</t>
  </si>
  <si>
    <t>Type of Waste</t>
  </si>
  <si>
    <t>SIZE</t>
  </si>
  <si>
    <t>Service Level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</si>
  <si>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</si>
  <si>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</si>
  <si>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</si>
  <si>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</si>
  <si>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</si>
  <si>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</si>
  <si>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</si>
  <si>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</si>
  <si>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September</t>
  </si>
  <si>
    <t>October</t>
  </si>
  <si>
    <t>November</t>
  </si>
  <si>
    <t>December</t>
  </si>
  <si>
    <t>Craig Hall</t>
  </si>
  <si>
    <t>1147 E. Grand Str.</t>
  </si>
  <si>
    <t>Trash</t>
  </si>
  <si>
    <t>5x/w</t>
  </si>
  <si>
    <t>3x/w</t>
  </si>
  <si>
    <t>Cheek Hall/Wells House</t>
  </si>
  <si>
    <t xml:space="preserve">1132 E. Madison </t>
  </si>
  <si>
    <t>Temple Hall</t>
  </si>
  <si>
    <t>910 S. John Q Hammons Pkwy</t>
  </si>
  <si>
    <t>Kemper Hall</t>
  </si>
  <si>
    <t>921 S. John Q Hammons Pkwy</t>
  </si>
  <si>
    <t>Professional Building</t>
  </si>
  <si>
    <t>609 E. Cherry Str.</t>
  </si>
  <si>
    <t>Meyer Library</t>
  </si>
  <si>
    <t>850 S. John Q Hammons Pkwy</t>
  </si>
  <si>
    <t>Burgess House</t>
  </si>
  <si>
    <t>736 S. National Ave.</t>
  </si>
  <si>
    <t>1x/w</t>
  </si>
  <si>
    <t>Wehr Band Hall</t>
  </si>
  <si>
    <t>625 S. Clay</t>
  </si>
  <si>
    <t>Archaeological Research</t>
  </si>
  <si>
    <t>624 S. Kimbrough</t>
  </si>
  <si>
    <t>2x/w</t>
  </si>
  <si>
    <t>Strong Hall</t>
  </si>
  <si>
    <t>900 S. Holland Ave.</t>
  </si>
  <si>
    <t>KINGS STR/FORSYTHE ATHLETIC</t>
  </si>
  <si>
    <t>827 S. Kings</t>
  </si>
  <si>
    <t>PARKING LOT 51</t>
  </si>
  <si>
    <t>Kimbrough &amp; Elm</t>
  </si>
  <si>
    <t>PLASTER SPORTS COMPLEX</t>
  </si>
  <si>
    <t>1015 E. Grand Str.</t>
  </si>
  <si>
    <t>CENTRAL STORES &amp; MAINTENANCE</t>
  </si>
  <si>
    <t>945 E. Grand Str.</t>
  </si>
  <si>
    <t>300 S. Jefferson</t>
  </si>
  <si>
    <t>1011 E. Grand</t>
  </si>
  <si>
    <t>PLASTER CENTER</t>
  </si>
  <si>
    <t>405 N. Jefferson</t>
  </si>
  <si>
    <t>PLASTER STADIUM-FB</t>
  </si>
  <si>
    <t>1015 E. Grant</t>
  </si>
  <si>
    <t>GROUNDS-WASTE</t>
  </si>
  <si>
    <t>645 E. Elm</t>
  </si>
  <si>
    <t>Yardwaste</t>
  </si>
  <si>
    <t>X</t>
  </si>
  <si>
    <t>On Call</t>
  </si>
  <si>
    <t>1000 E NORMAL ST</t>
  </si>
  <si>
    <t>TEMP</t>
  </si>
  <si>
    <t>S CARRINGTON AVE NE STADIUM</t>
  </si>
  <si>
    <t>BRICK CITY</t>
  </si>
  <si>
    <t xml:space="preserve">215 W. Mill </t>
  </si>
  <si>
    <t>AGRICULTURAL FARM/DARR</t>
  </si>
  <si>
    <t>2401 S. Kansas Expy</t>
  </si>
  <si>
    <t>JQH ARENA &lt;LARGE CONTAINER&gt;</t>
  </si>
  <si>
    <t>685 S. John Q Hammons Pkwy</t>
  </si>
  <si>
    <t>JQH ARENA</t>
  </si>
  <si>
    <t>PERFORMING ARTS CENTER</t>
  </si>
  <si>
    <t>525 S John Q Hammons Pkwy</t>
  </si>
  <si>
    <t>BAKER BOOKSTORE</t>
  </si>
  <si>
    <t>717 S. Florence</t>
  </si>
  <si>
    <t>BLUNT JORDAN VALLEY INNOVATION CTR</t>
  </si>
  <si>
    <t>524 N. Boonville</t>
  </si>
  <si>
    <t>BLAIR-SHANNON HOUSE &lt;LARGE CONT&gt;</t>
  </si>
  <si>
    <t>1001 E. Madison Str.</t>
  </si>
  <si>
    <t>BLAIR-SHANNON HOUSE</t>
  </si>
  <si>
    <t>HUTCHENS HOUSE/GARST DINING &lt;LARGE CONT&gt;</t>
  </si>
  <si>
    <t>1021 E. Harrison Str.</t>
  </si>
  <si>
    <t>HUTCHENS HOUSE/GARST DINING</t>
  </si>
  <si>
    <t>KENTWOOD HALL</t>
  </si>
  <si>
    <t>700 E. St. Louis Str.</t>
  </si>
  <si>
    <t>WOODS HOUSE</t>
  </si>
  <si>
    <t>1115 E. Monroe</t>
  </si>
  <si>
    <t>SUNVILLA</t>
  </si>
  <si>
    <t>833 E. Elm</t>
  </si>
  <si>
    <t>SCHOLARS HOUSE</t>
  </si>
  <si>
    <t>1116 E. Cherry Str.</t>
  </si>
  <si>
    <t>MONROE APARTMENTS</t>
  </si>
  <si>
    <t>1141 E. Monroe</t>
  </si>
  <si>
    <t>PLASTER STUDENT UNION &lt;LARGE CONT&gt;</t>
  </si>
  <si>
    <t>1110 E. Madison Str.</t>
  </si>
  <si>
    <t>PLASTER STUDENT UNION</t>
  </si>
  <si>
    <t>RECREATION CENTER</t>
  </si>
  <si>
    <t>E. Monroe &amp; John Q Hammons Pkwy</t>
  </si>
  <si>
    <t xml:space="preserve">CHERRY &amp; KIMBROUGH </t>
  </si>
  <si>
    <t>1015 E Grand St</t>
  </si>
  <si>
    <t>Total Trash Tonnage</t>
  </si>
  <si>
    <t>Total Comingled REC Tonnage</t>
  </si>
  <si>
    <t>TEMP Tonnage</t>
  </si>
  <si>
    <t>Percent Recycled Through Republic</t>
  </si>
  <si>
    <t>Paper</t>
  </si>
  <si>
    <t>Metal</t>
  </si>
  <si>
    <t>Total of All Tonnage</t>
  </si>
  <si>
    <t>Recycle – Commingle</t>
  </si>
  <si>
    <t>Yard/ Month</t>
  </si>
  <si>
    <t>-</t>
  </si>
  <si>
    <t>Total Tons</t>
  </si>
  <si>
    <t>MSU&lt;TAILGATING&gt; &lt;PARKING LOT 22&gt; September</t>
  </si>
  <si>
    <t>MSU BEAR FEST &lt;FOOTBALL&gt;                 September</t>
  </si>
  <si>
    <t>MSU &lt;TAILGATING&gt; &lt;PARK LOT 22&gt;      October</t>
  </si>
  <si>
    <t>MSU BEAR FEST &lt;FOOTBALL&gt;                 October</t>
  </si>
  <si>
    <t>MSU&lt;TAILGATING&gt;&lt;PARK LOT 22&gt;        November</t>
  </si>
  <si>
    <t>MSU BEAR FEST &lt;FOOTBALL&gt;                 November</t>
  </si>
  <si>
    <t>MSU &lt;TAILGATING&gt;&lt;PARK LOT 22&gt;       November</t>
  </si>
  <si>
    <t>MSU BEAR FEST &lt;FOOTBALL&gt;               November</t>
  </si>
  <si>
    <t>MSU Hammons &lt;Blue/Gold&gt;</t>
  </si>
  <si>
    <t>731 E Monroe St</t>
  </si>
  <si>
    <t>FRUIT EXPERIMENT STATION</t>
  </si>
  <si>
    <t>9740 Red Spring Rd - Mtn Grove, MO</t>
  </si>
  <si>
    <t>SHANNON HALL</t>
  </si>
  <si>
    <t>401 E 17th - Mtn Grove, MO</t>
  </si>
  <si>
    <t>MSU &lt;PLASTER STADIUM&gt; &lt;FOOTBALL&gt;     October</t>
  </si>
  <si>
    <t>MSU &lt;PLASTER STADIUM&gt; &lt;FOOTBALL&gt;     November</t>
  </si>
  <si>
    <t>MSU &lt;PDC&gt;</t>
  </si>
  <si>
    <t>736 S National Ave</t>
  </si>
  <si>
    <t xml:space="preserve">Trash </t>
  </si>
  <si>
    <t>MSU &lt;PLASTER STADIUM&gt; &lt;FOOTBALL&gt;     September</t>
  </si>
  <si>
    <t>MSU STADIUM&lt;OZARK&gt;                               October</t>
  </si>
  <si>
    <t>Total OCC / Paper REC Tonnage</t>
  </si>
  <si>
    <t>MEYER ALUMNI CENTER / 60% weight &amp; cost</t>
  </si>
  <si>
    <t>MEYER ALUMNI CENTER / 40%  weight &amp; cost</t>
  </si>
  <si>
    <t>PLASTER SPORTS / 25% weight &amp; cost</t>
  </si>
  <si>
    <t>GROUNDS  / 25% weight &amp; cost</t>
  </si>
  <si>
    <t>MAINTENANCE  / 25% weight &amp; cost</t>
  </si>
  <si>
    <t>JQH ARENA  / 25% weight &amp; cost</t>
  </si>
  <si>
    <t>Spent Vegetable Oil</t>
  </si>
  <si>
    <t>Electronics &amp; Batteries</t>
  </si>
  <si>
    <t>5.383</t>
  </si>
  <si>
    <t>5.438</t>
  </si>
  <si>
    <t>5.843</t>
  </si>
  <si>
    <t>6.361</t>
  </si>
  <si>
    <t>5.778</t>
  </si>
  <si>
    <t>5.312</t>
  </si>
  <si>
    <t>Static Tonnage for Split Dumpsters</t>
  </si>
  <si>
    <t>Temp</t>
  </si>
  <si>
    <t>425 W Mill St. CSA</t>
  </si>
  <si>
    <t>851 S John Q Hammons Parkway</t>
  </si>
  <si>
    <t>1000 E Madison St</t>
  </si>
  <si>
    <t>1115 E Monroe</t>
  </si>
  <si>
    <t>1132 E Madison</t>
  </si>
  <si>
    <t>1001 E Madison</t>
  </si>
  <si>
    <t>1001 E Harrison</t>
  </si>
  <si>
    <t>1103 E Harrison</t>
  </si>
  <si>
    <t>851 S. John Q Hammons</t>
  </si>
  <si>
    <t>MSU&lt;LOT37&gt;OZARKO Band Event                 October</t>
  </si>
  <si>
    <t>MSU&lt;LOT18&gt;OZARKO Band Event                  October</t>
  </si>
  <si>
    <t>Total Yard Waste REC Tonnage (composted)</t>
  </si>
  <si>
    <t>Toner Cartridges</t>
  </si>
  <si>
    <t>Other Materials Recycled (tons)</t>
  </si>
  <si>
    <t>Food Waste</t>
  </si>
  <si>
    <t xml:space="preserve">MSU Construction </t>
  </si>
  <si>
    <t>MSU Glass Hall</t>
  </si>
  <si>
    <t xml:space="preserve">Freddy House Move Out </t>
  </si>
  <si>
    <t>Blair Shannon Move Out</t>
  </si>
  <si>
    <t>Wells Move Out</t>
  </si>
  <si>
    <t>Woods-Monroe Move Out</t>
  </si>
  <si>
    <t>Hammons Move Out</t>
  </si>
  <si>
    <t>MSU Fire Training</t>
  </si>
  <si>
    <t>MSU Office of Planning Design</t>
  </si>
  <si>
    <t>These temporary dumpsters were identified in Invoices, not included in Republic tonnage reporting</t>
  </si>
  <si>
    <t>Recycle – OCC</t>
  </si>
  <si>
    <t xml:space="preserve">Recycle – OCC </t>
  </si>
  <si>
    <t>Total Percentage Recycled/composted</t>
  </si>
  <si>
    <t>Total Recycled/composted through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</si>
</sst>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57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0" applyNumberFormat="0" applyBorder="0" applyAlignment="0" applyProtection="0"/>
  </cellStyleXfs>
  <cellXfs count="133">
    <xf numFmtId="0" fontId="0" fillId="0" borderId="0" xfId="0"/>
    <xf numFmtId="0" fontId="4" fillId="2" borderId="6" xfId="0" applyFont="1" applyFill="1" applyBorder="1" applyAlignment="1">
      <alignment horizontal="left"/>
    </xf>
    <xf numFmtId="2" fontId="4" fillId="2" borderId="6" xfId="0" applyNumberFormat="1" applyFont="1" applyFill="1" applyBorder="1" applyAlignment="1">
      <alignment horizontal="left"/>
    </xf>
    <xf numFmtId="2" fontId="4" fillId="2" borderId="6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left"/>
    </xf>
    <xf numFmtId="0" fontId="4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horizontal="center"/>
    </xf>
    <xf numFmtId="0" fontId="4" fillId="2" borderId="0" xfId="0" applyFont="1" applyFill="1"/>
    <xf numFmtId="2" fontId="4" fillId="2" borderId="0" xfId="0" applyNumberFormat="1" applyFont="1" applyFill="1"/>
    <xf numFmtId="2" fontId="4" fillId="2" borderId="0" xfId="0" applyNumberFormat="1" applyFont="1" applyFill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2" fillId="3" borderId="0" xfId="0" applyFont="1" applyFill="1"/>
    <xf numFmtId="14" fontId="3" fillId="2" borderId="12" xfId="1" applyNumberFormat="1" applyFont="1" applyFill="1" applyBorder="1" applyAlignment="1">
      <alignment horizontal="center" wrapText="1"/>
    </xf>
    <xf numFmtId="0" fontId="3" fillId="2" borderId="6" xfId="0" applyFont="1" applyFill="1" applyBorder="1"/>
    <xf numFmtId="2" fontId="4" fillId="2" borderId="6" xfId="0" applyNumberFormat="1" applyFont="1" applyFill="1" applyBorder="1"/>
    <xf numFmtId="0" fontId="0" fillId="2" borderId="0" xfId="0" applyFont="1" applyFill="1"/>
    <xf numFmtId="0" fontId="0" fillId="2" borderId="14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6" xfId="0" applyFont="1" applyFill="1" applyBorder="1"/>
    <xf numFmtId="0" fontId="4" fillId="0" borderId="6" xfId="0" applyFont="1" applyBorder="1"/>
    <xf numFmtId="0" fontId="4" fillId="0" borderId="6" xfId="0" applyFont="1" applyFill="1" applyBorder="1" applyAlignment="1">
      <alignment horizontal="left"/>
    </xf>
    <xf numFmtId="2" fontId="4" fillId="2" borderId="28" xfId="0" applyNumberFormat="1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4" fillId="2" borderId="6" xfId="1" applyNumberFormat="1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22" xfId="0" applyFont="1" applyFill="1" applyBorder="1" applyAlignment="1">
      <alignment horizontal="left"/>
    </xf>
    <xf numFmtId="0" fontId="4" fillId="2" borderId="9" xfId="0" applyFont="1" applyFill="1" applyBorder="1"/>
    <xf numFmtId="2" fontId="4" fillId="2" borderId="9" xfId="0" applyNumberFormat="1" applyFont="1" applyFill="1" applyBorder="1"/>
    <xf numFmtId="2" fontId="4" fillId="2" borderId="22" xfId="0" applyNumberFormat="1" applyFont="1" applyFill="1" applyBorder="1" applyAlignment="1">
      <alignment horizontal="left"/>
    </xf>
    <xf numFmtId="2" fontId="4" fillId="2" borderId="9" xfId="0" applyNumberFormat="1" applyFont="1" applyFill="1" applyBorder="1" applyAlignment="1">
      <alignment horizontal="center"/>
    </xf>
    <xf numFmtId="2" fontId="4" fillId="2" borderId="22" xfId="0" applyNumberFormat="1" applyFont="1" applyFill="1" applyBorder="1" applyAlignment="1">
      <alignment horizontal="center"/>
    </xf>
    <xf numFmtId="2" fontId="4" fillId="2" borderId="25" xfId="0" applyNumberFormat="1" applyFont="1" applyFill="1" applyBorder="1" applyAlignment="1">
      <alignment horizontal="center"/>
    </xf>
    <xf numFmtId="164" fontId="4" fillId="2" borderId="6" xfId="1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2" fontId="4" fillId="2" borderId="29" xfId="0" applyNumberFormat="1" applyFont="1" applyFill="1" applyBorder="1" applyAlignment="1">
      <alignment horizontal="left"/>
    </xf>
    <xf numFmtId="2" fontId="4" fillId="2" borderId="14" xfId="0" applyNumberFormat="1" applyFont="1" applyFill="1" applyBorder="1" applyAlignment="1">
      <alignment horizontal="left"/>
    </xf>
    <xf numFmtId="164" fontId="4" fillId="2" borderId="14" xfId="1" applyNumberFormat="1" applyFont="1" applyFill="1" applyBorder="1" applyAlignment="1">
      <alignment horizontal="center"/>
    </xf>
    <xf numFmtId="2" fontId="4" fillId="0" borderId="29" xfId="0" applyNumberFormat="1" applyFont="1" applyFill="1" applyBorder="1" applyAlignment="1">
      <alignment horizontal="left"/>
    </xf>
    <xf numFmtId="2" fontId="4" fillId="0" borderId="14" xfId="0" applyNumberFormat="1" applyFont="1" applyFill="1" applyBorder="1" applyAlignment="1">
      <alignment horizontal="left"/>
    </xf>
    <xf numFmtId="2" fontId="4" fillId="0" borderId="23" xfId="0" applyNumberFormat="1" applyFont="1" applyFill="1" applyBorder="1" applyAlignment="1">
      <alignment horizontal="left"/>
    </xf>
    <xf numFmtId="164" fontId="4" fillId="0" borderId="14" xfId="1" applyNumberFormat="1" applyFont="1" applyFill="1" applyBorder="1" applyAlignment="1">
      <alignment horizontal="center"/>
    </xf>
    <xf numFmtId="164" fontId="4" fillId="0" borderId="6" xfId="1" applyNumberFormat="1" applyFont="1" applyFill="1" applyBorder="1" applyAlignment="1">
      <alignment horizontal="center"/>
    </xf>
    <xf numFmtId="0" fontId="4" fillId="0" borderId="6" xfId="1" applyNumberFormat="1" applyFont="1" applyFill="1" applyBorder="1" applyAlignment="1">
      <alignment horizontal="center"/>
    </xf>
    <xf numFmtId="164" fontId="4" fillId="0" borderId="8" xfId="1" applyNumberFormat="1" applyFont="1" applyFill="1" applyBorder="1" applyAlignment="1">
      <alignment horizontal="center"/>
    </xf>
    <xf numFmtId="0" fontId="3" fillId="0" borderId="6" xfId="0" applyFont="1" applyFill="1" applyBorder="1"/>
    <xf numFmtId="2" fontId="4" fillId="0" borderId="20" xfId="0" applyNumberFormat="1" applyFont="1" applyFill="1" applyBorder="1" applyAlignment="1">
      <alignment horizontal="center"/>
    </xf>
    <xf numFmtId="2" fontId="4" fillId="0" borderId="28" xfId="0" applyNumberFormat="1" applyFont="1" applyFill="1" applyBorder="1" applyAlignment="1">
      <alignment horizontal="left"/>
    </xf>
    <xf numFmtId="2" fontId="4" fillId="2" borderId="4" xfId="0" applyNumberFormat="1" applyFont="1" applyFill="1" applyBorder="1" applyAlignment="1">
      <alignment horizontal="left"/>
    </xf>
    <xf numFmtId="2" fontId="4" fillId="2" borderId="4" xfId="0" applyNumberFormat="1" applyFont="1" applyFill="1" applyBorder="1" applyAlignment="1">
      <alignment horizontal="center"/>
    </xf>
    <xf numFmtId="2" fontId="4" fillId="2" borderId="15" xfId="0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0" xfId="0" applyFont="1" applyFill="1"/>
    <xf numFmtId="0" fontId="0" fillId="2" borderId="7" xfId="0" applyFont="1" applyFill="1" applyBorder="1" applyAlignment="1">
      <alignment horizontal="center"/>
    </xf>
    <xf numFmtId="0" fontId="0" fillId="0" borderId="0" xfId="0" applyFont="1" applyFill="1"/>
    <xf numFmtId="0" fontId="0" fillId="2" borderId="19" xfId="0" applyFont="1" applyFill="1" applyBorder="1" applyAlignment="1">
      <alignment horizontal="center"/>
    </xf>
    <xf numFmtId="2" fontId="4" fillId="2" borderId="31" xfId="0" applyNumberFormat="1" applyFont="1" applyFill="1" applyBorder="1" applyAlignment="1">
      <alignment horizontal="left"/>
    </xf>
    <xf numFmtId="0" fontId="4" fillId="0" borderId="22" xfId="0" applyFont="1" applyFill="1" applyBorder="1" applyAlignment="1">
      <alignment horizontal="left"/>
    </xf>
    <xf numFmtId="2" fontId="4" fillId="0" borderId="22" xfId="0" applyNumberFormat="1" applyFont="1" applyFill="1" applyBorder="1" applyAlignment="1">
      <alignment horizontal="left"/>
    </xf>
    <xf numFmtId="2" fontId="4" fillId="0" borderId="22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left"/>
    </xf>
    <xf numFmtId="0" fontId="0" fillId="0" borderId="6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2" fontId="11" fillId="2" borderId="6" xfId="0" applyNumberFormat="1" applyFont="1" applyFill="1" applyBorder="1" applyAlignment="1">
      <alignment horizontal="left"/>
    </xf>
    <xf numFmtId="2" fontId="11" fillId="2" borderId="6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2" fontId="4" fillId="2" borderId="2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wrapText="1"/>
    </xf>
    <xf numFmtId="0" fontId="0" fillId="2" borderId="22" xfId="0" applyFont="1" applyFill="1" applyBorder="1" applyAlignment="1">
      <alignment horizontal="center"/>
    </xf>
    <xf numFmtId="2" fontId="0" fillId="2" borderId="6" xfId="0" applyNumberFormat="1" applyFont="1" applyFill="1" applyBorder="1" applyAlignment="1">
      <alignment horizontal="center"/>
    </xf>
    <xf numFmtId="2" fontId="0" fillId="0" borderId="6" xfId="2" applyNumberFormat="1" applyFont="1" applyFill="1" applyBorder="1" applyAlignment="1">
      <alignment horizontal="center"/>
    </xf>
    <xf numFmtId="2" fontId="0" fillId="0" borderId="6" xfId="0" applyNumberFormat="1" applyFont="1" applyFill="1" applyBorder="1" applyAlignment="1">
      <alignment horizontal="center"/>
    </xf>
    <xf numFmtId="166" fontId="2" fillId="3" borderId="0" xfId="3" applyNumberFormat="1" applyFont="1" applyFill="1" applyAlignment="1">
      <alignment horizontal="center"/>
    </xf>
    <xf numFmtId="166" fontId="0" fillId="0" borderId="20" xfId="3" applyNumberFormat="1" applyFont="1" applyFill="1" applyBorder="1" applyAlignment="1">
      <alignment horizontal="center"/>
    </xf>
    <xf numFmtId="0" fontId="0" fillId="2" borderId="14" xfId="0" applyNumberFormat="1" applyFont="1" applyFill="1" applyBorder="1" applyAlignment="1">
      <alignment horizontal="center"/>
    </xf>
    <xf numFmtId="0" fontId="0" fillId="2" borderId="6" xfId="0" applyNumberFormat="1" applyFont="1" applyFill="1" applyBorder="1" applyAlignment="1">
      <alignment horizontal="center"/>
    </xf>
    <xf numFmtId="2" fontId="4" fillId="0" borderId="27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164" fontId="3" fillId="2" borderId="16" xfId="1" applyNumberFormat="1" applyFont="1" applyFill="1" applyBorder="1" applyAlignment="1">
      <alignment horizontal="center" wrapText="1"/>
    </xf>
    <xf numFmtId="164" fontId="3" fillId="2" borderId="12" xfId="1" applyNumberFormat="1" applyFont="1" applyFill="1" applyBorder="1" applyAlignment="1">
      <alignment horizontal="center" wrapText="1"/>
    </xf>
    <xf numFmtId="14" fontId="3" fillId="2" borderId="17" xfId="1" applyNumberFormat="1" applyFont="1" applyFill="1" applyBorder="1" applyAlignment="1">
      <alignment horizontal="center" wrapText="1"/>
    </xf>
    <xf numFmtId="0" fontId="0" fillId="2" borderId="0" xfId="0" applyFont="1" applyFill="1" applyAlignment="1">
      <alignment wrapText="1"/>
    </xf>
    <xf numFmtId="0" fontId="0" fillId="0" borderId="14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  <xf numFmtId="0" fontId="4" fillId="0" borderId="6" xfId="0" applyFont="1" applyFill="1" applyBorder="1"/>
    <xf numFmtId="0" fontId="0" fillId="2" borderId="1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0" fillId="2" borderId="26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2" borderId="31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6" xfId="0" applyFont="1" applyBorder="1"/>
    <xf numFmtId="0" fontId="0" fillId="3" borderId="0" xfId="0" applyFont="1" applyFill="1"/>
    <xf numFmtId="0" fontId="0" fillId="3" borderId="0" xfId="0" applyFont="1" applyFill="1" applyAlignment="1">
      <alignment horizontal="center"/>
    </xf>
    <xf numFmtId="0" fontId="0" fillId="4" borderId="0" xfId="0" applyFont="1" applyFill="1"/>
    <xf numFmtId="164" fontId="0" fillId="0" borderId="14" xfId="0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6" xfId="1" applyNumberFormat="1" applyFont="1" applyBorder="1" applyAlignment="1">
      <alignment horizontal="center"/>
    </xf>
    <xf numFmtId="2" fontId="0" fillId="0" borderId="6" xfId="1" applyNumberFormat="1" applyFont="1" applyBorder="1" applyAlignment="1">
      <alignment horizontal="center"/>
    </xf>
    <xf numFmtId="2" fontId="0" fillId="0" borderId="8" xfId="1" applyNumberFormat="1" applyFont="1" applyBorder="1" applyAlignment="1">
      <alignment horizontal="center"/>
    </xf>
    <xf numFmtId="0" fontId="3" fillId="0" borderId="30" xfId="0" applyFont="1" applyFill="1" applyBorder="1"/>
    <xf numFmtId="0" fontId="4" fillId="0" borderId="20" xfId="0" applyFont="1" applyFill="1" applyBorder="1"/>
    <xf numFmtId="2" fontId="4" fillId="0" borderId="20" xfId="0" applyNumberFormat="1" applyFont="1" applyFill="1" applyBorder="1"/>
    <xf numFmtId="14" fontId="3" fillId="2" borderId="18" xfId="1" applyNumberFormat="1" applyFont="1" applyFill="1" applyBorder="1" applyAlignment="1">
      <alignment horizontal="center" wrapText="1"/>
    </xf>
    <xf numFmtId="0" fontId="0" fillId="2" borderId="19" xfId="4" applyFont="1" applyFill="1" applyBorder="1" applyAlignment="1">
      <alignment horizontal="center"/>
    </xf>
    <xf numFmtId="164" fontId="0" fillId="2" borderId="19" xfId="0" applyNumberFormat="1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0" fontId="0" fillId="2" borderId="32" xfId="0" applyFont="1" applyFill="1" applyBorder="1" applyAlignment="1">
      <alignment horizontal="center"/>
    </xf>
    <xf numFmtId="166" fontId="0" fillId="2" borderId="20" xfId="3" applyNumberFormat="1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166" fontId="2" fillId="2" borderId="0" xfId="3" applyNumberFormat="1" applyFont="1" applyFill="1" applyAlignment="1">
      <alignment horizontal="center"/>
    </xf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5">
    <cellStyle name="Comma" xfId="1" builtinId="3"/>
    <cellStyle name="Currency" xfId="2" builtinId="4"/>
    <cellStyle name="Neutral" xfId="4" builtinId="28"/>
    <cellStyle name="Normal" xfId="0" builtinId="0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ssen, April Lynn" id="{358ACA45-7C00-4E1C-A261-DC36C29E93A8}" userId="S::alj5@illinois.edu::448d9cd1-0d78-45ca-aabd-049f05080c8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0-07-22T16:48:24.56" personId="{358ACA45-7C00-4E1C-A261-DC36C29E93A8}" id="{768BFF03-A153-49F4-94CE-1D525BE72E56}">
    <text>Calculation corrected for 96 gallon toter</text>
  </threadedComment>
  <threadedComment ref="A15" dT="2020-07-22T17:43:33.16" personId="{358ACA45-7C00-4E1C-A261-DC36C29E93A8}" id="{1C95EB9A-322F-47D7-BC3A-1EF642AF7A03}">
    <text>This dumpster name, with this service at this address does not exist on the invoices upon review. All others do. Not being charged for it, but tonnage accounted for here.</text>
  </threadedComment>
  <threadedComment ref="D17" dT="2020-07-22T16:51:45.95" personId="{358ACA45-7C00-4E1C-A261-DC36C29E93A8}" id="{D5ACB6F4-5A48-4FCA-A0B8-090C783A4F18}">
    <text>Total capacity for shared dumpster. Remainder of line has generation and costs split accordingly.</text>
  </threadedComment>
  <threadedComment ref="D18" dT="2020-07-22T16:51:54.44" personId="{358ACA45-7C00-4E1C-A261-DC36C29E93A8}" id="{0FD4B732-D711-425E-B946-367D81C6969B}">
    <text>Total capacity for shared dumpster. Remainder of line has generation and costs split accordingly.</text>
  </threadedComment>
  <threadedComment ref="D22" dT="2020-07-22T16:51:59.88" personId="{358ACA45-7C00-4E1C-A261-DC36C29E93A8}" id="{B68C6A56-D4E4-434D-A748-28BBDCD8BA0C}">
    <text>Total capacity for shared dumpster. Remainder of line has generation and costs split accordingly.</text>
  </threadedComment>
  <threadedComment ref="I34" dT="2020-07-22T17:22:53.79" personId="{358ACA45-7C00-4E1C-A261-DC36C29E93A8}" id="{A2AD9F68-D607-4BEA-80F6-39E554A2BC1F}">
    <text>Non scheduled service 3/15 at $44.16 added on this month.</text>
  </threadedComment>
  <threadedComment ref="P34" dT="2020-07-22T17:23:12.99" personId="{358ACA45-7C00-4E1C-A261-DC36C29E93A8}" id="{F148DDD5-F1E5-4A15-A929-249FE76624AB}">
    <text>Non scheduled service 10/8 at $44.16 added on this month.</text>
  </threadedComment>
  <threadedComment ref="D38" dT="2020-07-22T16:52:55.39" personId="{358ACA45-7C00-4E1C-A261-DC36C29E93A8}" id="{A011448B-4EA7-4E2C-9630-D4BD93D8A734}">
    <text>Total capacity for shared dumpster. Remainder of line has generation and costs split accordingly.</text>
  </threadedComment>
  <threadedComment ref="E45" dT="2020-07-22T17:17:34.15" personId="{358ACA45-7C00-4E1C-A261-DC36C29E93A8}" id="{40AB1F5F-675F-4B63-9382-7E8F258707D1}">
    <text>Actually two (2) 8-cy containers on call per invoices</text>
  </threadedComment>
  <threadedComment ref="D53" dT="2020-07-22T17:04:39.71" personId="{358ACA45-7C00-4E1C-A261-DC36C29E93A8}" id="{D2350FD0-9BF5-40BD-9BC7-8902C0AC28DD}">
    <text>9 x 96 gallon totes, 1 lift per 2 weeks</text>
  </threadedComment>
  <threadedComment ref="F53" dT="2020-07-22T17:03:52.40" personId="{358ACA45-7C00-4E1C-A261-DC36C29E93A8}" id="{FDC896D0-32CC-44F2-872A-6D418C63062A}">
    <text>9 lifts per 2 weeks. 9 (96) gallon toters</text>
  </threadedComment>
  <threadedComment ref="G55" dT="2020-07-22T17:10:16.71" personId="{358ACA45-7C00-4E1C-A261-DC36C29E93A8}" id="{EC1009DB-D988-4080-BBD7-5A7A6F08A77A}">
    <text>One pick up this month</text>
  </threadedComment>
  <threadedComment ref="H55" dT="2020-07-22T17:10:26.51" personId="{358ACA45-7C00-4E1C-A261-DC36C29E93A8}" id="{C21F7136-483A-48C0-8671-0C0A71E9D33B}">
    <text>3 pick ups this month</text>
  </threadedComment>
  <threadedComment ref="I55" dT="2020-07-22T17:10:49.77" personId="{358ACA45-7C00-4E1C-A261-DC36C29E93A8}" id="{777F949E-E435-4E50-8E65-B19100C2E376}">
    <text>2 pick ups this month</text>
  </threadedComment>
  <threadedComment ref="J55" dT="2020-07-22T17:11:22.29" personId="{358ACA45-7C00-4E1C-A261-DC36C29E93A8}" id="{AE1E9CB0-9D76-4C24-A97F-5BE66E87F0D9}">
    <text>4 pick ups this month</text>
  </threadedComment>
  <threadedComment ref="F59" dT="2020-07-22T17:00:24.70" personId="{358ACA45-7C00-4E1C-A261-DC36C29E93A8}" id="{951E4FB7-F39E-441A-8F8A-460CF0BE02E1}">
    <text>One lift per 2 weeks</text>
  </threadedComment>
  <threadedComment ref="D62" dT="2020-07-22T16:53:02.54" personId="{358ACA45-7C00-4E1C-A261-DC36C29E93A8}" id="{D0DED5A9-3D15-4B72-95A8-EF6F76F591A1}">
    <text>Total capacity for shared dumpster. Remainder of line has generation and costs split accordingly.</text>
  </threadedComment>
  <threadedComment ref="D63" dT="2020-07-22T16:53:07.30" personId="{358ACA45-7C00-4E1C-A261-DC36C29E93A8}" id="{65C5C8C6-3402-4C1F-BC4D-A9C07D2009AA}">
    <text>Total capacity for shared dumpster. Remainder of line has generation and costs split accordingly.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9"/>
  <sheetViews>
    <sheetView tabSelected="1" zoomScaleNormal="100" workbookViewId="0">
      <pane ySplit="1" topLeftCell="A2" activePane="bottomLeft" state="frozen"/>
      <selection pane="bottomLeft" activeCell="E102" sqref="E102"/>
    </sheetView>
  </sheetViews>
  <sheetFormatPr defaultColWidth="9.109375" defaultRowHeight="14.4" x14ac:dyDescent="0.3"/>
  <cols>
    <col min="1" max="1" width="34.88671875" style="21" customWidth="1"/>
    <col min="2" max="2" width="14" style="21" customWidth="1"/>
    <col min="3" max="3" width="10" style="21" customWidth="1"/>
    <col min="4" max="4" width="6" style="21" customWidth="1"/>
    <col min="5" max="5" width="9.109375" style="21" customWidth="1"/>
    <col min="6" max="6" width="9.44140625" style="21" customWidth="1"/>
    <col min="7" max="15" width="9.109375" style="109" customWidth="1"/>
    <col min="16" max="17" width="8.44140625" style="21" customWidth="1"/>
    <col min="18" max="18" width="9.5546875" style="21" customWidth="1"/>
    <col min="19" max="19" width="14.6640625" style="109" customWidth="1"/>
    <col min="20" max="16384" width="9.109375" style="21"/>
  </cols>
  <sheetData>
    <row r="1" spans="1:19" s="93" customFormat="1" ht="25.2" thickBot="1" x14ac:dyDescent="0.35">
      <c r="A1" s="88" t="s">
        <v>0</v>
      </c>
      <c r="B1" s="89" t="s">
        <v>1</v>
      </c>
      <c r="C1" s="5" t="s">
        <v>2</v>
      </c>
      <c r="D1" s="78" t="s">
        <v>108</v>
      </c>
      <c r="E1" s="6" t="s">
        <v>3</v>
      </c>
      <c r="F1" s="6" t="s">
        <v>4</v>
      </c>
      <c r="G1" s="90" t="s">
        <v>5</v>
      </c>
      <c r="H1" s="91" t="s">
        <v>6</v>
      </c>
      <c r="I1" s="91" t="s">
        <v>7</v>
      </c>
      <c r="J1" s="91" t="s">
        <v>8</v>
      </c>
      <c r="K1" s="91" t="s">
        <v>9</v>
      </c>
      <c r="L1" s="91" t="s">
        <v>10</v>
      </c>
      <c r="M1" s="91" t="s">
        <v>11</v>
      </c>
      <c r="N1" s="91" t="s">
        <v>12</v>
      </c>
      <c r="O1" s="91" t="s">
        <v>13</v>
      </c>
      <c r="P1" s="18" t="s">
        <v>14</v>
      </c>
      <c r="Q1" s="18" t="s">
        <v>15</v>
      </c>
      <c r="R1" s="92" t="s">
        <v>16</v>
      </c>
      <c r="S1" s="122" t="s">
        <v>110</v>
      </c>
    </row>
    <row r="2" spans="1:19" x14ac:dyDescent="0.3">
      <c r="A2" s="1" t="s">
        <v>17</v>
      </c>
      <c r="B2" s="1" t="s">
        <v>18</v>
      </c>
      <c r="C2" s="2" t="s">
        <v>19</v>
      </c>
      <c r="D2" s="2">
        <v>173.2</v>
      </c>
      <c r="E2" s="3">
        <v>8</v>
      </c>
      <c r="F2" s="4" t="s">
        <v>20</v>
      </c>
      <c r="G2" s="22">
        <v>5.2089999999999996</v>
      </c>
      <c r="H2" s="23">
        <v>5.383</v>
      </c>
      <c r="I2" s="22">
        <v>5.4379999999999997</v>
      </c>
      <c r="J2" s="23">
        <v>5.843</v>
      </c>
      <c r="K2" s="85">
        <v>6.3609999999999998</v>
      </c>
      <c r="L2" s="86">
        <v>5.7779999999999996</v>
      </c>
      <c r="M2" s="85">
        <v>5.3120000000000003</v>
      </c>
      <c r="N2" s="23">
        <v>5.6210000000000004</v>
      </c>
      <c r="O2" s="22">
        <v>5.1609999999999996</v>
      </c>
      <c r="P2" s="23">
        <v>5.3490000000000002</v>
      </c>
      <c r="Q2" s="22">
        <v>5.43</v>
      </c>
      <c r="R2" s="23">
        <v>4.7300000000000004</v>
      </c>
      <c r="S2" s="64">
        <f t="shared" ref="S2:S34" si="0">SUM(G2:R2)</f>
        <v>65.614999999999995</v>
      </c>
    </row>
    <row r="3" spans="1:19" x14ac:dyDescent="0.3">
      <c r="A3" s="1" t="s">
        <v>17</v>
      </c>
      <c r="B3" s="1" t="s">
        <v>18</v>
      </c>
      <c r="C3" s="2" t="s">
        <v>19</v>
      </c>
      <c r="D3" s="2">
        <v>103.92</v>
      </c>
      <c r="E3" s="3">
        <v>8</v>
      </c>
      <c r="F3" s="4" t="s">
        <v>21</v>
      </c>
      <c r="G3" s="85">
        <v>3.125</v>
      </c>
      <c r="H3" s="86">
        <v>3.2290000000000001</v>
      </c>
      <c r="I3" s="86">
        <v>3.2629999999999999</v>
      </c>
      <c r="J3" s="86">
        <v>3.5059999999999998</v>
      </c>
      <c r="K3" s="86">
        <v>3.8159999999999998</v>
      </c>
      <c r="L3" s="86">
        <v>3.4670000000000001</v>
      </c>
      <c r="M3" s="86">
        <v>3.1869999999999998</v>
      </c>
      <c r="N3" s="23">
        <v>3.3719999999999999</v>
      </c>
      <c r="O3" s="23">
        <v>3.0960000000000001</v>
      </c>
      <c r="P3" s="23">
        <v>3.2090000000000001</v>
      </c>
      <c r="Q3" s="23">
        <v>3.26</v>
      </c>
      <c r="R3" s="62">
        <v>2.84</v>
      </c>
      <c r="S3" s="64">
        <f t="shared" si="0"/>
        <v>39.370000000000005</v>
      </c>
    </row>
    <row r="4" spans="1:19" x14ac:dyDescent="0.3">
      <c r="A4" s="26" t="s">
        <v>22</v>
      </c>
      <c r="B4" s="1" t="s">
        <v>23</v>
      </c>
      <c r="C4" s="2" t="s">
        <v>19</v>
      </c>
      <c r="D4" s="2">
        <v>346.4</v>
      </c>
      <c r="E4" s="3">
        <v>8</v>
      </c>
      <c r="F4" s="4" t="s">
        <v>20</v>
      </c>
      <c r="G4" s="22">
        <v>10.419</v>
      </c>
      <c r="H4" s="23">
        <v>10.766</v>
      </c>
      <c r="I4" s="23">
        <v>10.875999999999999</v>
      </c>
      <c r="J4" s="23">
        <v>11.686999999999999</v>
      </c>
      <c r="K4" s="23">
        <v>12.723000000000001</v>
      </c>
      <c r="L4" s="23">
        <v>11.557</v>
      </c>
      <c r="M4" s="23">
        <v>10.624000000000001</v>
      </c>
      <c r="N4" s="23">
        <v>11.242000000000001</v>
      </c>
      <c r="O4" s="23">
        <v>10.321999999999999</v>
      </c>
      <c r="P4" s="23">
        <v>10.704000000000001</v>
      </c>
      <c r="Q4" s="23">
        <v>10.86</v>
      </c>
      <c r="R4" s="62">
        <v>9.43</v>
      </c>
      <c r="S4" s="64">
        <f t="shared" si="0"/>
        <v>131.20999999999998</v>
      </c>
    </row>
    <row r="5" spans="1:19" x14ac:dyDescent="0.3">
      <c r="A5" s="1" t="s">
        <v>24</v>
      </c>
      <c r="B5" s="1" t="s">
        <v>25</v>
      </c>
      <c r="C5" s="2" t="s">
        <v>19</v>
      </c>
      <c r="D5" s="2">
        <v>103.92</v>
      </c>
      <c r="E5" s="3">
        <v>8</v>
      </c>
      <c r="F5" s="4" t="s">
        <v>21</v>
      </c>
      <c r="G5" s="22">
        <v>3.125</v>
      </c>
      <c r="H5" s="23">
        <v>3.2290000000000001</v>
      </c>
      <c r="I5" s="23">
        <v>3.2629999999999999</v>
      </c>
      <c r="J5" s="23">
        <v>3.5059999999999998</v>
      </c>
      <c r="K5" s="23">
        <v>3.8159999999999998</v>
      </c>
      <c r="L5" s="23">
        <v>3.4670000000000001</v>
      </c>
      <c r="M5" s="23">
        <v>3.8170000000000002</v>
      </c>
      <c r="N5" s="23">
        <v>3.3719999999999999</v>
      </c>
      <c r="O5" s="23">
        <v>3.0960000000000001</v>
      </c>
      <c r="P5" s="23">
        <v>3.2090000000000001</v>
      </c>
      <c r="Q5" s="23">
        <v>3.26</v>
      </c>
      <c r="R5" s="62">
        <v>2.84</v>
      </c>
      <c r="S5" s="64">
        <f t="shared" si="0"/>
        <v>40</v>
      </c>
    </row>
    <row r="6" spans="1:19" x14ac:dyDescent="0.3">
      <c r="A6" s="1" t="s">
        <v>26</v>
      </c>
      <c r="B6" s="1" t="s">
        <v>27</v>
      </c>
      <c r="C6" s="2" t="s">
        <v>19</v>
      </c>
      <c r="D6" s="2">
        <v>173.2</v>
      </c>
      <c r="E6" s="3">
        <v>8</v>
      </c>
      <c r="F6" s="4" t="s">
        <v>20</v>
      </c>
      <c r="G6" s="85">
        <v>5.2089999999999996</v>
      </c>
      <c r="H6" s="86">
        <v>5.383</v>
      </c>
      <c r="I6" s="86">
        <v>5.4379999999999997</v>
      </c>
      <c r="J6" s="86">
        <v>5.843</v>
      </c>
      <c r="K6" s="86">
        <v>6.3609999999999998</v>
      </c>
      <c r="L6" s="86">
        <v>5.7779999999999996</v>
      </c>
      <c r="M6" s="86">
        <v>5.3120000000000003</v>
      </c>
      <c r="N6" s="23">
        <v>5.6210000000000004</v>
      </c>
      <c r="O6" s="23">
        <v>5.1609999999999996</v>
      </c>
      <c r="P6" s="23">
        <v>5.3490000000000002</v>
      </c>
      <c r="Q6" s="23">
        <v>5.43</v>
      </c>
      <c r="R6" s="62">
        <v>4.7300000000000004</v>
      </c>
      <c r="S6" s="64">
        <f t="shared" si="0"/>
        <v>65.614999999999995</v>
      </c>
    </row>
    <row r="7" spans="1:19" x14ac:dyDescent="0.3">
      <c r="A7" s="1" t="s">
        <v>28</v>
      </c>
      <c r="B7" s="1" t="s">
        <v>29</v>
      </c>
      <c r="C7" s="2" t="s">
        <v>19</v>
      </c>
      <c r="D7" s="2">
        <v>129.9</v>
      </c>
      <c r="E7" s="3">
        <v>6</v>
      </c>
      <c r="F7" s="4" t="s">
        <v>20</v>
      </c>
      <c r="G7" s="22">
        <v>3.907</v>
      </c>
      <c r="H7" s="23">
        <v>4.0369999999999999</v>
      </c>
      <c r="I7" s="23">
        <v>4.0780000000000003</v>
      </c>
      <c r="J7" s="23">
        <v>4.3819999999999997</v>
      </c>
      <c r="K7" s="23">
        <v>4.7709999999999999</v>
      </c>
      <c r="L7" s="23">
        <v>4.3339999999999996</v>
      </c>
      <c r="M7" s="23">
        <v>3.984</v>
      </c>
      <c r="N7" s="23">
        <v>4.2149999999999999</v>
      </c>
      <c r="O7" s="23">
        <v>3.871</v>
      </c>
      <c r="P7" s="23">
        <v>4.0110000000000001</v>
      </c>
      <c r="Q7" s="23">
        <v>4.07</v>
      </c>
      <c r="R7" s="62">
        <v>3.55</v>
      </c>
      <c r="S7" s="64">
        <f t="shared" si="0"/>
        <v>49.21</v>
      </c>
    </row>
    <row r="8" spans="1:19" x14ac:dyDescent="0.3">
      <c r="A8" s="1" t="s">
        <v>30</v>
      </c>
      <c r="B8" s="1" t="s">
        <v>31</v>
      </c>
      <c r="C8" s="2" t="s">
        <v>19</v>
      </c>
      <c r="D8" s="2">
        <v>173.2</v>
      </c>
      <c r="E8" s="3">
        <v>8</v>
      </c>
      <c r="F8" s="4" t="s">
        <v>20</v>
      </c>
      <c r="G8" s="85">
        <v>5.2089999999999996</v>
      </c>
      <c r="H8" s="86">
        <v>5.383</v>
      </c>
      <c r="I8" s="86">
        <v>5.4379999999999997</v>
      </c>
      <c r="J8" s="86">
        <v>5.843</v>
      </c>
      <c r="K8" s="86">
        <v>6.3609999999999998</v>
      </c>
      <c r="L8" s="86">
        <v>5.7779999999999996</v>
      </c>
      <c r="M8" s="86">
        <v>5.3120000000000003</v>
      </c>
      <c r="N8" s="23">
        <v>5.6210000000000004</v>
      </c>
      <c r="O8" s="23">
        <v>5.1609999999999996</v>
      </c>
      <c r="P8" s="23">
        <v>5.3490000000000002</v>
      </c>
      <c r="Q8" s="23">
        <v>5.43</v>
      </c>
      <c r="R8" s="62">
        <v>4.7300000000000004</v>
      </c>
      <c r="S8" s="64">
        <f t="shared" si="0"/>
        <v>65.614999999999995</v>
      </c>
    </row>
    <row r="9" spans="1:19" x14ac:dyDescent="0.3">
      <c r="A9" s="1" t="s">
        <v>32</v>
      </c>
      <c r="B9" s="1" t="s">
        <v>33</v>
      </c>
      <c r="C9" s="2" t="s">
        <v>19</v>
      </c>
      <c r="D9" s="2">
        <f>E9*4.33</f>
        <v>1.9485000000000001</v>
      </c>
      <c r="E9" s="3">
        <v>0.45</v>
      </c>
      <c r="F9" s="4" t="s">
        <v>34</v>
      </c>
      <c r="G9" s="22">
        <v>0.13</v>
      </c>
      <c r="H9" s="23">
        <v>0.13400000000000001</v>
      </c>
      <c r="I9" s="23">
        <v>0.13500000000000001</v>
      </c>
      <c r="J9" s="23">
        <v>0.14599999999999999</v>
      </c>
      <c r="K9" s="23">
        <v>0.159</v>
      </c>
      <c r="L9" s="23">
        <v>0.14399999999999999</v>
      </c>
      <c r="M9" s="23">
        <v>0.13200000000000001</v>
      </c>
      <c r="N9" s="23">
        <v>0.14000000000000001</v>
      </c>
      <c r="O9" s="23">
        <v>0.129</v>
      </c>
      <c r="P9" s="23">
        <v>0.13300000000000001</v>
      </c>
      <c r="Q9" s="23">
        <v>0.14000000000000001</v>
      </c>
      <c r="R9" s="62">
        <v>0.12</v>
      </c>
      <c r="S9" s="123">
        <f t="shared" si="0"/>
        <v>1.6420000000000003</v>
      </c>
    </row>
    <row r="10" spans="1:19" x14ac:dyDescent="0.3">
      <c r="A10" s="1" t="s">
        <v>35</v>
      </c>
      <c r="B10" s="1" t="s">
        <v>36</v>
      </c>
      <c r="C10" s="2" t="s">
        <v>19</v>
      </c>
      <c r="D10" s="2">
        <v>77.94</v>
      </c>
      <c r="E10" s="3">
        <v>6</v>
      </c>
      <c r="F10" s="4" t="s">
        <v>21</v>
      </c>
      <c r="G10" s="22">
        <v>2.3439999999999999</v>
      </c>
      <c r="H10" s="23">
        <v>2.4220000000000002</v>
      </c>
      <c r="I10" s="23">
        <v>2.4470000000000001</v>
      </c>
      <c r="J10" s="23">
        <v>2.629</v>
      </c>
      <c r="K10" s="23">
        <v>2.8620000000000001</v>
      </c>
      <c r="L10" s="23">
        <v>2.6</v>
      </c>
      <c r="M10" s="23">
        <v>2.39</v>
      </c>
      <c r="N10" s="23">
        <v>2.5289999999999999</v>
      </c>
      <c r="O10" s="23">
        <v>2.3220000000000001</v>
      </c>
      <c r="P10" s="23">
        <v>2.407</v>
      </c>
      <c r="Q10" s="23">
        <v>2.44</v>
      </c>
      <c r="R10" s="62">
        <v>2.13</v>
      </c>
      <c r="S10" s="64">
        <f t="shared" si="0"/>
        <v>29.521999999999998</v>
      </c>
    </row>
    <row r="11" spans="1:19" x14ac:dyDescent="0.3">
      <c r="A11" s="1" t="s">
        <v>37</v>
      </c>
      <c r="B11" s="1" t="s">
        <v>38</v>
      </c>
      <c r="C11" s="27" t="s">
        <v>19</v>
      </c>
      <c r="D11" s="2">
        <v>69.28</v>
      </c>
      <c r="E11" s="3">
        <v>8</v>
      </c>
      <c r="F11" s="4" t="s">
        <v>39</v>
      </c>
      <c r="G11" s="22">
        <v>2.0830000000000002</v>
      </c>
      <c r="H11" s="23">
        <v>2.153</v>
      </c>
      <c r="I11" s="23">
        <v>2.1749999999999998</v>
      </c>
      <c r="J11" s="23">
        <v>2.3370000000000002</v>
      </c>
      <c r="K11" s="23">
        <v>2.544</v>
      </c>
      <c r="L11" s="23">
        <v>2.3109999999999999</v>
      </c>
      <c r="M11" s="23">
        <v>2.1240000000000001</v>
      </c>
      <c r="N11" s="23">
        <v>2.2480000000000002</v>
      </c>
      <c r="O11" s="23">
        <v>2.0640000000000001</v>
      </c>
      <c r="P11" s="23">
        <v>2.1389999999999998</v>
      </c>
      <c r="Q11" s="23">
        <v>2.17</v>
      </c>
      <c r="R11" s="62">
        <v>1.89</v>
      </c>
      <c r="S11" s="64">
        <f t="shared" si="0"/>
        <v>26.238</v>
      </c>
    </row>
    <row r="12" spans="1:19" x14ac:dyDescent="0.3">
      <c r="A12" s="1" t="s">
        <v>40</v>
      </c>
      <c r="B12" s="1" t="s">
        <v>41</v>
      </c>
      <c r="C12" s="2" t="s">
        <v>19</v>
      </c>
      <c r="D12" s="2">
        <v>173.2</v>
      </c>
      <c r="E12" s="3">
        <v>8</v>
      </c>
      <c r="F12" s="4" t="s">
        <v>20</v>
      </c>
      <c r="G12" s="85">
        <v>5.2089999999999996</v>
      </c>
      <c r="H12" s="86">
        <v>5.383</v>
      </c>
      <c r="I12" s="86">
        <v>5.4379999999999997</v>
      </c>
      <c r="J12" s="86">
        <v>5.843</v>
      </c>
      <c r="K12" s="86">
        <v>6.3609999999999998</v>
      </c>
      <c r="L12" s="86">
        <v>5.7779999999999996</v>
      </c>
      <c r="M12" s="86">
        <v>5.3120000000000003</v>
      </c>
      <c r="N12" s="23">
        <v>5.6210000000000004</v>
      </c>
      <c r="O12" s="23">
        <v>5.1609999999999996</v>
      </c>
      <c r="P12" s="23">
        <v>5.3490000000000002</v>
      </c>
      <c r="Q12" s="23">
        <v>5.43</v>
      </c>
      <c r="R12" s="62">
        <v>4.7300000000000004</v>
      </c>
      <c r="S12" s="64">
        <f t="shared" si="0"/>
        <v>65.614999999999995</v>
      </c>
    </row>
    <row r="13" spans="1:19" x14ac:dyDescent="0.3">
      <c r="A13" s="1" t="s">
        <v>42</v>
      </c>
      <c r="B13" s="1" t="s">
        <v>43</v>
      </c>
      <c r="C13" s="2" t="s">
        <v>19</v>
      </c>
      <c r="D13" s="2">
        <v>129.9</v>
      </c>
      <c r="E13" s="3">
        <v>6</v>
      </c>
      <c r="F13" s="4" t="s">
        <v>20</v>
      </c>
      <c r="G13" s="22">
        <v>3.907</v>
      </c>
      <c r="H13" s="23">
        <v>4.0369999999999999</v>
      </c>
      <c r="I13" s="23">
        <v>4.0780000000000003</v>
      </c>
      <c r="J13" s="23">
        <v>4.3819999999999997</v>
      </c>
      <c r="K13" s="23">
        <v>4.7709999999999999</v>
      </c>
      <c r="L13" s="23">
        <v>4.3339999999999996</v>
      </c>
      <c r="M13" s="23">
        <v>3.984</v>
      </c>
      <c r="N13" s="23">
        <v>4.2149999999999999</v>
      </c>
      <c r="O13" s="23">
        <v>3.871</v>
      </c>
      <c r="P13" s="23">
        <v>4.0110000000000001</v>
      </c>
      <c r="Q13" s="23">
        <v>4.07</v>
      </c>
      <c r="R13" s="62">
        <v>3.55</v>
      </c>
      <c r="S13" s="64">
        <f t="shared" si="0"/>
        <v>49.21</v>
      </c>
    </row>
    <row r="14" spans="1:19" x14ac:dyDescent="0.3">
      <c r="A14" s="1" t="s">
        <v>44</v>
      </c>
      <c r="B14" s="1" t="s">
        <v>45</v>
      </c>
      <c r="C14" s="25" t="s">
        <v>107</v>
      </c>
      <c r="D14" s="2">
        <v>34.64</v>
      </c>
      <c r="E14" s="3">
        <v>8</v>
      </c>
      <c r="F14" s="4" t="s">
        <v>34</v>
      </c>
      <c r="G14" s="22">
        <v>0.45600000000000002</v>
      </c>
      <c r="H14" s="23">
        <v>0.45</v>
      </c>
      <c r="I14" s="23">
        <v>0.46400000000000002</v>
      </c>
      <c r="J14" s="23">
        <v>0.46100000000000002</v>
      </c>
      <c r="K14" s="23">
        <v>0.60199999999999998</v>
      </c>
      <c r="L14" s="23">
        <v>0.45300000000000001</v>
      </c>
      <c r="M14" s="23">
        <v>0.41299999999999998</v>
      </c>
      <c r="N14" s="23">
        <v>0.52100000000000002</v>
      </c>
      <c r="O14" s="23">
        <v>0.44800000000000001</v>
      </c>
      <c r="P14" s="23">
        <v>0.52700000000000002</v>
      </c>
      <c r="Q14" s="23">
        <v>0.44</v>
      </c>
      <c r="R14" s="62">
        <v>0.4</v>
      </c>
      <c r="S14" s="123">
        <f t="shared" si="0"/>
        <v>5.6350000000000007</v>
      </c>
    </row>
    <row r="15" spans="1:19" x14ac:dyDescent="0.3">
      <c r="A15" s="1" t="s">
        <v>46</v>
      </c>
      <c r="B15" s="1" t="s">
        <v>47</v>
      </c>
      <c r="C15" s="27" t="s">
        <v>19</v>
      </c>
      <c r="D15" s="2">
        <v>173.2</v>
      </c>
      <c r="E15" s="3">
        <v>8</v>
      </c>
      <c r="F15" s="4" t="s">
        <v>20</v>
      </c>
      <c r="G15" s="85">
        <v>5.2089999999999996</v>
      </c>
      <c r="H15" s="86">
        <v>5.383</v>
      </c>
      <c r="I15" s="86">
        <v>5.4379999999999997</v>
      </c>
      <c r="J15" s="86">
        <v>5.843</v>
      </c>
      <c r="K15" s="86">
        <v>6.3609999999999998</v>
      </c>
      <c r="L15" s="86">
        <v>5.7779999999999996</v>
      </c>
      <c r="M15" s="86">
        <v>5.3120000000000003</v>
      </c>
      <c r="N15" s="23">
        <v>5.6210000000000004</v>
      </c>
      <c r="O15" s="23">
        <v>5.1609999999999996</v>
      </c>
      <c r="P15" s="23">
        <v>5.3490000000000002</v>
      </c>
      <c r="Q15" s="23">
        <v>5.43</v>
      </c>
      <c r="R15" s="62">
        <v>4.7300000000000004</v>
      </c>
      <c r="S15" s="64">
        <f t="shared" si="0"/>
        <v>65.614999999999995</v>
      </c>
    </row>
    <row r="16" spans="1:19" x14ac:dyDescent="0.3">
      <c r="A16" s="1" t="s">
        <v>48</v>
      </c>
      <c r="B16" s="1" t="s">
        <v>49</v>
      </c>
      <c r="C16" s="25" t="s">
        <v>174</v>
      </c>
      <c r="D16" s="2">
        <v>34.64</v>
      </c>
      <c r="E16" s="3">
        <v>8</v>
      </c>
      <c r="F16" s="4" t="s">
        <v>34</v>
      </c>
      <c r="G16" s="22">
        <v>0.45600000000000002</v>
      </c>
      <c r="H16" s="23">
        <v>0.45</v>
      </c>
      <c r="I16" s="23">
        <v>0.46400000000000002</v>
      </c>
      <c r="J16" s="23">
        <v>0.46100000000000002</v>
      </c>
      <c r="K16" s="23">
        <v>0.60199999999999998</v>
      </c>
      <c r="L16" s="23">
        <v>0.45300000000000001</v>
      </c>
      <c r="M16" s="23">
        <v>0.41299999999999998</v>
      </c>
      <c r="N16" s="23">
        <v>0.52100000000000002</v>
      </c>
      <c r="O16" s="23">
        <v>0.44800000000000001</v>
      </c>
      <c r="P16" s="23">
        <v>0.52700000000000002</v>
      </c>
      <c r="Q16" s="23">
        <v>0.44</v>
      </c>
      <c r="R16" s="62">
        <v>0.4</v>
      </c>
      <c r="S16" s="123">
        <f t="shared" si="0"/>
        <v>5.6350000000000007</v>
      </c>
    </row>
    <row r="17" spans="1:19" x14ac:dyDescent="0.3">
      <c r="A17" s="26" t="s">
        <v>134</v>
      </c>
      <c r="B17" s="26" t="s">
        <v>50</v>
      </c>
      <c r="C17" s="28" t="s">
        <v>19</v>
      </c>
      <c r="D17" s="28">
        <v>173.2</v>
      </c>
      <c r="E17" s="29">
        <v>8</v>
      </c>
      <c r="F17" s="30" t="s">
        <v>20</v>
      </c>
      <c r="G17" s="94">
        <f>G$105*0.4</f>
        <v>2.0836000000000001</v>
      </c>
      <c r="H17" s="94">
        <f>H$105*0.4</f>
        <v>2.1532</v>
      </c>
      <c r="I17" s="94">
        <f>I$105*0.4</f>
        <v>2.1751999999999998</v>
      </c>
      <c r="J17" s="94">
        <f>J$105*0.4</f>
        <v>2.3372000000000002</v>
      </c>
      <c r="K17" s="94">
        <f>K$105*0.4</f>
        <v>2.5444</v>
      </c>
      <c r="L17" s="94">
        <f>L$105*0.4</f>
        <v>2.3111999999999999</v>
      </c>
      <c r="M17" s="94">
        <f>M$105*0.4</f>
        <v>2.1248</v>
      </c>
      <c r="N17" s="94">
        <f>N$105*0.4</f>
        <v>2.2484000000000002</v>
      </c>
      <c r="O17" s="94">
        <f>O$105*0.4</f>
        <v>2.0644</v>
      </c>
      <c r="P17" s="94">
        <f>P$105*0.4</f>
        <v>2.1396000000000002</v>
      </c>
      <c r="Q17" s="94">
        <f>Q$105*0.4</f>
        <v>2.1720000000000002</v>
      </c>
      <c r="R17" s="94">
        <f>R$105*0.4</f>
        <v>1.8920000000000003</v>
      </c>
      <c r="S17" s="64">
        <f>SUM(G17:R17)</f>
        <v>26.246000000000002</v>
      </c>
    </row>
    <row r="18" spans="1:19" x14ac:dyDescent="0.3">
      <c r="A18" s="26" t="s">
        <v>135</v>
      </c>
      <c r="B18" s="26" t="s">
        <v>51</v>
      </c>
      <c r="C18" s="28" t="s">
        <v>19</v>
      </c>
      <c r="D18" s="28">
        <v>173.2</v>
      </c>
      <c r="E18" s="29">
        <v>8</v>
      </c>
      <c r="F18" s="30" t="s">
        <v>20</v>
      </c>
      <c r="G18" s="94">
        <f>G$105*0.25</f>
        <v>1.3022499999999999</v>
      </c>
      <c r="H18" s="94">
        <f>H$105*0.25</f>
        <v>1.34575</v>
      </c>
      <c r="I18" s="94">
        <f>I$105*0.25</f>
        <v>1.3594999999999999</v>
      </c>
      <c r="J18" s="94">
        <f>J$105*0.25</f>
        <v>1.46075</v>
      </c>
      <c r="K18" s="94">
        <f>K$105*0.25</f>
        <v>1.5902499999999999</v>
      </c>
      <c r="L18" s="94">
        <f>L$105*0.25</f>
        <v>1.4444999999999999</v>
      </c>
      <c r="M18" s="94">
        <f>M$105*0.25</f>
        <v>1.3280000000000001</v>
      </c>
      <c r="N18" s="94">
        <f>N$105*0.25</f>
        <v>1.4052500000000001</v>
      </c>
      <c r="O18" s="94">
        <f>O$105*0.25</f>
        <v>1.2902499999999999</v>
      </c>
      <c r="P18" s="94">
        <f>P$105*0.25</f>
        <v>1.33725</v>
      </c>
      <c r="Q18" s="94">
        <f>Q$105*0.25</f>
        <v>1.3574999999999999</v>
      </c>
      <c r="R18" s="94">
        <f>R$105*0.25</f>
        <v>1.1825000000000001</v>
      </c>
      <c r="S18" s="64">
        <f t="shared" si="0"/>
        <v>16.403749999999999</v>
      </c>
    </row>
    <row r="19" spans="1:19" x14ac:dyDescent="0.3">
      <c r="A19" s="1" t="s">
        <v>52</v>
      </c>
      <c r="B19" s="26" t="s">
        <v>53</v>
      </c>
      <c r="C19" s="28" t="s">
        <v>19</v>
      </c>
      <c r="D19" s="28">
        <v>69.28</v>
      </c>
      <c r="E19" s="29">
        <v>8</v>
      </c>
      <c r="F19" s="30" t="s">
        <v>39</v>
      </c>
      <c r="G19" s="95">
        <v>2.0830000000000002</v>
      </c>
      <c r="H19" s="59">
        <v>2.153</v>
      </c>
      <c r="I19" s="59">
        <v>2.1749999999999998</v>
      </c>
      <c r="J19" s="59">
        <v>2.3370000000000002</v>
      </c>
      <c r="K19" s="59">
        <v>2.544</v>
      </c>
      <c r="L19" s="59">
        <v>2.3109999999999999</v>
      </c>
      <c r="M19" s="59">
        <v>2.1240000000000001</v>
      </c>
      <c r="N19" s="59">
        <v>2.2480000000000002</v>
      </c>
      <c r="O19" s="59">
        <v>2.0640000000000001</v>
      </c>
      <c r="P19" s="59">
        <v>2.1389999999999998</v>
      </c>
      <c r="Q19" s="59">
        <v>2.17</v>
      </c>
      <c r="R19" s="96">
        <v>1.89</v>
      </c>
      <c r="S19" s="64">
        <f t="shared" si="0"/>
        <v>26.238</v>
      </c>
    </row>
    <row r="20" spans="1:19" x14ac:dyDescent="0.3">
      <c r="A20" s="1" t="s">
        <v>54</v>
      </c>
      <c r="B20" s="26" t="s">
        <v>55</v>
      </c>
      <c r="C20" s="28" t="s">
        <v>19</v>
      </c>
      <c r="D20" s="28">
        <v>34.64</v>
      </c>
      <c r="E20" s="29">
        <v>8</v>
      </c>
      <c r="F20" s="30" t="s">
        <v>34</v>
      </c>
      <c r="G20" s="95">
        <v>1.0409999999999999</v>
      </c>
      <c r="H20" s="59">
        <v>1.0760000000000001</v>
      </c>
      <c r="I20" s="59">
        <v>1.087</v>
      </c>
      <c r="J20" s="59">
        <v>1.1679999999999999</v>
      </c>
      <c r="K20" s="59">
        <v>1.272</v>
      </c>
      <c r="L20" s="59">
        <v>1.155</v>
      </c>
      <c r="M20" s="59">
        <v>1.0620000000000001</v>
      </c>
      <c r="N20" s="59">
        <v>1.1240000000000001</v>
      </c>
      <c r="O20" s="59">
        <v>1.032</v>
      </c>
      <c r="P20" s="59">
        <v>1.069</v>
      </c>
      <c r="Q20" s="59">
        <v>1.0900000000000001</v>
      </c>
      <c r="R20" s="96">
        <v>0.95</v>
      </c>
      <c r="S20" s="64">
        <f t="shared" si="0"/>
        <v>13.126000000000001</v>
      </c>
    </row>
    <row r="21" spans="1:19" x14ac:dyDescent="0.3">
      <c r="A21" s="1" t="s">
        <v>56</v>
      </c>
      <c r="B21" s="26" t="s">
        <v>57</v>
      </c>
      <c r="C21" s="54" t="s">
        <v>58</v>
      </c>
      <c r="D21" s="28" t="s">
        <v>59</v>
      </c>
      <c r="E21" s="29">
        <v>40</v>
      </c>
      <c r="F21" s="30" t="s">
        <v>60</v>
      </c>
      <c r="G21" s="95">
        <v>11.25</v>
      </c>
      <c r="H21" s="59">
        <v>3.75</v>
      </c>
      <c r="I21" s="59">
        <v>7.5</v>
      </c>
      <c r="J21" s="59">
        <v>3.75</v>
      </c>
      <c r="K21" s="59">
        <v>3.75</v>
      </c>
      <c r="L21" s="59">
        <v>11.25</v>
      </c>
      <c r="M21" s="59">
        <v>11.25</v>
      </c>
      <c r="N21" s="59">
        <v>7.5</v>
      </c>
      <c r="O21" s="59">
        <v>3.75</v>
      </c>
      <c r="P21" s="59">
        <v>7.5</v>
      </c>
      <c r="Q21" s="59">
        <v>15</v>
      </c>
      <c r="R21" s="96">
        <v>11.25</v>
      </c>
      <c r="S21" s="64">
        <f t="shared" si="0"/>
        <v>97.5</v>
      </c>
    </row>
    <row r="22" spans="1:19" s="63" customFormat="1" x14ac:dyDescent="0.3">
      <c r="A22" s="26" t="s">
        <v>136</v>
      </c>
      <c r="B22" s="26" t="s">
        <v>51</v>
      </c>
      <c r="C22" s="28" t="s">
        <v>19</v>
      </c>
      <c r="D22" s="28">
        <v>173.2</v>
      </c>
      <c r="E22" s="29">
        <v>8</v>
      </c>
      <c r="F22" s="30" t="s">
        <v>20</v>
      </c>
      <c r="G22" s="94">
        <f>0.25*G$105</f>
        <v>1.3022499999999999</v>
      </c>
      <c r="H22" s="94">
        <f>0.25*H$105</f>
        <v>1.34575</v>
      </c>
      <c r="I22" s="94">
        <f>0.25*I$105</f>
        <v>1.3594999999999999</v>
      </c>
      <c r="J22" s="94">
        <f>0.25*J$105</f>
        <v>1.46075</v>
      </c>
      <c r="K22" s="94">
        <f>0.25*K$105</f>
        <v>1.5902499999999999</v>
      </c>
      <c r="L22" s="94">
        <f>0.25*L$105</f>
        <v>1.4444999999999999</v>
      </c>
      <c r="M22" s="94">
        <f>0.25*M$105</f>
        <v>1.3280000000000001</v>
      </c>
      <c r="N22" s="94">
        <f>0.25*N$105</f>
        <v>1.4052500000000001</v>
      </c>
      <c r="O22" s="94">
        <f>0.25*O$105</f>
        <v>1.2902499999999999</v>
      </c>
      <c r="P22" s="94">
        <f>0.25*P$105</f>
        <v>1.33725</v>
      </c>
      <c r="Q22" s="94">
        <f>0.25*Q$105</f>
        <v>1.3574999999999999</v>
      </c>
      <c r="R22" s="94">
        <f>0.25*R$105</f>
        <v>1.1825000000000001</v>
      </c>
      <c r="S22" s="64">
        <f t="shared" si="0"/>
        <v>16.403749999999999</v>
      </c>
    </row>
    <row r="23" spans="1:19" x14ac:dyDescent="0.3">
      <c r="A23" s="41" t="s">
        <v>111</v>
      </c>
      <c r="B23" s="26" t="s">
        <v>61</v>
      </c>
      <c r="C23" s="45" t="s">
        <v>19</v>
      </c>
      <c r="D23" s="46" t="s">
        <v>62</v>
      </c>
      <c r="E23" s="29">
        <v>20</v>
      </c>
      <c r="F23" s="30" t="s">
        <v>60</v>
      </c>
      <c r="G23" s="95" t="s">
        <v>109</v>
      </c>
      <c r="H23" s="59" t="s">
        <v>109</v>
      </c>
      <c r="I23" s="59" t="s">
        <v>109</v>
      </c>
      <c r="J23" s="59" t="s">
        <v>109</v>
      </c>
      <c r="K23" s="59" t="s">
        <v>109</v>
      </c>
      <c r="L23" s="59" t="s">
        <v>109</v>
      </c>
      <c r="M23" s="59" t="s">
        <v>109</v>
      </c>
      <c r="N23" s="59" t="s">
        <v>109</v>
      </c>
      <c r="O23" s="70">
        <v>1.1499999999999999</v>
      </c>
      <c r="P23" s="70" t="s">
        <v>109</v>
      </c>
      <c r="Q23" s="70" t="s">
        <v>109</v>
      </c>
      <c r="R23" s="59" t="s">
        <v>109</v>
      </c>
      <c r="S23" s="64">
        <f t="shared" si="0"/>
        <v>1.1499999999999999</v>
      </c>
    </row>
    <row r="24" spans="1:19" x14ac:dyDescent="0.3">
      <c r="A24" s="41" t="s">
        <v>112</v>
      </c>
      <c r="B24" s="26" t="s">
        <v>63</v>
      </c>
      <c r="C24" s="45" t="s">
        <v>19</v>
      </c>
      <c r="D24" s="46" t="s">
        <v>62</v>
      </c>
      <c r="E24" s="29">
        <v>20</v>
      </c>
      <c r="F24" s="30" t="s">
        <v>60</v>
      </c>
      <c r="G24" s="95" t="s">
        <v>109</v>
      </c>
      <c r="H24" s="59" t="s">
        <v>109</v>
      </c>
      <c r="I24" s="59" t="s">
        <v>109</v>
      </c>
      <c r="J24" s="59" t="s">
        <v>109</v>
      </c>
      <c r="K24" s="59" t="s">
        <v>109</v>
      </c>
      <c r="L24" s="59" t="s">
        <v>109</v>
      </c>
      <c r="M24" s="59" t="s">
        <v>109</v>
      </c>
      <c r="N24" s="59" t="s">
        <v>109</v>
      </c>
      <c r="O24" s="70">
        <v>2.14</v>
      </c>
      <c r="P24" s="70" t="s">
        <v>109</v>
      </c>
      <c r="Q24" s="70" t="s">
        <v>109</v>
      </c>
      <c r="R24" s="59" t="s">
        <v>109</v>
      </c>
      <c r="S24" s="64">
        <f t="shared" si="0"/>
        <v>2.14</v>
      </c>
    </row>
    <row r="25" spans="1:19" x14ac:dyDescent="0.3">
      <c r="A25" s="41" t="s">
        <v>113</v>
      </c>
      <c r="B25" s="26" t="s">
        <v>61</v>
      </c>
      <c r="C25" s="45" t="s">
        <v>19</v>
      </c>
      <c r="D25" s="46" t="s">
        <v>62</v>
      </c>
      <c r="E25" s="29">
        <v>30</v>
      </c>
      <c r="F25" s="30" t="s">
        <v>60</v>
      </c>
      <c r="G25" s="95" t="s">
        <v>109</v>
      </c>
      <c r="H25" s="59" t="s">
        <v>109</v>
      </c>
      <c r="I25" s="59" t="s">
        <v>109</v>
      </c>
      <c r="J25" s="59" t="s">
        <v>109</v>
      </c>
      <c r="K25" s="59" t="s">
        <v>109</v>
      </c>
      <c r="L25" s="59" t="s">
        <v>109</v>
      </c>
      <c r="M25" s="59" t="s">
        <v>109</v>
      </c>
      <c r="N25" s="59" t="s">
        <v>109</v>
      </c>
      <c r="O25" s="59" t="s">
        <v>109</v>
      </c>
      <c r="P25" s="70">
        <v>0.39</v>
      </c>
      <c r="Q25" s="70" t="s">
        <v>109</v>
      </c>
      <c r="R25" s="59" t="s">
        <v>109</v>
      </c>
      <c r="S25" s="64">
        <f t="shared" si="0"/>
        <v>0.39</v>
      </c>
    </row>
    <row r="26" spans="1:19" x14ac:dyDescent="0.3">
      <c r="A26" s="41" t="s">
        <v>114</v>
      </c>
      <c r="B26" s="26" t="s">
        <v>63</v>
      </c>
      <c r="C26" s="45" t="s">
        <v>19</v>
      </c>
      <c r="D26" s="46" t="s">
        <v>62</v>
      </c>
      <c r="E26" s="29">
        <v>20</v>
      </c>
      <c r="F26" s="30" t="s">
        <v>60</v>
      </c>
      <c r="G26" s="95" t="s">
        <v>109</v>
      </c>
      <c r="H26" s="59" t="s">
        <v>109</v>
      </c>
      <c r="I26" s="59" t="s">
        <v>109</v>
      </c>
      <c r="J26" s="59" t="s">
        <v>109</v>
      </c>
      <c r="K26" s="59" t="s">
        <v>109</v>
      </c>
      <c r="L26" s="59" t="s">
        <v>109</v>
      </c>
      <c r="M26" s="59" t="s">
        <v>109</v>
      </c>
      <c r="N26" s="59" t="s">
        <v>109</v>
      </c>
      <c r="O26" s="59" t="s">
        <v>109</v>
      </c>
      <c r="P26" s="70">
        <v>1.77</v>
      </c>
      <c r="Q26" s="70" t="s">
        <v>109</v>
      </c>
      <c r="R26" s="59" t="s">
        <v>109</v>
      </c>
      <c r="S26" s="64">
        <f t="shared" si="0"/>
        <v>1.77</v>
      </c>
    </row>
    <row r="27" spans="1:19" x14ac:dyDescent="0.3">
      <c r="A27" s="41" t="s">
        <v>115</v>
      </c>
      <c r="B27" s="26" t="s">
        <v>61</v>
      </c>
      <c r="C27" s="45" t="s">
        <v>19</v>
      </c>
      <c r="D27" s="47" t="s">
        <v>62</v>
      </c>
      <c r="E27" s="29">
        <v>30</v>
      </c>
      <c r="F27" s="30" t="s">
        <v>60</v>
      </c>
      <c r="G27" s="95" t="s">
        <v>109</v>
      </c>
      <c r="H27" s="59" t="s">
        <v>109</v>
      </c>
      <c r="I27" s="59" t="s">
        <v>109</v>
      </c>
      <c r="J27" s="59" t="s">
        <v>109</v>
      </c>
      <c r="K27" s="59" t="s">
        <v>109</v>
      </c>
      <c r="L27" s="59" t="s">
        <v>109</v>
      </c>
      <c r="M27" s="59" t="s">
        <v>109</v>
      </c>
      <c r="N27" s="59" t="s">
        <v>109</v>
      </c>
      <c r="O27" s="59" t="s">
        <v>109</v>
      </c>
      <c r="P27" s="70">
        <v>0.95</v>
      </c>
      <c r="Q27" s="70">
        <v>0.05</v>
      </c>
      <c r="R27" s="59" t="s">
        <v>109</v>
      </c>
      <c r="S27" s="64">
        <f t="shared" si="0"/>
        <v>1</v>
      </c>
    </row>
    <row r="28" spans="1:19" x14ac:dyDescent="0.3">
      <c r="A28" s="41" t="s">
        <v>116</v>
      </c>
      <c r="B28" s="26" t="s">
        <v>63</v>
      </c>
      <c r="C28" s="45" t="s">
        <v>19</v>
      </c>
      <c r="D28" s="47" t="s">
        <v>62</v>
      </c>
      <c r="E28" s="29">
        <v>20</v>
      </c>
      <c r="F28" s="30" t="s">
        <v>60</v>
      </c>
      <c r="G28" s="95" t="s">
        <v>109</v>
      </c>
      <c r="H28" s="59" t="s">
        <v>109</v>
      </c>
      <c r="I28" s="59" t="s">
        <v>109</v>
      </c>
      <c r="J28" s="59" t="s">
        <v>109</v>
      </c>
      <c r="K28" s="59" t="s">
        <v>109</v>
      </c>
      <c r="L28" s="59" t="s">
        <v>109</v>
      </c>
      <c r="M28" s="59" t="s">
        <v>109</v>
      </c>
      <c r="N28" s="59" t="s">
        <v>109</v>
      </c>
      <c r="O28" s="59" t="s">
        <v>109</v>
      </c>
      <c r="P28" s="70">
        <v>0.91</v>
      </c>
      <c r="Q28" s="70">
        <v>1.5</v>
      </c>
      <c r="R28" s="59" t="s">
        <v>109</v>
      </c>
      <c r="S28" s="64">
        <f t="shared" si="0"/>
        <v>2.41</v>
      </c>
    </row>
    <row r="29" spans="1:19" x14ac:dyDescent="0.3">
      <c r="A29" s="41" t="s">
        <v>117</v>
      </c>
      <c r="B29" s="26" t="s">
        <v>61</v>
      </c>
      <c r="C29" s="45" t="s">
        <v>19</v>
      </c>
      <c r="D29" s="47" t="s">
        <v>62</v>
      </c>
      <c r="E29" s="29">
        <v>30</v>
      </c>
      <c r="F29" s="30" t="s">
        <v>60</v>
      </c>
      <c r="G29" s="95" t="s">
        <v>109</v>
      </c>
      <c r="H29" s="59" t="s">
        <v>109</v>
      </c>
      <c r="I29" s="59" t="s">
        <v>109</v>
      </c>
      <c r="J29" s="59" t="s">
        <v>109</v>
      </c>
      <c r="K29" s="59" t="s">
        <v>109</v>
      </c>
      <c r="L29" s="59" t="s">
        <v>109</v>
      </c>
      <c r="M29" s="59" t="s">
        <v>109</v>
      </c>
      <c r="N29" s="59" t="s">
        <v>109</v>
      </c>
      <c r="O29" s="59" t="s">
        <v>109</v>
      </c>
      <c r="P29" s="70" t="s">
        <v>109</v>
      </c>
      <c r="Q29" s="70">
        <v>0.33</v>
      </c>
      <c r="R29" s="59" t="s">
        <v>109</v>
      </c>
      <c r="S29" s="64">
        <f t="shared" si="0"/>
        <v>0.33</v>
      </c>
    </row>
    <row r="30" spans="1:19" x14ac:dyDescent="0.3">
      <c r="A30" s="41" t="s">
        <v>118</v>
      </c>
      <c r="B30" s="26" t="s">
        <v>63</v>
      </c>
      <c r="C30" s="45" t="s">
        <v>19</v>
      </c>
      <c r="D30" s="47" t="s">
        <v>62</v>
      </c>
      <c r="E30" s="29">
        <v>20</v>
      </c>
      <c r="F30" s="30" t="s">
        <v>60</v>
      </c>
      <c r="G30" s="95" t="s">
        <v>109</v>
      </c>
      <c r="H30" s="59" t="s">
        <v>109</v>
      </c>
      <c r="I30" s="59" t="s">
        <v>109</v>
      </c>
      <c r="J30" s="59" t="s">
        <v>109</v>
      </c>
      <c r="K30" s="59" t="s">
        <v>109</v>
      </c>
      <c r="L30" s="59" t="s">
        <v>109</v>
      </c>
      <c r="M30" s="59" t="s">
        <v>109</v>
      </c>
      <c r="N30" s="59" t="s">
        <v>109</v>
      </c>
      <c r="O30" s="59" t="s">
        <v>109</v>
      </c>
      <c r="P30" s="70" t="s">
        <v>109</v>
      </c>
      <c r="Q30" s="70">
        <v>0.18</v>
      </c>
      <c r="R30" s="59" t="s">
        <v>109</v>
      </c>
      <c r="S30" s="64">
        <f t="shared" si="0"/>
        <v>0.18</v>
      </c>
    </row>
    <row r="31" spans="1:19" x14ac:dyDescent="0.3">
      <c r="A31" s="1" t="s">
        <v>64</v>
      </c>
      <c r="B31" s="26" t="s">
        <v>65</v>
      </c>
      <c r="C31" s="28" t="s">
        <v>19</v>
      </c>
      <c r="D31" s="28">
        <v>77.94</v>
      </c>
      <c r="E31" s="29">
        <v>6</v>
      </c>
      <c r="F31" s="30" t="s">
        <v>21</v>
      </c>
      <c r="G31" s="95">
        <v>2.3439999999999999</v>
      </c>
      <c r="H31" s="59">
        <v>2.4220000000000002</v>
      </c>
      <c r="I31" s="59">
        <v>2.4470000000000001</v>
      </c>
      <c r="J31" s="59">
        <v>2.629</v>
      </c>
      <c r="K31" s="59">
        <v>2.8620000000000001</v>
      </c>
      <c r="L31" s="59">
        <v>2.6</v>
      </c>
      <c r="M31" s="59">
        <v>2.39</v>
      </c>
      <c r="N31" s="59">
        <v>2.5289999999999999</v>
      </c>
      <c r="O31" s="59">
        <v>2.3220000000000001</v>
      </c>
      <c r="P31" s="59">
        <v>2.407</v>
      </c>
      <c r="Q31" s="59">
        <v>2.44</v>
      </c>
      <c r="R31" s="96">
        <v>2.13</v>
      </c>
      <c r="S31" s="64">
        <f t="shared" si="0"/>
        <v>29.521999999999998</v>
      </c>
    </row>
    <row r="32" spans="1:19" x14ac:dyDescent="0.3">
      <c r="A32" s="1" t="s">
        <v>66</v>
      </c>
      <c r="B32" s="26" t="s">
        <v>67</v>
      </c>
      <c r="C32" s="28" t="s">
        <v>19</v>
      </c>
      <c r="D32" s="28">
        <v>34.64</v>
      </c>
      <c r="E32" s="29">
        <v>8</v>
      </c>
      <c r="F32" s="30" t="s">
        <v>34</v>
      </c>
      <c r="G32" s="95">
        <v>1.0409999999999999</v>
      </c>
      <c r="H32" s="59">
        <v>1.0760000000000001</v>
      </c>
      <c r="I32" s="59">
        <v>1.087</v>
      </c>
      <c r="J32" s="59">
        <v>1.1679999999999999</v>
      </c>
      <c r="K32" s="59">
        <v>1.272</v>
      </c>
      <c r="L32" s="59">
        <v>1.155</v>
      </c>
      <c r="M32" s="59">
        <v>1.0620000000000001</v>
      </c>
      <c r="N32" s="59">
        <v>1.1240000000000001</v>
      </c>
      <c r="O32" s="59">
        <v>1.032</v>
      </c>
      <c r="P32" s="59">
        <v>1.069</v>
      </c>
      <c r="Q32" s="59">
        <v>1.0900000000000001</v>
      </c>
      <c r="R32" s="96">
        <v>0.95</v>
      </c>
      <c r="S32" s="64">
        <f t="shared" si="0"/>
        <v>13.126000000000001</v>
      </c>
    </row>
    <row r="33" spans="1:19" x14ac:dyDescent="0.3">
      <c r="A33" s="1" t="s">
        <v>68</v>
      </c>
      <c r="B33" s="26" t="s">
        <v>69</v>
      </c>
      <c r="C33" s="54" t="s">
        <v>19</v>
      </c>
      <c r="D33" s="28" t="s">
        <v>59</v>
      </c>
      <c r="E33" s="29">
        <v>30</v>
      </c>
      <c r="F33" s="30" t="s">
        <v>34</v>
      </c>
      <c r="G33" s="95">
        <v>17.7</v>
      </c>
      <c r="H33" s="59">
        <v>8.18</v>
      </c>
      <c r="I33" s="59">
        <v>13.57</v>
      </c>
      <c r="J33" s="59">
        <v>7.69</v>
      </c>
      <c r="K33" s="97">
        <v>9</v>
      </c>
      <c r="L33" s="59">
        <v>2.12</v>
      </c>
      <c r="M33" s="97">
        <v>3.6</v>
      </c>
      <c r="N33" s="97">
        <v>4.41</v>
      </c>
      <c r="O33" s="97">
        <v>8.67</v>
      </c>
      <c r="P33" s="97">
        <v>18</v>
      </c>
      <c r="Q33" s="59">
        <v>8.16</v>
      </c>
      <c r="R33" s="96">
        <v>8.4499999999999993</v>
      </c>
      <c r="S33" s="64">
        <f t="shared" si="0"/>
        <v>109.55</v>
      </c>
    </row>
    <row r="34" spans="1:19" ht="13.5" customHeight="1" x14ac:dyDescent="0.3">
      <c r="A34" s="1" t="s">
        <v>70</v>
      </c>
      <c r="B34" s="26" t="s">
        <v>69</v>
      </c>
      <c r="C34" s="98" t="s">
        <v>107</v>
      </c>
      <c r="D34" s="28">
        <v>34.64</v>
      </c>
      <c r="E34" s="29">
        <v>8</v>
      </c>
      <c r="F34" s="30" t="s">
        <v>34</v>
      </c>
      <c r="G34" s="95">
        <v>0.45600000000000002</v>
      </c>
      <c r="H34" s="59">
        <v>0.45</v>
      </c>
      <c r="I34" s="59">
        <v>0.46400000000000002</v>
      </c>
      <c r="J34" s="59">
        <v>0.46100000000000002</v>
      </c>
      <c r="K34" s="59">
        <v>0.60199999999999998</v>
      </c>
      <c r="L34" s="59">
        <v>0.45300000000000001</v>
      </c>
      <c r="M34" s="59">
        <v>0.41299999999999998</v>
      </c>
      <c r="N34" s="59">
        <v>0.52100000000000002</v>
      </c>
      <c r="O34" s="59">
        <v>0.44800000000000001</v>
      </c>
      <c r="P34" s="59">
        <v>0.52700000000000002</v>
      </c>
      <c r="Q34" s="59">
        <v>0.44</v>
      </c>
      <c r="R34" s="96">
        <v>0.4</v>
      </c>
      <c r="S34" s="123">
        <f t="shared" si="0"/>
        <v>5.6350000000000007</v>
      </c>
    </row>
    <row r="35" spans="1:19" ht="13.5" customHeight="1" x14ac:dyDescent="0.3">
      <c r="A35" s="41" t="s">
        <v>119</v>
      </c>
      <c r="B35" s="26" t="s">
        <v>120</v>
      </c>
      <c r="C35" s="45" t="s">
        <v>19</v>
      </c>
      <c r="D35" s="46" t="s">
        <v>62</v>
      </c>
      <c r="E35" s="29">
        <v>40</v>
      </c>
      <c r="F35" s="30" t="s">
        <v>60</v>
      </c>
      <c r="G35" s="48">
        <f>13.05/33.28</f>
        <v>0.39212740384615385</v>
      </c>
      <c r="H35" s="49" t="s">
        <v>109</v>
      </c>
      <c r="I35" s="49" t="s">
        <v>109</v>
      </c>
      <c r="J35" s="49" t="s">
        <v>109</v>
      </c>
      <c r="K35" s="49" t="s">
        <v>109</v>
      </c>
      <c r="L35" s="49" t="s">
        <v>109</v>
      </c>
      <c r="M35" s="49" t="s">
        <v>109</v>
      </c>
      <c r="N35" s="49" t="s">
        <v>109</v>
      </c>
      <c r="O35" s="49" t="s">
        <v>109</v>
      </c>
      <c r="P35" s="50" t="s">
        <v>109</v>
      </c>
      <c r="Q35" s="50" t="s">
        <v>109</v>
      </c>
      <c r="R35" s="51" t="s">
        <v>109</v>
      </c>
      <c r="S35" s="124">
        <f>SUM(G35:Q35)</f>
        <v>0.39212740384615385</v>
      </c>
    </row>
    <row r="36" spans="1:19" x14ac:dyDescent="0.3">
      <c r="A36" s="1" t="s">
        <v>71</v>
      </c>
      <c r="B36" s="26" t="s">
        <v>72</v>
      </c>
      <c r="C36" s="28" t="s">
        <v>19</v>
      </c>
      <c r="D36" s="28">
        <v>12.99</v>
      </c>
      <c r="E36" s="29">
        <v>3</v>
      </c>
      <c r="F36" s="30" t="s">
        <v>34</v>
      </c>
      <c r="G36" s="95">
        <v>0.39</v>
      </c>
      <c r="H36" s="59">
        <v>0.40300000000000002</v>
      </c>
      <c r="I36" s="59">
        <v>0.40699999999999997</v>
      </c>
      <c r="J36" s="59">
        <v>0.438</v>
      </c>
      <c r="K36" s="59">
        <v>0.47699999999999998</v>
      </c>
      <c r="L36" s="59">
        <v>0.433</v>
      </c>
      <c r="M36" s="59">
        <v>0.39800000000000002</v>
      </c>
      <c r="N36" s="59">
        <v>0.42099999999999999</v>
      </c>
      <c r="O36" s="59">
        <v>0.38700000000000001</v>
      </c>
      <c r="P36" s="59">
        <v>0.40100000000000002</v>
      </c>
      <c r="Q36" s="59">
        <v>0.41</v>
      </c>
      <c r="R36" s="96">
        <v>0.35</v>
      </c>
      <c r="S36" s="123">
        <f t="shared" ref="S36:S70" si="1">SUM(G36:R36)</f>
        <v>4.9149999999999991</v>
      </c>
    </row>
    <row r="37" spans="1:19" x14ac:dyDescent="0.3">
      <c r="A37" s="41" t="s">
        <v>121</v>
      </c>
      <c r="B37" s="26" t="s">
        <v>122</v>
      </c>
      <c r="C37" s="45" t="s">
        <v>19</v>
      </c>
      <c r="D37" s="46">
        <v>17.32</v>
      </c>
      <c r="E37" s="29">
        <v>4</v>
      </c>
      <c r="F37" s="30" t="s">
        <v>34</v>
      </c>
      <c r="G37" s="48">
        <v>0.52</v>
      </c>
      <c r="H37" s="49">
        <v>0.53800000000000003</v>
      </c>
      <c r="I37" s="49">
        <v>0.54300000000000004</v>
      </c>
      <c r="J37" s="49">
        <v>0.58399999999999996</v>
      </c>
      <c r="K37" s="49">
        <v>0.63600000000000001</v>
      </c>
      <c r="L37" s="49">
        <v>0.57699999999999996</v>
      </c>
      <c r="M37" s="49">
        <v>0.53100000000000003</v>
      </c>
      <c r="N37" s="49">
        <v>0.56200000000000006</v>
      </c>
      <c r="O37" s="49">
        <v>0.51600000000000001</v>
      </c>
      <c r="P37" s="50">
        <v>0.53400000000000003</v>
      </c>
      <c r="Q37" s="49">
        <v>0.54</v>
      </c>
      <c r="R37" s="51">
        <v>0.47</v>
      </c>
      <c r="S37" s="64">
        <f t="shared" si="1"/>
        <v>6.5510000000000002</v>
      </c>
    </row>
    <row r="38" spans="1:19" s="63" customFormat="1" x14ac:dyDescent="0.3">
      <c r="A38" s="26" t="s">
        <v>137</v>
      </c>
      <c r="B38" s="26" t="s">
        <v>51</v>
      </c>
      <c r="C38" s="54" t="s">
        <v>19</v>
      </c>
      <c r="D38" s="28">
        <v>173.2</v>
      </c>
      <c r="E38" s="29">
        <v>8</v>
      </c>
      <c r="F38" s="30" t="s">
        <v>20</v>
      </c>
      <c r="G38" s="94">
        <f>G$105*0.25</f>
        <v>1.3022499999999999</v>
      </c>
      <c r="H38" s="94">
        <f>H$105*0.25</f>
        <v>1.34575</v>
      </c>
      <c r="I38" s="94">
        <f>I$105*0.25</f>
        <v>1.3594999999999999</v>
      </c>
      <c r="J38" s="94">
        <f>J$105*0.25</f>
        <v>1.46075</v>
      </c>
      <c r="K38" s="94">
        <f>K$105*0.25</f>
        <v>1.5902499999999999</v>
      </c>
      <c r="L38" s="94">
        <f>L$105*0.25</f>
        <v>1.4444999999999999</v>
      </c>
      <c r="M38" s="94">
        <f>M$105*0.25</f>
        <v>1.3280000000000001</v>
      </c>
      <c r="N38" s="94">
        <f>N$105*0.25</f>
        <v>1.4052500000000001</v>
      </c>
      <c r="O38" s="94">
        <f>O$105*0.25</f>
        <v>1.2902499999999999</v>
      </c>
      <c r="P38" s="94">
        <f>P$105*0.25</f>
        <v>1.33725</v>
      </c>
      <c r="Q38" s="94">
        <f>Q$105*0.25</f>
        <v>1.3574999999999999</v>
      </c>
      <c r="R38" s="94">
        <f>R$105*0.25</f>
        <v>1.1825000000000001</v>
      </c>
      <c r="S38" s="64">
        <f t="shared" si="1"/>
        <v>16.403749999999999</v>
      </c>
    </row>
    <row r="39" spans="1:19" x14ac:dyDescent="0.3">
      <c r="A39" s="1" t="s">
        <v>73</v>
      </c>
      <c r="B39" s="1" t="s">
        <v>74</v>
      </c>
      <c r="C39" s="2" t="s">
        <v>19</v>
      </c>
      <c r="D39" s="2">
        <v>173.2</v>
      </c>
      <c r="E39" s="3">
        <v>8</v>
      </c>
      <c r="F39" s="4" t="s">
        <v>20</v>
      </c>
      <c r="G39" s="85">
        <v>5.2089999999999996</v>
      </c>
      <c r="H39" s="86">
        <v>5.383</v>
      </c>
      <c r="I39" s="23">
        <v>5.4379999999999997</v>
      </c>
      <c r="J39" s="86">
        <v>5.843</v>
      </c>
      <c r="K39" s="86">
        <v>6.3609999999999998</v>
      </c>
      <c r="L39" s="86">
        <v>5.7779999999999996</v>
      </c>
      <c r="M39" s="86">
        <v>5.3120000000000003</v>
      </c>
      <c r="N39" s="23">
        <v>5.6210000000000004</v>
      </c>
      <c r="O39" s="23">
        <v>5.1609999999999996</v>
      </c>
      <c r="P39" s="23">
        <v>5.3490000000000002</v>
      </c>
      <c r="Q39" s="23">
        <v>5.43</v>
      </c>
      <c r="R39" s="62">
        <v>4.7300000000000004</v>
      </c>
      <c r="S39" s="64">
        <f t="shared" si="1"/>
        <v>65.614999999999995</v>
      </c>
    </row>
    <row r="40" spans="1:19" x14ac:dyDescent="0.3">
      <c r="A40" s="1" t="s">
        <v>75</v>
      </c>
      <c r="B40" s="1" t="s">
        <v>76</v>
      </c>
      <c r="C40" s="27" t="s">
        <v>19</v>
      </c>
      <c r="D40" s="2">
        <v>69.28</v>
      </c>
      <c r="E40" s="3">
        <v>8</v>
      </c>
      <c r="F40" s="4" t="s">
        <v>39</v>
      </c>
      <c r="G40" s="22">
        <v>2.0830000000000002</v>
      </c>
      <c r="H40" s="23">
        <v>2.153</v>
      </c>
      <c r="I40" s="23">
        <v>2.1749999999999998</v>
      </c>
      <c r="J40" s="23">
        <v>2.3370000000000002</v>
      </c>
      <c r="K40" s="23">
        <v>2.544</v>
      </c>
      <c r="L40" s="23">
        <v>2.3109999999999999</v>
      </c>
      <c r="M40" s="23">
        <v>2.1240000000000001</v>
      </c>
      <c r="N40" s="23">
        <v>2.2480000000000002</v>
      </c>
      <c r="O40" s="23">
        <v>2.0640000000000001</v>
      </c>
      <c r="P40" s="23">
        <v>2.1389999999999998</v>
      </c>
      <c r="Q40" s="23">
        <v>2.17</v>
      </c>
      <c r="R40" s="62">
        <v>1.89</v>
      </c>
      <c r="S40" s="64">
        <f t="shared" si="1"/>
        <v>26.238</v>
      </c>
    </row>
    <row r="41" spans="1:19" x14ac:dyDescent="0.3">
      <c r="A41" s="1" t="s">
        <v>77</v>
      </c>
      <c r="B41" s="1" t="s">
        <v>78</v>
      </c>
      <c r="C41" s="27" t="s">
        <v>19</v>
      </c>
      <c r="D41" s="2" t="s">
        <v>59</v>
      </c>
      <c r="E41" s="3">
        <v>30</v>
      </c>
      <c r="F41" s="4" t="s">
        <v>60</v>
      </c>
      <c r="G41" s="22">
        <v>7.64</v>
      </c>
      <c r="H41" s="23">
        <v>10.57</v>
      </c>
      <c r="I41" s="23">
        <v>14.37</v>
      </c>
      <c r="J41" s="23">
        <v>18.579999999999998</v>
      </c>
      <c r="K41" s="23">
        <v>22.14</v>
      </c>
      <c r="L41" s="23">
        <v>0</v>
      </c>
      <c r="M41" s="23">
        <v>9.17</v>
      </c>
      <c r="N41" s="86">
        <v>18.989999999999998</v>
      </c>
      <c r="O41" s="23">
        <v>0</v>
      </c>
      <c r="P41" s="23">
        <v>18.07</v>
      </c>
      <c r="Q41" s="23">
        <v>14.44</v>
      </c>
      <c r="R41" s="62">
        <v>14.3</v>
      </c>
      <c r="S41" s="64">
        <f t="shared" si="1"/>
        <v>148.27000000000001</v>
      </c>
    </row>
    <row r="42" spans="1:19" x14ac:dyDescent="0.3">
      <c r="A42" s="1" t="s">
        <v>79</v>
      </c>
      <c r="B42" s="1" t="s">
        <v>78</v>
      </c>
      <c r="C42" s="25" t="s">
        <v>107</v>
      </c>
      <c r="D42" s="2">
        <v>69.28</v>
      </c>
      <c r="E42" s="3">
        <v>8</v>
      </c>
      <c r="F42" s="4" t="s">
        <v>39</v>
      </c>
      <c r="G42" s="22">
        <v>0.91300000000000003</v>
      </c>
      <c r="H42" s="23">
        <v>0.9</v>
      </c>
      <c r="I42" s="23">
        <v>0.92800000000000005</v>
      </c>
      <c r="J42" s="23">
        <v>0.92300000000000004</v>
      </c>
      <c r="K42" s="23">
        <v>1.2050000000000001</v>
      </c>
      <c r="L42" s="23">
        <v>0.90600000000000003</v>
      </c>
      <c r="M42" s="23">
        <v>0.82599999999999996</v>
      </c>
      <c r="N42" s="23">
        <v>1.042</v>
      </c>
      <c r="O42" s="23">
        <v>0.89600000000000002</v>
      </c>
      <c r="P42" s="23">
        <v>1.054</v>
      </c>
      <c r="Q42" s="23">
        <v>0.88</v>
      </c>
      <c r="R42" s="62">
        <v>0.81</v>
      </c>
      <c r="S42" s="64">
        <f t="shared" si="1"/>
        <v>11.283000000000001</v>
      </c>
    </row>
    <row r="43" spans="1:19" x14ac:dyDescent="0.3">
      <c r="A43" s="1" t="s">
        <v>80</v>
      </c>
      <c r="B43" s="1" t="s">
        <v>81</v>
      </c>
      <c r="C43" s="27" t="s">
        <v>19</v>
      </c>
      <c r="D43" s="2" t="s">
        <v>59</v>
      </c>
      <c r="E43" s="3">
        <v>30</v>
      </c>
      <c r="F43" s="4" t="s">
        <v>60</v>
      </c>
      <c r="G43" s="85">
        <v>10.41</v>
      </c>
      <c r="H43" s="86">
        <v>12.39</v>
      </c>
      <c r="I43" s="86">
        <v>15.54</v>
      </c>
      <c r="J43" s="86">
        <v>19</v>
      </c>
      <c r="K43" s="86">
        <v>18.93</v>
      </c>
      <c r="L43" s="86">
        <v>5.31</v>
      </c>
      <c r="M43" s="86">
        <v>7.98</v>
      </c>
      <c r="N43" s="86">
        <v>11.14</v>
      </c>
      <c r="O43" s="86">
        <v>4.5999999999999996</v>
      </c>
      <c r="P43" s="23">
        <v>23.77</v>
      </c>
      <c r="Q43" s="23">
        <v>14.22</v>
      </c>
      <c r="R43" s="62">
        <v>8.15</v>
      </c>
      <c r="S43" s="64">
        <f t="shared" si="1"/>
        <v>151.44000000000003</v>
      </c>
    </row>
    <row r="44" spans="1:19" x14ac:dyDescent="0.3">
      <c r="A44" s="1" t="s">
        <v>80</v>
      </c>
      <c r="B44" s="1" t="s">
        <v>81</v>
      </c>
      <c r="C44" s="25" t="s">
        <v>174</v>
      </c>
      <c r="D44" s="2" t="s">
        <v>59</v>
      </c>
      <c r="E44" s="3">
        <v>40</v>
      </c>
      <c r="F44" s="4" t="s">
        <v>60</v>
      </c>
      <c r="G44" s="85">
        <v>5.86</v>
      </c>
      <c r="H44" s="86">
        <v>4.8499999999999996</v>
      </c>
      <c r="I44" s="86">
        <v>6.18</v>
      </c>
      <c r="J44" s="86">
        <v>4.29</v>
      </c>
      <c r="K44" s="86">
        <v>0</v>
      </c>
      <c r="L44" s="86">
        <v>0</v>
      </c>
      <c r="M44" s="86">
        <v>2.76</v>
      </c>
      <c r="N44" s="86">
        <v>5.95</v>
      </c>
      <c r="O44" s="86">
        <v>4.7300000000000004</v>
      </c>
      <c r="P44" s="23">
        <v>3.68</v>
      </c>
      <c r="Q44" s="23">
        <v>9.5</v>
      </c>
      <c r="R44" s="62">
        <v>1.24</v>
      </c>
      <c r="S44" s="64">
        <f t="shared" si="1"/>
        <v>49.04</v>
      </c>
    </row>
    <row r="45" spans="1:19" x14ac:dyDescent="0.3">
      <c r="A45" s="1" t="s">
        <v>82</v>
      </c>
      <c r="B45" s="1" t="s">
        <v>81</v>
      </c>
      <c r="C45" s="25" t="s">
        <v>107</v>
      </c>
      <c r="D45" s="2" t="s">
        <v>59</v>
      </c>
      <c r="E45" s="8">
        <v>8</v>
      </c>
      <c r="F45" s="4" t="s">
        <v>60</v>
      </c>
      <c r="G45" s="22" t="s">
        <v>59</v>
      </c>
      <c r="H45" s="23">
        <v>1.054</v>
      </c>
      <c r="I45" s="23">
        <v>1.054</v>
      </c>
      <c r="J45" s="23">
        <v>1.054</v>
      </c>
      <c r="K45" s="23">
        <v>1.054</v>
      </c>
      <c r="L45" s="23">
        <v>1.054</v>
      </c>
      <c r="M45" s="23" t="s">
        <v>59</v>
      </c>
      <c r="N45" s="23" t="s">
        <v>59</v>
      </c>
      <c r="O45" s="23">
        <v>2.109</v>
      </c>
      <c r="P45" s="23">
        <v>1.054</v>
      </c>
      <c r="Q45" s="23">
        <v>2.64</v>
      </c>
      <c r="R45" s="62" t="s">
        <v>59</v>
      </c>
      <c r="S45" s="64">
        <f t="shared" si="1"/>
        <v>11.073</v>
      </c>
    </row>
    <row r="46" spans="1:19" x14ac:dyDescent="0.3">
      <c r="A46" s="1" t="s">
        <v>83</v>
      </c>
      <c r="B46" s="1" t="s">
        <v>84</v>
      </c>
      <c r="C46" s="2" t="s">
        <v>19</v>
      </c>
      <c r="D46" s="2">
        <v>103.92</v>
      </c>
      <c r="E46" s="3">
        <v>8</v>
      </c>
      <c r="F46" s="4" t="s">
        <v>21</v>
      </c>
      <c r="G46" s="22">
        <v>3.125</v>
      </c>
      <c r="H46" s="23">
        <v>3.2290000000000001</v>
      </c>
      <c r="I46" s="23">
        <v>3.2629999999999999</v>
      </c>
      <c r="J46" s="23">
        <v>3.5059999999999998</v>
      </c>
      <c r="K46" s="23">
        <v>3.8159999999999998</v>
      </c>
      <c r="L46" s="23">
        <v>3.4670000000000001</v>
      </c>
      <c r="M46" s="23">
        <v>3.1869999999999998</v>
      </c>
      <c r="N46" s="23">
        <v>3.3719999999999999</v>
      </c>
      <c r="O46" s="23">
        <v>3.0960000000000001</v>
      </c>
      <c r="P46" s="23">
        <v>3.2090000000000001</v>
      </c>
      <c r="Q46" s="23">
        <v>3.26</v>
      </c>
      <c r="R46" s="62">
        <v>2.84</v>
      </c>
      <c r="S46" s="64">
        <f t="shared" si="1"/>
        <v>39.370000000000005</v>
      </c>
    </row>
    <row r="47" spans="1:19" x14ac:dyDescent="0.3">
      <c r="A47" s="1" t="s">
        <v>83</v>
      </c>
      <c r="B47" s="1" t="s">
        <v>84</v>
      </c>
      <c r="C47" s="25" t="s">
        <v>107</v>
      </c>
      <c r="D47" s="2" t="s">
        <v>59</v>
      </c>
      <c r="E47" s="3">
        <v>8</v>
      </c>
      <c r="F47" s="4" t="s">
        <v>60</v>
      </c>
      <c r="G47" s="22" t="s">
        <v>59</v>
      </c>
      <c r="H47" s="23" t="s">
        <v>59</v>
      </c>
      <c r="I47" s="23">
        <v>0.53</v>
      </c>
      <c r="J47" s="23" t="s">
        <v>59</v>
      </c>
      <c r="K47" s="23" t="s">
        <v>59</v>
      </c>
      <c r="L47" s="23">
        <v>0.53</v>
      </c>
      <c r="M47" s="23" t="s">
        <v>59</v>
      </c>
      <c r="N47" s="23" t="s">
        <v>59</v>
      </c>
      <c r="O47" s="23" t="s">
        <v>59</v>
      </c>
      <c r="P47" s="23">
        <v>0.53</v>
      </c>
      <c r="Q47" s="23" t="s">
        <v>59</v>
      </c>
      <c r="R47" s="62" t="s">
        <v>59</v>
      </c>
      <c r="S47" s="123">
        <f t="shared" si="1"/>
        <v>1.59</v>
      </c>
    </row>
    <row r="48" spans="1:19" x14ac:dyDescent="0.3">
      <c r="A48" s="1" t="s">
        <v>85</v>
      </c>
      <c r="B48" s="1" t="s">
        <v>86</v>
      </c>
      <c r="C48" s="2" t="s">
        <v>19</v>
      </c>
      <c r="D48" s="2">
        <v>173.2</v>
      </c>
      <c r="E48" s="3">
        <v>8</v>
      </c>
      <c r="F48" s="4" t="s">
        <v>20</v>
      </c>
      <c r="G48" s="85">
        <v>5.2089999999999996</v>
      </c>
      <c r="H48" s="86">
        <v>5.383</v>
      </c>
      <c r="I48" s="86">
        <v>5.4379999999999997</v>
      </c>
      <c r="J48" s="86">
        <v>5.843</v>
      </c>
      <c r="K48" s="86">
        <v>6.3609999999999998</v>
      </c>
      <c r="L48" s="86">
        <v>5.7779999999999996</v>
      </c>
      <c r="M48" s="86">
        <v>5.3120000000000003</v>
      </c>
      <c r="N48" s="23">
        <v>5.6210000000000004</v>
      </c>
      <c r="O48" s="23">
        <v>5.1609999999999996</v>
      </c>
      <c r="P48" s="23">
        <v>5.3490000000000002</v>
      </c>
      <c r="Q48" s="23">
        <v>5.43</v>
      </c>
      <c r="R48" s="62">
        <v>4.7300000000000004</v>
      </c>
      <c r="S48" s="64">
        <f t="shared" si="1"/>
        <v>65.614999999999995</v>
      </c>
    </row>
    <row r="49" spans="1:19" x14ac:dyDescent="0.3">
      <c r="A49" s="1" t="s">
        <v>87</v>
      </c>
      <c r="B49" s="1" t="s">
        <v>88</v>
      </c>
      <c r="C49" s="2" t="s">
        <v>19</v>
      </c>
      <c r="D49" s="2">
        <v>173.2</v>
      </c>
      <c r="E49" s="3">
        <v>8</v>
      </c>
      <c r="F49" s="4" t="s">
        <v>20</v>
      </c>
      <c r="G49" s="85">
        <v>5.2089999999999996</v>
      </c>
      <c r="H49" s="86">
        <v>5.383</v>
      </c>
      <c r="I49" s="86">
        <v>5.4379999999999997</v>
      </c>
      <c r="J49" s="86">
        <v>5.843</v>
      </c>
      <c r="K49" s="23">
        <v>6.3609999999999998</v>
      </c>
      <c r="L49" s="86">
        <v>5.7779999999999996</v>
      </c>
      <c r="M49" s="86">
        <v>5.3120000000000003</v>
      </c>
      <c r="N49" s="23">
        <v>5.6210000000000004</v>
      </c>
      <c r="O49" s="23">
        <v>5.1609999999999996</v>
      </c>
      <c r="P49" s="23">
        <v>5.3490000000000002</v>
      </c>
      <c r="Q49" s="23">
        <v>5.43</v>
      </c>
      <c r="R49" s="62">
        <v>4.7300000000000004</v>
      </c>
      <c r="S49" s="64">
        <f t="shared" si="1"/>
        <v>65.614999999999995</v>
      </c>
    </row>
    <row r="50" spans="1:19" ht="15" thickBot="1" x14ac:dyDescent="0.35">
      <c r="A50" s="1" t="s">
        <v>87</v>
      </c>
      <c r="B50" s="1" t="s">
        <v>88</v>
      </c>
      <c r="C50" s="25" t="s">
        <v>107</v>
      </c>
      <c r="D50" s="2" t="s">
        <v>59</v>
      </c>
      <c r="E50" s="3">
        <v>8</v>
      </c>
      <c r="F50" s="4" t="s">
        <v>60</v>
      </c>
      <c r="G50" s="22" t="s">
        <v>59</v>
      </c>
      <c r="H50" s="23">
        <v>0.52700000000000002</v>
      </c>
      <c r="I50" s="23" t="s">
        <v>59</v>
      </c>
      <c r="J50" s="23" t="s">
        <v>59</v>
      </c>
      <c r="K50" s="23">
        <v>0.52700000000000002</v>
      </c>
      <c r="L50" s="23" t="s">
        <v>59</v>
      </c>
      <c r="M50" s="23" t="s">
        <v>59</v>
      </c>
      <c r="N50" s="23">
        <v>0.52700000000000002</v>
      </c>
      <c r="O50" s="23" t="s">
        <v>59</v>
      </c>
      <c r="P50" s="23" t="s">
        <v>59</v>
      </c>
      <c r="Q50" s="23" t="s">
        <v>59</v>
      </c>
      <c r="R50" s="62" t="s">
        <v>59</v>
      </c>
      <c r="S50" s="123">
        <f t="shared" si="1"/>
        <v>1.581</v>
      </c>
    </row>
    <row r="51" spans="1:19" ht="15" thickBot="1" x14ac:dyDescent="0.35">
      <c r="A51" s="7" t="s">
        <v>89</v>
      </c>
      <c r="B51" s="7" t="s">
        <v>90</v>
      </c>
      <c r="C51" s="55" t="s">
        <v>19</v>
      </c>
      <c r="D51" s="55">
        <v>38.97</v>
      </c>
      <c r="E51" s="56">
        <v>3</v>
      </c>
      <c r="F51" s="57" t="s">
        <v>21</v>
      </c>
      <c r="G51" s="99">
        <v>1.1719999999999999</v>
      </c>
      <c r="H51" s="100">
        <v>1.2110000000000001</v>
      </c>
      <c r="I51" s="100">
        <v>1.2230000000000001</v>
      </c>
      <c r="J51" s="100">
        <v>1.3140000000000001</v>
      </c>
      <c r="K51" s="100">
        <v>1.431</v>
      </c>
      <c r="L51" s="100">
        <v>1.3</v>
      </c>
      <c r="M51" s="100">
        <v>1.1950000000000001</v>
      </c>
      <c r="N51" s="100">
        <v>1.264</v>
      </c>
      <c r="O51" s="100">
        <v>1.161</v>
      </c>
      <c r="P51" s="100">
        <v>1.2030000000000001</v>
      </c>
      <c r="Q51" s="100">
        <v>1.22</v>
      </c>
      <c r="R51" s="101">
        <v>1.06</v>
      </c>
      <c r="S51" s="64">
        <f t="shared" si="1"/>
        <v>14.754</v>
      </c>
    </row>
    <row r="52" spans="1:19" x14ac:dyDescent="0.3">
      <c r="A52" s="7" t="s">
        <v>91</v>
      </c>
      <c r="B52" s="7" t="s">
        <v>92</v>
      </c>
      <c r="C52" s="2" t="s">
        <v>19</v>
      </c>
      <c r="D52" s="2">
        <v>69.28</v>
      </c>
      <c r="E52" s="3">
        <v>8</v>
      </c>
      <c r="F52" s="4" t="s">
        <v>39</v>
      </c>
      <c r="G52" s="22">
        <v>2.0830000000000002</v>
      </c>
      <c r="H52" s="23">
        <v>2.153</v>
      </c>
      <c r="I52" s="23">
        <v>2.1749999999999998</v>
      </c>
      <c r="J52" s="23">
        <v>2.3370000000000002</v>
      </c>
      <c r="K52" s="23">
        <v>2.544</v>
      </c>
      <c r="L52" s="23">
        <v>2.3109999999999999</v>
      </c>
      <c r="M52" s="23">
        <v>2.1240000000000001</v>
      </c>
      <c r="N52" s="23">
        <v>2.2480000000000002</v>
      </c>
      <c r="O52" s="23">
        <v>2.0640000000000001</v>
      </c>
      <c r="P52" s="23">
        <v>2.1389999999999998</v>
      </c>
      <c r="Q52" s="23">
        <v>2.17</v>
      </c>
      <c r="R52" s="62">
        <v>1.89</v>
      </c>
      <c r="S52" s="64">
        <f t="shared" si="1"/>
        <v>26.238</v>
      </c>
    </row>
    <row r="53" spans="1:19" x14ac:dyDescent="0.3">
      <c r="A53" s="1" t="s">
        <v>91</v>
      </c>
      <c r="B53" s="1" t="s">
        <v>92</v>
      </c>
      <c r="C53" s="25" t="s">
        <v>107</v>
      </c>
      <c r="D53" s="2">
        <f>E53*4.33*0.5*9</f>
        <v>9.3527999999999984</v>
      </c>
      <c r="E53" s="3">
        <v>0.48</v>
      </c>
      <c r="F53" s="4" t="s">
        <v>34</v>
      </c>
      <c r="G53" s="22">
        <v>5.7110000000000001E-2</v>
      </c>
      <c r="H53" s="23">
        <v>5.62E-2</v>
      </c>
      <c r="I53" s="23">
        <v>5.8000000000000003E-2</v>
      </c>
      <c r="J53" s="23">
        <v>5.7599999999999998E-2</v>
      </c>
      <c r="K53" s="23">
        <v>7.4999999999999997E-2</v>
      </c>
      <c r="L53" s="23">
        <v>5.6599999999999998E-2</v>
      </c>
      <c r="M53" s="23">
        <v>5.0999999999999997E-2</v>
      </c>
      <c r="N53" s="23">
        <v>6.5000000000000002E-2</v>
      </c>
      <c r="O53" s="23">
        <v>5.6000000000000001E-2</v>
      </c>
      <c r="P53" s="23">
        <v>6.5000000000000002E-2</v>
      </c>
      <c r="Q53" s="23">
        <v>0.06</v>
      </c>
      <c r="R53" s="62">
        <v>0.05</v>
      </c>
      <c r="S53" s="123">
        <f t="shared" si="1"/>
        <v>0.70751000000000008</v>
      </c>
    </row>
    <row r="54" spans="1:19" x14ac:dyDescent="0.3">
      <c r="A54" s="1" t="s">
        <v>93</v>
      </c>
      <c r="B54" s="1" t="s">
        <v>94</v>
      </c>
      <c r="C54" s="2" t="s">
        <v>19</v>
      </c>
      <c r="D54" s="2" t="s">
        <v>59</v>
      </c>
      <c r="E54" s="3">
        <v>30</v>
      </c>
      <c r="F54" s="4" t="s">
        <v>60</v>
      </c>
      <c r="G54" s="85">
        <v>17.100000000000001</v>
      </c>
      <c r="H54" s="86">
        <v>26.56</v>
      </c>
      <c r="I54" s="86">
        <v>19.88</v>
      </c>
      <c r="J54" s="86">
        <v>21.77</v>
      </c>
      <c r="K54" s="86">
        <v>19.77</v>
      </c>
      <c r="L54" s="86">
        <v>7.65</v>
      </c>
      <c r="M54" s="86">
        <v>7.43</v>
      </c>
      <c r="N54" s="86">
        <v>15.88</v>
      </c>
      <c r="O54" s="86">
        <v>31.56</v>
      </c>
      <c r="P54" s="23">
        <v>29.53</v>
      </c>
      <c r="Q54" s="86">
        <v>23.61</v>
      </c>
      <c r="R54" s="102">
        <v>16.309999999999999</v>
      </c>
      <c r="S54" s="64">
        <f t="shared" si="1"/>
        <v>237.05</v>
      </c>
    </row>
    <row r="55" spans="1:19" x14ac:dyDescent="0.3">
      <c r="A55" s="1" t="s">
        <v>95</v>
      </c>
      <c r="B55" s="1" t="s">
        <v>94</v>
      </c>
      <c r="C55" s="25" t="s">
        <v>107</v>
      </c>
      <c r="D55" s="2" t="s">
        <v>59</v>
      </c>
      <c r="E55" s="3">
        <v>3</v>
      </c>
      <c r="F55" s="4" t="s">
        <v>60</v>
      </c>
      <c r="G55" s="22">
        <v>0.39500000000000002</v>
      </c>
      <c r="H55" s="23">
        <v>0.39500000000000002</v>
      </c>
      <c r="I55" s="23">
        <v>0.39500000000000002</v>
      </c>
      <c r="J55" s="23">
        <v>0.79100000000000004</v>
      </c>
      <c r="K55" s="23">
        <v>0.39500000000000002</v>
      </c>
      <c r="L55" s="23">
        <v>0.19700000000000001</v>
      </c>
      <c r="M55" s="23">
        <v>0.19700000000000001</v>
      </c>
      <c r="N55" s="23">
        <v>0.39500000000000002</v>
      </c>
      <c r="O55" s="23">
        <v>0.39500000000000002</v>
      </c>
      <c r="P55" s="23">
        <v>0.39500000000000002</v>
      </c>
      <c r="Q55" s="23">
        <v>0.17</v>
      </c>
      <c r="R55" s="62">
        <v>0.17</v>
      </c>
      <c r="S55" s="123">
        <f t="shared" si="1"/>
        <v>4.29</v>
      </c>
    </row>
    <row r="56" spans="1:19" x14ac:dyDescent="0.3">
      <c r="A56" s="1" t="s">
        <v>95</v>
      </c>
      <c r="B56" s="1" t="s">
        <v>94</v>
      </c>
      <c r="C56" s="25" t="s">
        <v>175</v>
      </c>
      <c r="D56" s="2">
        <v>173.2</v>
      </c>
      <c r="E56" s="3">
        <v>8</v>
      </c>
      <c r="F56" s="4" t="s">
        <v>20</v>
      </c>
      <c r="G56" s="22">
        <v>2.2839999999999998</v>
      </c>
      <c r="H56" s="23">
        <v>2.25</v>
      </c>
      <c r="I56" s="23">
        <v>2.3199999999999998</v>
      </c>
      <c r="J56" s="23">
        <v>2.3069999999999999</v>
      </c>
      <c r="K56" s="23">
        <v>3.012</v>
      </c>
      <c r="L56" s="23">
        <v>2.2650000000000001</v>
      </c>
      <c r="M56" s="23">
        <v>2.0659999999999998</v>
      </c>
      <c r="N56" s="23">
        <v>2.605</v>
      </c>
      <c r="O56" s="23">
        <v>2.2400000000000002</v>
      </c>
      <c r="P56" s="23">
        <v>2.6360000000000001</v>
      </c>
      <c r="Q56" s="23">
        <v>2.2000000000000002</v>
      </c>
      <c r="R56" s="62">
        <v>2.02</v>
      </c>
      <c r="S56" s="64">
        <f t="shared" si="1"/>
        <v>28.205000000000002</v>
      </c>
    </row>
    <row r="57" spans="1:19" x14ac:dyDescent="0.3">
      <c r="A57" s="41" t="s">
        <v>123</v>
      </c>
      <c r="B57" s="1" t="s">
        <v>124</v>
      </c>
      <c r="C57" s="42" t="s">
        <v>19</v>
      </c>
      <c r="D57" s="43">
        <v>8.66</v>
      </c>
      <c r="E57" s="3">
        <v>2</v>
      </c>
      <c r="F57" s="4" t="s">
        <v>34</v>
      </c>
      <c r="G57" s="44">
        <v>0.26</v>
      </c>
      <c r="H57" s="40">
        <v>0.26900000000000002</v>
      </c>
      <c r="I57" s="40">
        <v>0.27100000000000002</v>
      </c>
      <c r="J57" s="40">
        <v>0.29199999999999998</v>
      </c>
      <c r="K57" s="40">
        <v>0.318</v>
      </c>
      <c r="L57" s="40">
        <v>0.28799999999999998</v>
      </c>
      <c r="M57" s="40">
        <v>0.26500000000000001</v>
      </c>
      <c r="N57" s="40">
        <v>0.28100000000000003</v>
      </c>
      <c r="O57" s="40">
        <v>0.25800000000000001</v>
      </c>
      <c r="P57" s="31">
        <v>0.26700000000000002</v>
      </c>
      <c r="Q57" s="40">
        <v>0.27</v>
      </c>
      <c r="R57" s="58">
        <v>0.24</v>
      </c>
      <c r="S57" s="123">
        <f t="shared" si="1"/>
        <v>3.2789999999999999</v>
      </c>
    </row>
    <row r="58" spans="1:19" x14ac:dyDescent="0.3">
      <c r="A58" s="1" t="s">
        <v>96</v>
      </c>
      <c r="B58" s="1" t="s">
        <v>97</v>
      </c>
      <c r="C58" s="2" t="s">
        <v>19</v>
      </c>
      <c r="D58" s="2">
        <v>17.32</v>
      </c>
      <c r="E58" s="3">
        <v>4</v>
      </c>
      <c r="F58" s="4" t="s">
        <v>34</v>
      </c>
      <c r="G58" s="22">
        <v>0.52</v>
      </c>
      <c r="H58" s="23">
        <v>0.53800000000000003</v>
      </c>
      <c r="I58" s="23">
        <v>0.54300000000000004</v>
      </c>
      <c r="J58" s="23">
        <v>0.58399999999999996</v>
      </c>
      <c r="K58" s="23">
        <v>0.63600000000000001</v>
      </c>
      <c r="L58" s="23">
        <v>0.57699999999999996</v>
      </c>
      <c r="M58" s="23">
        <v>0.53100000000000003</v>
      </c>
      <c r="N58" s="23">
        <v>0.56200000000000006</v>
      </c>
      <c r="O58" s="23">
        <v>0.51600000000000001</v>
      </c>
      <c r="P58" s="23">
        <v>0.53400000000000003</v>
      </c>
      <c r="Q58" s="23">
        <v>0.54</v>
      </c>
      <c r="R58" s="62">
        <v>0.47</v>
      </c>
      <c r="S58" s="64">
        <f t="shared" si="1"/>
        <v>6.5510000000000002</v>
      </c>
    </row>
    <row r="59" spans="1:19" x14ac:dyDescent="0.3">
      <c r="A59" s="26" t="s">
        <v>96</v>
      </c>
      <c r="B59" s="1" t="s">
        <v>97</v>
      </c>
      <c r="C59" s="25" t="s">
        <v>107</v>
      </c>
      <c r="D59" s="2">
        <v>4.33</v>
      </c>
      <c r="E59" s="3">
        <v>2</v>
      </c>
      <c r="F59" s="4" t="s">
        <v>34</v>
      </c>
      <c r="G59" s="22">
        <v>0.114</v>
      </c>
      <c r="H59" s="23">
        <v>0.1125</v>
      </c>
      <c r="I59" s="86">
        <v>0.11600000000000001</v>
      </c>
      <c r="J59" s="86">
        <v>0.1153</v>
      </c>
      <c r="K59" s="86">
        <v>0.15</v>
      </c>
      <c r="L59" s="86">
        <v>0.113</v>
      </c>
      <c r="M59" s="86">
        <v>0.10299999999999999</v>
      </c>
      <c r="N59" s="86">
        <v>0.13</v>
      </c>
      <c r="O59" s="86">
        <v>0.112</v>
      </c>
      <c r="P59" s="23">
        <v>0.13100000000000001</v>
      </c>
      <c r="Q59" s="86">
        <v>0.11</v>
      </c>
      <c r="R59" s="62">
        <v>0.1</v>
      </c>
      <c r="S59" s="123">
        <f t="shared" si="1"/>
        <v>1.4068000000000003</v>
      </c>
    </row>
    <row r="60" spans="1:19" x14ac:dyDescent="0.3">
      <c r="A60" s="41" t="s">
        <v>158</v>
      </c>
      <c r="B60" s="1" t="s">
        <v>98</v>
      </c>
      <c r="C60" s="2" t="s">
        <v>19</v>
      </c>
      <c r="D60" s="2" t="s">
        <v>62</v>
      </c>
      <c r="E60" s="3">
        <v>30</v>
      </c>
      <c r="F60" s="4" t="s">
        <v>60</v>
      </c>
      <c r="G60" s="22" t="s">
        <v>109</v>
      </c>
      <c r="H60" s="23" t="s">
        <v>109</v>
      </c>
      <c r="I60" s="23" t="s">
        <v>109</v>
      </c>
      <c r="J60" s="23" t="s">
        <v>109</v>
      </c>
      <c r="K60" s="23" t="s">
        <v>109</v>
      </c>
      <c r="L60" s="23" t="s">
        <v>109</v>
      </c>
      <c r="M60" s="23" t="s">
        <v>109</v>
      </c>
      <c r="N60" s="23" t="s">
        <v>109</v>
      </c>
      <c r="O60" s="23" t="s">
        <v>109</v>
      </c>
      <c r="P60" s="23">
        <v>0.88</v>
      </c>
      <c r="Q60" s="23" t="s">
        <v>109</v>
      </c>
      <c r="R60" s="23" t="s">
        <v>109</v>
      </c>
      <c r="S60" s="64">
        <f t="shared" si="1"/>
        <v>0.88</v>
      </c>
    </row>
    <row r="61" spans="1:19" x14ac:dyDescent="0.3">
      <c r="A61" s="41" t="s">
        <v>159</v>
      </c>
      <c r="B61" s="1" t="s">
        <v>61</v>
      </c>
      <c r="C61" s="2" t="s">
        <v>19</v>
      </c>
      <c r="D61" s="2" t="s">
        <v>62</v>
      </c>
      <c r="E61" s="3">
        <v>30</v>
      </c>
      <c r="F61" s="4" t="s">
        <v>60</v>
      </c>
      <c r="G61" s="22" t="s">
        <v>109</v>
      </c>
      <c r="H61" s="23" t="s">
        <v>109</v>
      </c>
      <c r="I61" s="23" t="s">
        <v>109</v>
      </c>
      <c r="J61" s="23" t="s">
        <v>109</v>
      </c>
      <c r="K61" s="23" t="s">
        <v>109</v>
      </c>
      <c r="L61" s="23" t="s">
        <v>109</v>
      </c>
      <c r="M61" s="23" t="s">
        <v>109</v>
      </c>
      <c r="N61" s="23" t="s">
        <v>109</v>
      </c>
      <c r="O61" s="23" t="s">
        <v>109</v>
      </c>
      <c r="P61" s="23">
        <v>0.91</v>
      </c>
      <c r="Q61" s="23" t="s">
        <v>109</v>
      </c>
      <c r="R61" s="23" t="s">
        <v>109</v>
      </c>
      <c r="S61" s="64">
        <f t="shared" si="1"/>
        <v>0.91</v>
      </c>
    </row>
    <row r="62" spans="1:19" s="63" customFormat="1" x14ac:dyDescent="0.3">
      <c r="A62" s="26" t="s">
        <v>133</v>
      </c>
      <c r="B62" s="26" t="s">
        <v>50</v>
      </c>
      <c r="C62" s="28" t="s">
        <v>19</v>
      </c>
      <c r="D62" s="28">
        <v>173.2</v>
      </c>
      <c r="E62" s="29">
        <v>8</v>
      </c>
      <c r="F62" s="30" t="s">
        <v>20</v>
      </c>
      <c r="G62" s="94">
        <f>G$105*0.6</f>
        <v>3.1253999999999995</v>
      </c>
      <c r="H62" s="94">
        <f>H$105*0.6</f>
        <v>3.2298</v>
      </c>
      <c r="I62" s="94">
        <f>I$105*0.6</f>
        <v>3.2627999999999999</v>
      </c>
      <c r="J62" s="94">
        <f>J$105*0.6</f>
        <v>3.5057999999999998</v>
      </c>
      <c r="K62" s="94">
        <f>K$105*0.6</f>
        <v>3.8165999999999998</v>
      </c>
      <c r="L62" s="94">
        <f>L$105*0.6</f>
        <v>3.4667999999999997</v>
      </c>
      <c r="M62" s="94">
        <f>M$105*0.6</f>
        <v>3.1872000000000003</v>
      </c>
      <c r="N62" s="94">
        <f>N$105*0.6</f>
        <v>3.3726000000000003</v>
      </c>
      <c r="O62" s="94">
        <f>O$105*0.6</f>
        <v>3.0965999999999996</v>
      </c>
      <c r="P62" s="94">
        <f>P$105*0.6</f>
        <v>3.2094</v>
      </c>
      <c r="Q62" s="94">
        <f>Q$105*0.6</f>
        <v>3.2579999999999996</v>
      </c>
      <c r="R62" s="94">
        <f>R$105*0.6</f>
        <v>2.8380000000000001</v>
      </c>
      <c r="S62" s="64">
        <f t="shared" si="1"/>
        <v>39.369</v>
      </c>
    </row>
    <row r="63" spans="1:19" s="63" customFormat="1" x14ac:dyDescent="0.3">
      <c r="A63" s="26" t="s">
        <v>138</v>
      </c>
      <c r="B63" s="26" t="s">
        <v>51</v>
      </c>
      <c r="C63" s="28" t="s">
        <v>19</v>
      </c>
      <c r="D63" s="28">
        <v>173.2</v>
      </c>
      <c r="E63" s="29">
        <v>8</v>
      </c>
      <c r="F63" s="30" t="s">
        <v>20</v>
      </c>
      <c r="G63" s="94">
        <f>G$105*0.25</f>
        <v>1.3022499999999999</v>
      </c>
      <c r="H63" s="94">
        <f>H$105*0.25</f>
        <v>1.34575</v>
      </c>
      <c r="I63" s="94">
        <f>I$105*0.25</f>
        <v>1.3594999999999999</v>
      </c>
      <c r="J63" s="94">
        <f>J$105*0.25</f>
        <v>1.46075</v>
      </c>
      <c r="K63" s="94">
        <f>K$105*0.25</f>
        <v>1.5902499999999999</v>
      </c>
      <c r="L63" s="94">
        <f>L$105*0.25</f>
        <v>1.4444999999999999</v>
      </c>
      <c r="M63" s="94">
        <f>M$105*0.25</f>
        <v>1.3280000000000001</v>
      </c>
      <c r="N63" s="94">
        <f>N$105*0.25</f>
        <v>1.4052500000000001</v>
      </c>
      <c r="O63" s="94">
        <f>O$105*0.25</f>
        <v>1.2902499999999999</v>
      </c>
      <c r="P63" s="94">
        <f>P$105*0.25</f>
        <v>1.33725</v>
      </c>
      <c r="Q63" s="94">
        <f>Q$105*0.25</f>
        <v>1.3574999999999999</v>
      </c>
      <c r="R63" s="94">
        <f>R$105*0.25</f>
        <v>1.1825000000000001</v>
      </c>
      <c r="S63" s="64">
        <f t="shared" si="1"/>
        <v>16.403749999999999</v>
      </c>
    </row>
    <row r="64" spans="1:19" x14ac:dyDescent="0.3">
      <c r="A64" s="41" t="s">
        <v>130</v>
      </c>
      <c r="B64" s="1" t="s">
        <v>99</v>
      </c>
      <c r="C64" s="42" t="s">
        <v>19</v>
      </c>
      <c r="D64" s="43" t="s">
        <v>62</v>
      </c>
      <c r="E64" s="3">
        <v>30</v>
      </c>
      <c r="F64" s="4" t="s">
        <v>60</v>
      </c>
      <c r="G64" s="22" t="s">
        <v>109</v>
      </c>
      <c r="H64" s="23" t="s">
        <v>109</v>
      </c>
      <c r="I64" s="23" t="s">
        <v>109</v>
      </c>
      <c r="J64" s="23" t="s">
        <v>109</v>
      </c>
      <c r="K64" s="23" t="s">
        <v>109</v>
      </c>
      <c r="L64" s="23" t="s">
        <v>109</v>
      </c>
      <c r="M64" s="23" t="s">
        <v>109</v>
      </c>
      <c r="N64" s="23" t="s">
        <v>109</v>
      </c>
      <c r="O64" s="23">
        <v>1.98</v>
      </c>
      <c r="P64" s="23" t="s">
        <v>109</v>
      </c>
      <c r="Q64" s="23" t="s">
        <v>109</v>
      </c>
      <c r="R64" s="23" t="s">
        <v>109</v>
      </c>
      <c r="S64" s="64">
        <f t="shared" si="1"/>
        <v>1.98</v>
      </c>
    </row>
    <row r="65" spans="1:19" x14ac:dyDescent="0.3">
      <c r="A65" s="41" t="s">
        <v>131</v>
      </c>
      <c r="B65" s="1" t="s">
        <v>99</v>
      </c>
      <c r="C65" s="42" t="s">
        <v>19</v>
      </c>
      <c r="D65" s="43" t="s">
        <v>62</v>
      </c>
      <c r="E65" s="3">
        <v>30</v>
      </c>
      <c r="F65" s="4" t="s">
        <v>60</v>
      </c>
      <c r="G65" s="22" t="s">
        <v>109</v>
      </c>
      <c r="H65" s="23" t="s">
        <v>109</v>
      </c>
      <c r="I65" s="23" t="s">
        <v>109</v>
      </c>
      <c r="J65" s="23" t="s">
        <v>109</v>
      </c>
      <c r="K65" s="23" t="s">
        <v>109</v>
      </c>
      <c r="L65" s="23" t="s">
        <v>109</v>
      </c>
      <c r="M65" s="23" t="s">
        <v>109</v>
      </c>
      <c r="N65" s="23" t="s">
        <v>109</v>
      </c>
      <c r="O65" s="23" t="s">
        <v>109</v>
      </c>
      <c r="P65" s="23">
        <v>1.29</v>
      </c>
      <c r="Q65" s="23" t="s">
        <v>109</v>
      </c>
      <c r="R65" s="23" t="s">
        <v>109</v>
      </c>
      <c r="S65" s="64">
        <f t="shared" si="1"/>
        <v>1.29</v>
      </c>
    </row>
    <row r="66" spans="1:19" x14ac:dyDescent="0.3">
      <c r="A66" s="41" t="s">
        <v>125</v>
      </c>
      <c r="B66" s="1" t="s">
        <v>99</v>
      </c>
      <c r="C66" s="2" t="s">
        <v>19</v>
      </c>
      <c r="D66" s="69" t="s">
        <v>62</v>
      </c>
      <c r="E66" s="3">
        <v>30</v>
      </c>
      <c r="F66" s="4" t="s">
        <v>60</v>
      </c>
      <c r="G66" s="22" t="s">
        <v>109</v>
      </c>
      <c r="H66" s="23" t="s">
        <v>109</v>
      </c>
      <c r="I66" s="23" t="s">
        <v>109</v>
      </c>
      <c r="J66" s="23" t="s">
        <v>109</v>
      </c>
      <c r="K66" s="23" t="s">
        <v>109</v>
      </c>
      <c r="L66" s="23" t="s">
        <v>109</v>
      </c>
      <c r="M66" s="23" t="s">
        <v>109</v>
      </c>
      <c r="N66" s="23" t="s">
        <v>109</v>
      </c>
      <c r="O66" s="23" t="s">
        <v>109</v>
      </c>
      <c r="P66" s="23">
        <v>0.85</v>
      </c>
      <c r="Q66" s="79" t="s">
        <v>109</v>
      </c>
      <c r="R66" s="79" t="s">
        <v>109</v>
      </c>
      <c r="S66" s="64">
        <f t="shared" si="1"/>
        <v>0.85</v>
      </c>
    </row>
    <row r="67" spans="1:19" x14ac:dyDescent="0.3">
      <c r="A67" s="33" t="s">
        <v>125</v>
      </c>
      <c r="B67" s="33" t="s">
        <v>99</v>
      </c>
      <c r="C67" s="2" t="s">
        <v>19</v>
      </c>
      <c r="D67" s="65" t="s">
        <v>62</v>
      </c>
      <c r="E67" s="38">
        <v>30</v>
      </c>
      <c r="F67" s="39" t="s">
        <v>60</v>
      </c>
      <c r="G67" s="103" t="s">
        <v>109</v>
      </c>
      <c r="H67" s="79" t="s">
        <v>109</v>
      </c>
      <c r="I67" s="79" t="s">
        <v>109</v>
      </c>
      <c r="J67" s="79" t="s">
        <v>109</v>
      </c>
      <c r="K67" s="79" t="s">
        <v>109</v>
      </c>
      <c r="L67" s="79" t="s">
        <v>109</v>
      </c>
      <c r="M67" s="79" t="s">
        <v>109</v>
      </c>
      <c r="N67" s="79" t="s">
        <v>109</v>
      </c>
      <c r="O67" s="79" t="s">
        <v>109</v>
      </c>
      <c r="P67" s="79">
        <v>0.9</v>
      </c>
      <c r="Q67" s="79" t="s">
        <v>109</v>
      </c>
      <c r="R67" s="79" t="s">
        <v>109</v>
      </c>
      <c r="S67" s="64">
        <f t="shared" si="1"/>
        <v>0.9</v>
      </c>
    </row>
    <row r="68" spans="1:19" x14ac:dyDescent="0.3">
      <c r="A68" s="33" t="s">
        <v>126</v>
      </c>
      <c r="B68" s="33" t="s">
        <v>99</v>
      </c>
      <c r="C68" s="2" t="s">
        <v>19</v>
      </c>
      <c r="D68" s="65" t="s">
        <v>62</v>
      </c>
      <c r="E68" s="38">
        <v>30</v>
      </c>
      <c r="F68" s="39" t="s">
        <v>60</v>
      </c>
      <c r="G68" s="103" t="s">
        <v>109</v>
      </c>
      <c r="H68" s="79" t="s">
        <v>109</v>
      </c>
      <c r="I68" s="79" t="s">
        <v>109</v>
      </c>
      <c r="J68" s="79" t="s">
        <v>109</v>
      </c>
      <c r="K68" s="79" t="s">
        <v>109</v>
      </c>
      <c r="L68" s="79" t="s">
        <v>109</v>
      </c>
      <c r="M68" s="79" t="s">
        <v>109</v>
      </c>
      <c r="N68" s="79" t="s">
        <v>109</v>
      </c>
      <c r="O68" s="79" t="s">
        <v>109</v>
      </c>
      <c r="P68" s="79" t="s">
        <v>109</v>
      </c>
      <c r="Q68" s="79">
        <v>1.17</v>
      </c>
      <c r="R68" s="79" t="s">
        <v>109</v>
      </c>
      <c r="S68" s="64">
        <f t="shared" si="1"/>
        <v>1.17</v>
      </c>
    </row>
    <row r="69" spans="1:19" x14ac:dyDescent="0.3">
      <c r="A69" s="33" t="s">
        <v>126</v>
      </c>
      <c r="B69" s="33" t="s">
        <v>99</v>
      </c>
      <c r="C69" s="2" t="s">
        <v>19</v>
      </c>
      <c r="D69" s="65" t="s">
        <v>62</v>
      </c>
      <c r="E69" s="38">
        <v>30</v>
      </c>
      <c r="F69" s="39" t="s">
        <v>60</v>
      </c>
      <c r="G69" s="103" t="s">
        <v>109</v>
      </c>
      <c r="H69" s="79" t="s">
        <v>109</v>
      </c>
      <c r="I69" s="79" t="s">
        <v>109</v>
      </c>
      <c r="J69" s="79" t="s">
        <v>109</v>
      </c>
      <c r="K69" s="79" t="s">
        <v>109</v>
      </c>
      <c r="L69" s="79" t="s">
        <v>109</v>
      </c>
      <c r="M69" s="79" t="s">
        <v>109</v>
      </c>
      <c r="N69" s="79" t="s">
        <v>109</v>
      </c>
      <c r="O69" s="79" t="s">
        <v>109</v>
      </c>
      <c r="P69" s="79" t="s">
        <v>109</v>
      </c>
      <c r="Q69" s="79">
        <v>0.79</v>
      </c>
      <c r="R69" s="79" t="s">
        <v>109</v>
      </c>
      <c r="S69" s="64">
        <f t="shared" si="1"/>
        <v>0.79</v>
      </c>
    </row>
    <row r="70" spans="1:19" x14ac:dyDescent="0.3">
      <c r="A70" s="33" t="s">
        <v>127</v>
      </c>
      <c r="B70" s="33" t="s">
        <v>128</v>
      </c>
      <c r="C70" s="36" t="s">
        <v>129</v>
      </c>
      <c r="D70" s="36" t="s">
        <v>62</v>
      </c>
      <c r="E70" s="38">
        <v>4</v>
      </c>
      <c r="F70" s="39" t="s">
        <v>60</v>
      </c>
      <c r="G70" s="103" t="s">
        <v>109</v>
      </c>
      <c r="H70" s="79" t="s">
        <v>109</v>
      </c>
      <c r="I70" s="79" t="s">
        <v>109</v>
      </c>
      <c r="J70" s="79" t="s">
        <v>109</v>
      </c>
      <c r="K70" s="79" t="s">
        <v>109</v>
      </c>
      <c r="L70" s="79" t="s">
        <v>109</v>
      </c>
      <c r="M70" s="79" t="s">
        <v>109</v>
      </c>
      <c r="N70" s="79" t="s">
        <v>109</v>
      </c>
      <c r="O70" s="79" t="s">
        <v>109</v>
      </c>
      <c r="P70" s="79" t="s">
        <v>109</v>
      </c>
      <c r="Q70" s="79" t="s">
        <v>109</v>
      </c>
      <c r="R70" s="104">
        <v>0.47</v>
      </c>
      <c r="S70" s="125">
        <f t="shared" si="1"/>
        <v>0.47</v>
      </c>
    </row>
    <row r="71" spans="1:19" s="63" customFormat="1" x14ac:dyDescent="0.3">
      <c r="A71" s="66" t="s">
        <v>173</v>
      </c>
      <c r="B71" s="66"/>
      <c r="C71" s="67"/>
      <c r="D71" s="67"/>
      <c r="E71" s="68"/>
      <c r="F71" s="87"/>
      <c r="G71" s="105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 t="s">
        <v>109</v>
      </c>
      <c r="S71" s="126"/>
    </row>
    <row r="72" spans="1:19" x14ac:dyDescent="0.3">
      <c r="A72" s="26" t="s">
        <v>164</v>
      </c>
      <c r="B72" s="26" t="s">
        <v>149</v>
      </c>
      <c r="C72" s="2" t="s">
        <v>19</v>
      </c>
      <c r="D72" s="2" t="s">
        <v>148</v>
      </c>
      <c r="E72" s="3">
        <v>20</v>
      </c>
      <c r="F72" s="3" t="s">
        <v>60</v>
      </c>
      <c r="G72" s="22" t="s">
        <v>109</v>
      </c>
      <c r="H72" s="23" t="s">
        <v>109</v>
      </c>
      <c r="I72" s="23" t="s">
        <v>109</v>
      </c>
      <c r="J72" s="23" t="s">
        <v>109</v>
      </c>
      <c r="K72" s="23" t="s">
        <v>109</v>
      </c>
      <c r="L72" s="23" t="s">
        <v>109</v>
      </c>
      <c r="M72" s="23" t="s">
        <v>109</v>
      </c>
      <c r="N72" s="23" t="s">
        <v>109</v>
      </c>
      <c r="O72" s="23" t="s">
        <v>109</v>
      </c>
      <c r="P72" s="23" t="s">
        <v>109</v>
      </c>
      <c r="Q72" s="80"/>
      <c r="R72" s="79" t="s">
        <v>109</v>
      </c>
      <c r="S72" s="80">
        <f t="shared" ref="S72:S73" si="2">SUM(G72:R72)</f>
        <v>0</v>
      </c>
    </row>
    <row r="73" spans="1:19" x14ac:dyDescent="0.3">
      <c r="A73" s="26" t="s">
        <v>165</v>
      </c>
      <c r="B73" s="26" t="s">
        <v>150</v>
      </c>
      <c r="C73" s="28" t="s">
        <v>19</v>
      </c>
      <c r="D73" s="28" t="s">
        <v>148</v>
      </c>
      <c r="E73" s="29">
        <v>20</v>
      </c>
      <c r="F73" s="29" t="s">
        <v>60</v>
      </c>
      <c r="G73" s="81"/>
      <c r="H73" s="23" t="s">
        <v>109</v>
      </c>
      <c r="I73" s="23" t="s">
        <v>109</v>
      </c>
      <c r="J73" s="23" t="s">
        <v>109</v>
      </c>
      <c r="K73" s="23" t="s">
        <v>109</v>
      </c>
      <c r="L73" s="23" t="s">
        <v>109</v>
      </c>
      <c r="M73" s="23" t="s">
        <v>109</v>
      </c>
      <c r="N73" s="23" t="s">
        <v>109</v>
      </c>
      <c r="O73" s="23" t="s">
        <v>109</v>
      </c>
      <c r="P73" s="23" t="s">
        <v>109</v>
      </c>
      <c r="Q73" s="23" t="s">
        <v>109</v>
      </c>
      <c r="R73" s="23" t="s">
        <v>109</v>
      </c>
      <c r="S73" s="80">
        <f t="shared" si="2"/>
        <v>0</v>
      </c>
    </row>
    <row r="74" spans="1:19" x14ac:dyDescent="0.3">
      <c r="A74" s="26" t="s">
        <v>166</v>
      </c>
      <c r="B74" s="26" t="s">
        <v>151</v>
      </c>
      <c r="C74" s="28" t="s">
        <v>19</v>
      </c>
      <c r="D74" s="28" t="s">
        <v>148</v>
      </c>
      <c r="E74" s="29">
        <v>30</v>
      </c>
      <c r="F74" s="29" t="s">
        <v>60</v>
      </c>
      <c r="G74" s="23" t="s">
        <v>109</v>
      </c>
      <c r="H74" s="23" t="s">
        <v>109</v>
      </c>
      <c r="I74" s="23" t="s">
        <v>109</v>
      </c>
      <c r="J74" s="23" t="s">
        <v>109</v>
      </c>
      <c r="K74" s="82"/>
      <c r="L74" s="23" t="s">
        <v>109</v>
      </c>
      <c r="M74" s="23" t="s">
        <v>109</v>
      </c>
      <c r="N74" s="23" t="s">
        <v>109</v>
      </c>
      <c r="O74" s="23" t="s">
        <v>109</v>
      </c>
      <c r="P74" s="23" t="s">
        <v>109</v>
      </c>
      <c r="Q74" s="23" t="s">
        <v>109</v>
      </c>
      <c r="R74" s="23" t="s">
        <v>109</v>
      </c>
      <c r="S74" s="80">
        <f t="shared" ref="S74" si="3">SUM(G74:R74)</f>
        <v>0</v>
      </c>
    </row>
    <row r="75" spans="1:19" x14ac:dyDescent="0.3">
      <c r="A75" s="26" t="s">
        <v>167</v>
      </c>
      <c r="B75" s="26" t="s">
        <v>154</v>
      </c>
      <c r="C75" s="28" t="s">
        <v>19</v>
      </c>
      <c r="D75" s="28" t="s">
        <v>148</v>
      </c>
      <c r="E75" s="29">
        <v>30</v>
      </c>
      <c r="F75" s="29" t="s">
        <v>60</v>
      </c>
      <c r="G75" s="23" t="s">
        <v>109</v>
      </c>
      <c r="H75" s="23" t="s">
        <v>109</v>
      </c>
      <c r="I75" s="23" t="s">
        <v>109</v>
      </c>
      <c r="J75" s="23" t="s">
        <v>109</v>
      </c>
      <c r="K75" s="82"/>
      <c r="L75" s="23" t="s">
        <v>109</v>
      </c>
      <c r="M75" s="23" t="s">
        <v>109</v>
      </c>
      <c r="N75" s="23" t="s">
        <v>109</v>
      </c>
      <c r="O75" s="23" t="s">
        <v>109</v>
      </c>
      <c r="P75" s="23" t="s">
        <v>109</v>
      </c>
      <c r="Q75" s="23" t="s">
        <v>109</v>
      </c>
      <c r="R75" s="23" t="s">
        <v>109</v>
      </c>
      <c r="S75" s="80">
        <f t="shared" ref="S75" si="4">SUM(G75:R75)</f>
        <v>0</v>
      </c>
    </row>
    <row r="76" spans="1:19" x14ac:dyDescent="0.3">
      <c r="A76" s="26" t="s">
        <v>168</v>
      </c>
      <c r="B76" s="26" t="s">
        <v>153</v>
      </c>
      <c r="C76" s="28" t="s">
        <v>19</v>
      </c>
      <c r="D76" s="28" t="s">
        <v>148</v>
      </c>
      <c r="E76" s="29">
        <v>30</v>
      </c>
      <c r="F76" s="29" t="s">
        <v>60</v>
      </c>
      <c r="G76" s="23" t="s">
        <v>109</v>
      </c>
      <c r="H76" s="23" t="s">
        <v>109</v>
      </c>
      <c r="I76" s="23" t="s">
        <v>109</v>
      </c>
      <c r="J76" s="23" t="s">
        <v>109</v>
      </c>
      <c r="K76" s="82">
        <f>62.8/$S$2</f>
        <v>0.95709822449135107</v>
      </c>
      <c r="L76" s="23" t="s">
        <v>109</v>
      </c>
      <c r="M76" s="23" t="s">
        <v>109</v>
      </c>
      <c r="N76" s="23" t="s">
        <v>109</v>
      </c>
      <c r="O76" s="23" t="s">
        <v>109</v>
      </c>
      <c r="P76" s="23" t="s">
        <v>109</v>
      </c>
      <c r="Q76" s="23" t="s">
        <v>109</v>
      </c>
      <c r="R76" s="23" t="s">
        <v>109</v>
      </c>
      <c r="S76" s="80">
        <f t="shared" ref="S76" si="5">SUM(G76:R76)</f>
        <v>0.95709822449135107</v>
      </c>
    </row>
    <row r="77" spans="1:19" x14ac:dyDescent="0.3">
      <c r="A77" s="26" t="s">
        <v>169</v>
      </c>
      <c r="B77" s="26" t="s">
        <v>152</v>
      </c>
      <c r="C77" s="28" t="s">
        <v>19</v>
      </c>
      <c r="D77" s="28" t="s">
        <v>148</v>
      </c>
      <c r="E77" s="29">
        <v>30</v>
      </c>
      <c r="F77" s="29" t="s">
        <v>60</v>
      </c>
      <c r="G77" s="23" t="s">
        <v>109</v>
      </c>
      <c r="H77" s="23" t="s">
        <v>109</v>
      </c>
      <c r="I77" s="23" t="s">
        <v>109</v>
      </c>
      <c r="J77" s="23" t="s">
        <v>109</v>
      </c>
      <c r="K77" s="82">
        <f>116/$S$2</f>
        <v>1.76788844014326</v>
      </c>
      <c r="L77" s="23" t="s">
        <v>109</v>
      </c>
      <c r="M77" s="23" t="s">
        <v>109</v>
      </c>
      <c r="N77" s="23" t="s">
        <v>109</v>
      </c>
      <c r="O77" s="23" t="s">
        <v>109</v>
      </c>
      <c r="P77" s="23" t="s">
        <v>109</v>
      </c>
      <c r="Q77" s="23" t="s">
        <v>109</v>
      </c>
      <c r="R77" s="23" t="s">
        <v>109</v>
      </c>
      <c r="S77" s="80">
        <f t="shared" ref="S77" si="6">SUM(G77:R77)</f>
        <v>1.76788844014326</v>
      </c>
    </row>
    <row r="78" spans="1:19" x14ac:dyDescent="0.3">
      <c r="A78" s="26" t="s">
        <v>170</v>
      </c>
      <c r="B78" s="26" t="s">
        <v>155</v>
      </c>
      <c r="C78" s="28" t="s">
        <v>19</v>
      </c>
      <c r="D78" s="28" t="s">
        <v>148</v>
      </c>
      <c r="E78" s="29">
        <v>30</v>
      </c>
      <c r="F78" s="29" t="s">
        <v>60</v>
      </c>
      <c r="G78" s="23" t="s">
        <v>109</v>
      </c>
      <c r="H78" s="23" t="s">
        <v>109</v>
      </c>
      <c r="I78" s="23" t="s">
        <v>109</v>
      </c>
      <c r="J78" s="23" t="s">
        <v>109</v>
      </c>
      <c r="K78" s="82">
        <f>142/$S$2</f>
        <v>2.1641392974167495</v>
      </c>
      <c r="L78" s="23" t="s">
        <v>109</v>
      </c>
      <c r="M78" s="23" t="s">
        <v>109</v>
      </c>
      <c r="N78" s="23" t="s">
        <v>109</v>
      </c>
      <c r="O78" s="23" t="s">
        <v>109</v>
      </c>
      <c r="P78" s="23" t="s">
        <v>109</v>
      </c>
      <c r="Q78" s="23" t="s">
        <v>109</v>
      </c>
      <c r="R78" s="23" t="s">
        <v>109</v>
      </c>
      <c r="S78" s="80">
        <f t="shared" ref="S78" si="7">SUM(G78:R78)</f>
        <v>2.1641392974167495</v>
      </c>
    </row>
    <row r="79" spans="1:19" s="63" customFormat="1" x14ac:dyDescent="0.3">
      <c r="A79" s="26" t="s">
        <v>171</v>
      </c>
      <c r="B79" s="26" t="s">
        <v>156</v>
      </c>
      <c r="C79" s="28" t="s">
        <v>19</v>
      </c>
      <c r="D79" s="28" t="s">
        <v>148</v>
      </c>
      <c r="E79" s="29">
        <v>20</v>
      </c>
      <c r="F79" s="29" t="s">
        <v>60</v>
      </c>
      <c r="G79" s="59" t="s">
        <v>109</v>
      </c>
      <c r="H79" s="59" t="s">
        <v>109</v>
      </c>
      <c r="I79" s="59" t="s">
        <v>109</v>
      </c>
      <c r="J79" s="59" t="s">
        <v>109</v>
      </c>
      <c r="K79" s="59" t="s">
        <v>109</v>
      </c>
      <c r="L79" s="59" t="s">
        <v>109</v>
      </c>
      <c r="M79" s="59" t="s">
        <v>109</v>
      </c>
      <c r="N79" s="82"/>
      <c r="O79" s="59" t="s">
        <v>109</v>
      </c>
      <c r="P79" s="59" t="s">
        <v>109</v>
      </c>
      <c r="Q79" s="59" t="s">
        <v>109</v>
      </c>
      <c r="R79" s="59" t="s">
        <v>109</v>
      </c>
      <c r="S79" s="80">
        <f>N79</f>
        <v>0</v>
      </c>
    </row>
    <row r="80" spans="1:19" x14ac:dyDescent="0.3">
      <c r="A80" s="1" t="s">
        <v>172</v>
      </c>
      <c r="B80" s="1" t="s">
        <v>157</v>
      </c>
      <c r="C80" s="2" t="s">
        <v>129</v>
      </c>
      <c r="D80" s="2" t="s">
        <v>62</v>
      </c>
      <c r="E80" s="3">
        <v>10</v>
      </c>
      <c r="F80" s="3" t="s">
        <v>60</v>
      </c>
      <c r="G80" s="23" t="s">
        <v>109</v>
      </c>
      <c r="H80" s="23" t="s">
        <v>109</v>
      </c>
      <c r="I80" s="23" t="s">
        <v>109</v>
      </c>
      <c r="J80" s="23" t="s">
        <v>109</v>
      </c>
      <c r="K80" s="23">
        <f>12/45</f>
        <v>0.26666666666666666</v>
      </c>
      <c r="L80" s="23" t="s">
        <v>109</v>
      </c>
      <c r="M80" s="23" t="s">
        <v>109</v>
      </c>
      <c r="N80" s="23" t="s">
        <v>109</v>
      </c>
      <c r="O80" s="23" t="s">
        <v>109</v>
      </c>
      <c r="P80" s="23" t="s">
        <v>109</v>
      </c>
      <c r="Q80" s="23" t="s">
        <v>109</v>
      </c>
      <c r="R80" s="23" t="s">
        <v>109</v>
      </c>
      <c r="S80" s="23">
        <f>K80</f>
        <v>0.26666666666666666</v>
      </c>
    </row>
    <row r="81" spans="1:19" x14ac:dyDescent="0.3">
      <c r="A81" s="33"/>
      <c r="B81" s="33"/>
      <c r="C81" s="36"/>
      <c r="D81" s="36"/>
      <c r="E81" s="38"/>
      <c r="F81" s="77"/>
      <c r="G81" s="107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 t="s">
        <v>109</v>
      </c>
      <c r="S81" s="126"/>
    </row>
    <row r="82" spans="1:19" x14ac:dyDescent="0.3">
      <c r="A82" s="19" t="s">
        <v>106</v>
      </c>
      <c r="B82" s="19"/>
      <c r="C82" s="20"/>
      <c r="D82" s="20"/>
      <c r="E82" s="3"/>
      <c r="F82" s="3"/>
      <c r="G82" s="59">
        <f>SUM(G2:G80)</f>
        <v>173.27523740384618</v>
      </c>
      <c r="H82" s="59">
        <f>SUM(H2:H80)</f>
        <v>174.00270000000006</v>
      </c>
      <c r="I82" s="59">
        <f>SUM(I2:I80)</f>
        <v>185.92400000000001</v>
      </c>
      <c r="J82" s="59">
        <f>SUM(J2:J80)</f>
        <v>191.40989999999996</v>
      </c>
      <c r="K82" s="59">
        <f>SUM(K2:K80)</f>
        <v>206.39379262871805</v>
      </c>
      <c r="L82" s="59">
        <f>SUM(L2:L80)</f>
        <v>141.28960000000009</v>
      </c>
      <c r="M82" s="59">
        <f>SUM(M2:M80)</f>
        <v>147.02699999999999</v>
      </c>
      <c r="N82" s="59">
        <f>SUM(N2:N80)</f>
        <v>175.72300000000001</v>
      </c>
      <c r="O82" s="59">
        <f>SUM(O2:O80)</f>
        <v>162.625</v>
      </c>
      <c r="P82" s="59">
        <f>SUM(P2:P80)</f>
        <v>217.26899999999998</v>
      </c>
      <c r="Q82" s="59">
        <f>SUM(Q2:Q80)</f>
        <v>198.26999999999995</v>
      </c>
      <c r="R82" s="59">
        <f>SUM(R2:R80)</f>
        <v>153.30000000000001</v>
      </c>
      <c r="S82" s="23">
        <f>SUM(S2:S80)</f>
        <v>2126.5092300325641</v>
      </c>
    </row>
    <row r="83" spans="1:19" s="63" customFormat="1" x14ac:dyDescent="0.3">
      <c r="A83" s="119" t="s">
        <v>103</v>
      </c>
      <c r="B83" s="120"/>
      <c r="C83" s="121"/>
      <c r="D83" s="121"/>
      <c r="E83" s="53"/>
      <c r="F83" s="53"/>
      <c r="G83" s="84">
        <f>G84/G82</f>
        <v>0.128357117457952</v>
      </c>
      <c r="H83" s="84">
        <f t="shared" ref="H83:S83" si="8">H84/H82</f>
        <v>8.7611858896442379E-2</v>
      </c>
      <c r="I83" s="84">
        <f t="shared" si="8"/>
        <v>0.11011488565220197</v>
      </c>
      <c r="J83" s="84">
        <f t="shared" si="8"/>
        <v>7.6646505745000662E-2</v>
      </c>
      <c r="K83" s="84">
        <f t="shared" si="8"/>
        <v>5.8015310671382631E-2</v>
      </c>
      <c r="L83" s="84">
        <f t="shared" si="8"/>
        <v>0.12549118972663231</v>
      </c>
      <c r="M83" s="84">
        <f t="shared" si="8"/>
        <v>0.12577281723765021</v>
      </c>
      <c r="N83" s="84">
        <f t="shared" si="8"/>
        <v>0.1125464509483676</v>
      </c>
      <c r="O83" s="84">
        <f t="shared" si="8"/>
        <v>9.6122982321291323E-2</v>
      </c>
      <c r="P83" s="84">
        <f t="shared" si="8"/>
        <v>8.5727830477426617E-2</v>
      </c>
      <c r="Q83" s="84">
        <f t="shared" si="8"/>
        <v>0.16079084077268377</v>
      </c>
      <c r="R83" s="84">
        <f t="shared" si="8"/>
        <v>0.10984996738421395</v>
      </c>
      <c r="S83" s="127">
        <f t="shared" si="8"/>
        <v>0.10514006092349584</v>
      </c>
    </row>
    <row r="84" spans="1:19" ht="15" thickBot="1" x14ac:dyDescent="0.35">
      <c r="A84" s="32" t="s">
        <v>177</v>
      </c>
      <c r="B84" s="34"/>
      <c r="C84" s="35"/>
      <c r="D84" s="35"/>
      <c r="E84" s="37"/>
      <c r="F84" s="37"/>
      <c r="G84" s="108">
        <f>SUM(G87+G88+G86)</f>
        <v>22.241110000000003</v>
      </c>
      <c r="H84" s="108">
        <f t="shared" ref="H84:R84" si="9">SUM(H87+H88+H86)</f>
        <v>15.2447</v>
      </c>
      <c r="I84" s="108">
        <f t="shared" si="9"/>
        <v>20.472999999999999</v>
      </c>
      <c r="J84" s="108">
        <f t="shared" si="9"/>
        <v>14.6709</v>
      </c>
      <c r="K84" s="108">
        <f t="shared" si="9"/>
        <v>11.974</v>
      </c>
      <c r="L84" s="108">
        <f t="shared" si="9"/>
        <v>17.730599999999999</v>
      </c>
      <c r="M84" s="108">
        <f t="shared" si="9"/>
        <v>18.491999999999997</v>
      </c>
      <c r="N84" s="108">
        <f t="shared" si="9"/>
        <v>19.777000000000001</v>
      </c>
      <c r="O84" s="108">
        <f t="shared" si="9"/>
        <v>15.632000000000001</v>
      </c>
      <c r="P84" s="108">
        <f t="shared" si="9"/>
        <v>18.626000000000001</v>
      </c>
      <c r="Q84" s="108">
        <f t="shared" si="9"/>
        <v>31.880000000000003</v>
      </c>
      <c r="R84" s="108">
        <f t="shared" si="9"/>
        <v>16.84</v>
      </c>
      <c r="S84" s="128">
        <f t="shared" ref="S84:S89" si="10">SUM(G84:R84)</f>
        <v>223.58131000000003</v>
      </c>
    </row>
    <row r="85" spans="1:19" x14ac:dyDescent="0.3">
      <c r="A85" s="9" t="s">
        <v>100</v>
      </c>
      <c r="B85" s="9"/>
      <c r="C85" s="10"/>
      <c r="D85" s="10"/>
      <c r="E85" s="11"/>
      <c r="F85" s="11"/>
      <c r="G85" s="23">
        <f>SUMIF($C$2:$C$80,"*Trash*",G$2:G$80)</f>
        <v>151.03412740384616</v>
      </c>
      <c r="H85" s="23">
        <f>SUMIF($C$2:$C$80,"*Trash*",H$2:H$80)</f>
        <v>158.75800000000004</v>
      </c>
      <c r="I85" s="23">
        <f>SUMIF($C$2:$C$80,"*Trash*",I$2:I$80)</f>
        <v>165.45099999999999</v>
      </c>
      <c r="J85" s="23">
        <f>SUMIF($C$2:$C$80,"*Trash*",J$2:J$80)</f>
        <v>176.73899999999998</v>
      </c>
      <c r="K85" s="23">
        <f>SUMIF($C$2:$C$80,"*Trash*",K$2:K$80)</f>
        <v>194.41979262871803</v>
      </c>
      <c r="L85" s="23">
        <f>SUMIF($C$2:$C$80,"*Trash*",L$2:L$80)</f>
        <v>123.55900000000004</v>
      </c>
      <c r="M85" s="23">
        <f>SUMIF($C$2:$C$80,"*Trash*",M$2:M$80)</f>
        <v>128.535</v>
      </c>
      <c r="N85" s="23">
        <f>SUMIF($C$2:$C$80,"*Trash*",N$2:N$80)</f>
        <v>155.946</v>
      </c>
      <c r="O85" s="23">
        <f>SUMIF($C$2:$C$80,"*Trash*",O$2:O$80)</f>
        <v>146.99299999999997</v>
      </c>
      <c r="P85" s="23">
        <f>SUMIF($C$2:$C$80,"*Trash*",P$2:P$80)</f>
        <v>198.64299999999997</v>
      </c>
      <c r="Q85" s="23">
        <f>SUMIF($C$2:$C$80,"*Trash*",Q$2:Q$80)</f>
        <v>166.39</v>
      </c>
      <c r="R85" s="23">
        <f>SUMIF($C$2:$C$80,"*Trash*",R$2:R$80)</f>
        <v>136.46000000000004</v>
      </c>
      <c r="S85" s="24">
        <f t="shared" si="10"/>
        <v>1902.9279200325641</v>
      </c>
    </row>
    <row r="86" spans="1:19" x14ac:dyDescent="0.3">
      <c r="A86" s="52" t="s">
        <v>160</v>
      </c>
      <c r="B86" s="19"/>
      <c r="C86" s="20"/>
      <c r="D86" s="20"/>
      <c r="E86" s="3"/>
      <c r="F86" s="3"/>
      <c r="G86" s="23">
        <f>SUMIF($C$2:$C$80,"*Yardwaste*",G$2:G$80)</f>
        <v>11.25</v>
      </c>
      <c r="H86" s="23">
        <f>SUMIF($C$2:$C$80,"*Yardwaste*",H$2:H$80)</f>
        <v>3.75</v>
      </c>
      <c r="I86" s="23">
        <f>SUMIF($C$2:$C$80,"*Yardwaste*",I$2:I$80)</f>
        <v>7.5</v>
      </c>
      <c r="J86" s="23">
        <f>SUMIF($C$2:$C$80,"*Yardwaste*",J$2:J$80)</f>
        <v>3.75</v>
      </c>
      <c r="K86" s="23">
        <f>SUMIF($C$2:$C$80,"*Yardwaste*",K$2:K$80)</f>
        <v>3.75</v>
      </c>
      <c r="L86" s="23">
        <f>SUMIF($C$2:$C$80,"*Yardwaste*",L$2:L$80)</f>
        <v>11.25</v>
      </c>
      <c r="M86" s="23">
        <f>SUMIF($C$2:$C$80,"*Yardwaste*",M$2:M$80)</f>
        <v>11.25</v>
      </c>
      <c r="N86" s="23">
        <f>SUMIF($C$2:$C$80,"*Yardwaste*",N$2:N$80)</f>
        <v>7.5</v>
      </c>
      <c r="O86" s="23">
        <f>SUMIF($C$2:$C$80,"*Yardwaste*",O$2:O$80)</f>
        <v>3.75</v>
      </c>
      <c r="P86" s="23">
        <f>SUMIF($C$2:$C$80,"*Yardwaste*",P$2:P$80)</f>
        <v>7.5</v>
      </c>
      <c r="Q86" s="23">
        <f>SUMIF($C$2:$C$80,"*Yardwaste*",Q$2:Q$80)</f>
        <v>15</v>
      </c>
      <c r="R86" s="23">
        <f>SUMIF($C$2:$C$80,"*Yardwaste*",R$2:R$80)</f>
        <v>11.25</v>
      </c>
      <c r="S86" s="24">
        <f t="shared" si="10"/>
        <v>97.5</v>
      </c>
    </row>
    <row r="87" spans="1:19" x14ac:dyDescent="0.3">
      <c r="A87" s="9" t="s">
        <v>101</v>
      </c>
      <c r="B87" s="9"/>
      <c r="C87" s="10"/>
      <c r="D87" s="10"/>
      <c r="E87" s="11"/>
      <c r="F87" s="11"/>
      <c r="G87" s="23">
        <f>SUMIF($C$2:$C$80,"*Commingle*",G$2:G$80)</f>
        <v>2.3911100000000003</v>
      </c>
      <c r="H87" s="23">
        <f>SUMIF($C$2:$C$80,"*Commingle*",H$2:H$80)</f>
        <v>3.9447000000000001</v>
      </c>
      <c r="I87" s="23">
        <f>SUMIF($C$2:$C$80,"*Commingle*",I$2:I$80)</f>
        <v>4.0090000000000003</v>
      </c>
      <c r="J87" s="23">
        <f>SUMIF($C$2:$C$80,"*Commingle*",J$2:J$80)</f>
        <v>3.8628999999999998</v>
      </c>
      <c r="K87" s="23">
        <f>SUMIF($C$2:$C$80,"*Commingle*",K$2:K$80)</f>
        <v>4.6100000000000012</v>
      </c>
      <c r="L87" s="23">
        <f>SUMIF($C$2:$C$80,"*Commingle*",L$2:L$80)</f>
        <v>3.7625999999999999</v>
      </c>
      <c r="M87" s="23">
        <f>SUMIF($C$2:$C$80,"*Commingle*",M$2:M$80)</f>
        <v>2.0030000000000001</v>
      </c>
      <c r="N87" s="23">
        <f>SUMIF($C$2:$C$80,"*Commingle*",N$2:N$80)</f>
        <v>3.2010000000000001</v>
      </c>
      <c r="O87" s="23">
        <f>SUMIF($C$2:$C$80,"*Commingle*",O$2:O$80)</f>
        <v>4.4640000000000004</v>
      </c>
      <c r="P87" s="23">
        <f>SUMIF($C$2:$C$80,"*Commingle*",P$2:P$80)</f>
        <v>4.2830000000000004</v>
      </c>
      <c r="Q87" s="23">
        <f>SUMIF($C$2:$C$80,"*Commingle*",Q$2:Q$80)</f>
        <v>4.74</v>
      </c>
      <c r="R87" s="23">
        <f>SUMIF($C$2:$C$80,"*Commingle*",R$2:R$80)</f>
        <v>1.9300000000000002</v>
      </c>
      <c r="S87" s="23">
        <f t="shared" si="10"/>
        <v>43.201310000000007</v>
      </c>
    </row>
    <row r="88" spans="1:19" x14ac:dyDescent="0.3">
      <c r="A88" s="9" t="s">
        <v>132</v>
      </c>
      <c r="B88" s="9"/>
      <c r="C88" s="10"/>
      <c r="D88" s="10"/>
      <c r="E88" s="11"/>
      <c r="F88" s="11"/>
      <c r="G88" s="23">
        <f>SUMIF($C$2:$C$80,"*OCC*",G$2:G$80)</f>
        <v>8.6000000000000014</v>
      </c>
      <c r="H88" s="23">
        <f>SUMIF($C$2:$C$80,"*OCC*",H$2:H$80)</f>
        <v>7.55</v>
      </c>
      <c r="I88" s="23">
        <f>SUMIF($C$2:$C$80,"*OCC*",I$2:I$80)</f>
        <v>8.9640000000000004</v>
      </c>
      <c r="J88" s="23">
        <f>SUMIF($C$2:$C$80,"*OCC*",J$2:J$80)</f>
        <v>7.0579999999999998</v>
      </c>
      <c r="K88" s="23">
        <f>SUMIF($C$2:$C$80,"*OCC*",K$2:K$80)</f>
        <v>3.6139999999999999</v>
      </c>
      <c r="L88" s="23">
        <f>SUMIF($C$2:$C$80,"*OCC*",L$2:L$80)</f>
        <v>2.718</v>
      </c>
      <c r="M88" s="23">
        <f>SUMIF($C$2:$C$80,"*OCC*",M$2:M$80)</f>
        <v>5.238999999999999</v>
      </c>
      <c r="N88" s="23">
        <f>SUMIF($C$2:$C$80,"*OCC*",N$2:N$80)</f>
        <v>9.0760000000000005</v>
      </c>
      <c r="O88" s="23">
        <f>SUMIF($C$2:$C$80,"*OCC*",O$2:O$80)</f>
        <v>7.418000000000001</v>
      </c>
      <c r="P88" s="23">
        <f>SUMIF($C$2:$C$80,"*OCC*",P$2:P$80)</f>
        <v>6.843</v>
      </c>
      <c r="Q88" s="23">
        <f>SUMIF($C$2:$C$80,"*OCC*",Q$2:Q$80)</f>
        <v>12.14</v>
      </c>
      <c r="R88" s="23">
        <f>SUMIF($C$2:$C$80,"*OCC*",R$2:R$80)</f>
        <v>3.66</v>
      </c>
      <c r="S88" s="23">
        <f t="shared" si="10"/>
        <v>82.88</v>
      </c>
    </row>
    <row r="89" spans="1:19" s="61" customFormat="1" x14ac:dyDescent="0.3">
      <c r="A89" s="72" t="s">
        <v>102</v>
      </c>
      <c r="B89" s="73"/>
      <c r="C89" s="74"/>
      <c r="D89" s="74"/>
      <c r="E89" s="75"/>
      <c r="F89" s="75"/>
      <c r="G89" s="60">
        <f>SUMIF($D$2:$D$80,"*TEMP*",G$2:G$80)</f>
        <v>0.39212740384615385</v>
      </c>
      <c r="H89" s="60">
        <f>SUMIF($D$2:$D$80,"*TEMP*",H$2:H$80)</f>
        <v>0</v>
      </c>
      <c r="I89" s="60">
        <f>SUMIF($D$2:$D$80,"*TEMP*",I$2:I$80)</f>
        <v>0</v>
      </c>
      <c r="J89" s="60">
        <f>SUMIF($D$2:$D$80,"*TEMP*",J$2:J$80)</f>
        <v>0</v>
      </c>
      <c r="K89" s="60">
        <f>SUMIF($D$2:$D$80,"*TEMP*",K$2:K$80)</f>
        <v>5.1557926287180269</v>
      </c>
      <c r="L89" s="60">
        <f>SUMIF($D$2:$D$80,"*TEMP*",L$2:L$80)</f>
        <v>0</v>
      </c>
      <c r="M89" s="60">
        <f>SUMIF($D$2:$D$80,"*TEMP*",M$2:M$80)</f>
        <v>0</v>
      </c>
      <c r="N89" s="60">
        <f>SUMIF($D$2:$D$80,"*TEMP*",N$2:N$80)</f>
        <v>0</v>
      </c>
      <c r="O89" s="60">
        <f>SUMIF($D$2:$D$80,"*TEMP*",O$2:O$80)</f>
        <v>5.27</v>
      </c>
      <c r="P89" s="60">
        <f>SUMIF($D$2:$D$80,"*TEMP*",P$2:P$80)</f>
        <v>8.85</v>
      </c>
      <c r="Q89" s="60">
        <f>SUMIF($D$2:$D$80,"*TEMP*",Q$2:Q$80)</f>
        <v>4.0199999999999996</v>
      </c>
      <c r="R89" s="60">
        <f>SUMIF($D$2:$D$80,"*TEMP*",R$2:R$80)</f>
        <v>0.47</v>
      </c>
      <c r="S89" s="76">
        <f t="shared" si="10"/>
        <v>24.157920032564181</v>
      </c>
    </row>
    <row r="90" spans="1:19" x14ac:dyDescent="0.3">
      <c r="A90" s="12"/>
      <c r="B90" s="12"/>
      <c r="C90" s="13"/>
      <c r="D90" s="13"/>
      <c r="E90" s="14"/>
      <c r="F90" s="14"/>
    </row>
    <row r="91" spans="1:19" ht="15.6" x14ac:dyDescent="0.3">
      <c r="A91" s="16" t="s">
        <v>162</v>
      </c>
      <c r="B91" s="12"/>
      <c r="C91" s="13"/>
      <c r="D91" s="13"/>
      <c r="E91" s="14"/>
      <c r="F91" s="14"/>
    </row>
    <row r="92" spans="1:19" x14ac:dyDescent="0.3">
      <c r="A92" s="24" t="s">
        <v>163</v>
      </c>
      <c r="B92" s="24"/>
      <c r="C92" s="24"/>
      <c r="D92" s="24"/>
      <c r="E92" s="24"/>
      <c r="F92" s="24"/>
      <c r="G92" s="110">
        <v>11.475</v>
      </c>
      <c r="H92" s="23">
        <v>18.675000000000001</v>
      </c>
      <c r="I92" s="23">
        <v>14.625</v>
      </c>
      <c r="J92" s="23">
        <v>14.4</v>
      </c>
      <c r="K92" s="23">
        <v>14.625</v>
      </c>
      <c r="L92" s="23">
        <v>7.875</v>
      </c>
      <c r="M92" s="23">
        <v>10.125</v>
      </c>
      <c r="N92" s="23">
        <v>14.4</v>
      </c>
      <c r="O92" s="23">
        <v>15.975</v>
      </c>
      <c r="P92" s="23">
        <v>20.25</v>
      </c>
      <c r="Q92" s="23">
        <v>20.024999999999999</v>
      </c>
      <c r="R92" s="23">
        <v>8.7750000000000004</v>
      </c>
      <c r="S92" s="23">
        <f>SUM(G92:R92)</f>
        <v>171.22500000000002</v>
      </c>
    </row>
    <row r="93" spans="1:19" x14ac:dyDescent="0.3">
      <c r="A93" s="24" t="s">
        <v>104</v>
      </c>
      <c r="B93" s="24"/>
      <c r="C93" s="24"/>
      <c r="D93" s="24"/>
      <c r="E93" s="24"/>
      <c r="F93" s="24"/>
      <c r="G93" s="23">
        <v>7</v>
      </c>
      <c r="H93" s="23">
        <v>3.59</v>
      </c>
      <c r="I93" s="23">
        <v>3.39</v>
      </c>
      <c r="J93" s="23">
        <v>5.12</v>
      </c>
      <c r="K93" s="23">
        <v>7.3</v>
      </c>
      <c r="L93" s="23">
        <v>7.41</v>
      </c>
      <c r="M93" s="23">
        <v>5.56</v>
      </c>
      <c r="N93" s="23">
        <v>4.97</v>
      </c>
      <c r="O93" s="23">
        <v>2.77</v>
      </c>
      <c r="P93" s="23">
        <v>6.11</v>
      </c>
      <c r="Q93" s="23">
        <v>3.88</v>
      </c>
      <c r="R93" s="23">
        <v>0</v>
      </c>
      <c r="S93" s="23">
        <f>SUM(G93:R93)</f>
        <v>57.100000000000009</v>
      </c>
    </row>
    <row r="94" spans="1:19" x14ac:dyDescent="0.3">
      <c r="A94" s="24" t="s">
        <v>105</v>
      </c>
      <c r="B94" s="24"/>
      <c r="C94" s="24"/>
      <c r="D94" s="24"/>
      <c r="E94" s="24"/>
      <c r="F94" s="24"/>
      <c r="G94" s="23">
        <v>0.73</v>
      </c>
      <c r="H94" s="23">
        <v>6.49</v>
      </c>
      <c r="I94" s="23">
        <v>4.7300000000000004</v>
      </c>
      <c r="J94" s="23">
        <v>7.7</v>
      </c>
      <c r="K94" s="23">
        <v>4.62</v>
      </c>
      <c r="L94" s="23">
        <v>4.83</v>
      </c>
      <c r="M94" s="23">
        <v>7.72</v>
      </c>
      <c r="N94" s="23">
        <v>13.39</v>
      </c>
      <c r="O94" s="23">
        <v>18.02</v>
      </c>
      <c r="P94" s="23">
        <v>6.91</v>
      </c>
      <c r="Q94" s="23">
        <v>2.2000000000000002</v>
      </c>
      <c r="R94" s="23">
        <v>0.7</v>
      </c>
      <c r="S94" s="23">
        <f>SUM(G94:R94)</f>
        <v>78.040000000000006</v>
      </c>
    </row>
    <row r="95" spans="1:19" x14ac:dyDescent="0.3">
      <c r="A95" s="24" t="s">
        <v>139</v>
      </c>
      <c r="B95" s="24"/>
      <c r="C95" s="24"/>
      <c r="D95" s="24"/>
      <c r="E95" s="24"/>
      <c r="F95" s="24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>
        <v>61.05</v>
      </c>
    </row>
    <row r="96" spans="1:19" x14ac:dyDescent="0.3">
      <c r="A96" s="24" t="s">
        <v>161</v>
      </c>
      <c r="B96" s="24"/>
      <c r="C96" s="24"/>
      <c r="D96" s="24"/>
      <c r="E96" s="24"/>
      <c r="F96" s="24"/>
      <c r="G96" s="23">
        <v>0.26</v>
      </c>
      <c r="H96" s="23">
        <v>0.16</v>
      </c>
      <c r="I96" s="23">
        <v>0.28999999999999998</v>
      </c>
      <c r="J96" s="23">
        <v>0.22</v>
      </c>
      <c r="K96" s="23">
        <v>0.12</v>
      </c>
      <c r="L96" s="23">
        <v>0.06</v>
      </c>
      <c r="M96" s="23">
        <v>0</v>
      </c>
      <c r="N96" s="23">
        <v>0.32</v>
      </c>
      <c r="O96" s="23">
        <v>0.17</v>
      </c>
      <c r="P96" s="23">
        <v>0.28000000000000003</v>
      </c>
      <c r="Q96" s="23">
        <v>0.17</v>
      </c>
      <c r="R96" s="23">
        <v>0.14000000000000001</v>
      </c>
      <c r="S96" s="23">
        <f>SUM(G96:R96)</f>
        <v>2.19</v>
      </c>
    </row>
    <row r="97" spans="1:19" x14ac:dyDescent="0.3">
      <c r="A97" s="24" t="s">
        <v>140</v>
      </c>
      <c r="B97" s="24"/>
      <c r="C97" s="24"/>
      <c r="D97" s="24"/>
      <c r="E97" s="24"/>
      <c r="F97" s="24"/>
      <c r="G97" s="23">
        <v>0.33</v>
      </c>
      <c r="H97" s="23">
        <v>0.22</v>
      </c>
      <c r="I97" s="23">
        <v>0.14000000000000001</v>
      </c>
      <c r="J97" s="23">
        <v>0.26</v>
      </c>
      <c r="K97" s="23">
        <v>0.24</v>
      </c>
      <c r="L97" s="23">
        <v>0.42</v>
      </c>
      <c r="M97" s="71">
        <v>0.28000000000000003</v>
      </c>
      <c r="N97" s="23">
        <v>0.14000000000000001</v>
      </c>
      <c r="O97" s="23">
        <v>0.24</v>
      </c>
      <c r="P97" s="23">
        <v>0.2</v>
      </c>
      <c r="Q97" s="23">
        <v>0</v>
      </c>
      <c r="R97" s="23">
        <v>0.26</v>
      </c>
      <c r="S97" s="23">
        <f>SUM(G97:R97)</f>
        <v>2.7299999999999995</v>
      </c>
    </row>
    <row r="98" spans="1:19" x14ac:dyDescent="0.3">
      <c r="A98" s="130"/>
      <c r="B98" s="130"/>
      <c r="C98" s="130"/>
      <c r="D98" s="130"/>
      <c r="E98" s="130"/>
      <c r="F98" s="130"/>
      <c r="G98" s="131"/>
      <c r="H98" s="131"/>
      <c r="I98" s="131"/>
      <c r="J98" s="131"/>
      <c r="K98" s="131"/>
      <c r="L98" s="131"/>
      <c r="M98" s="132"/>
      <c r="N98" s="131"/>
      <c r="O98" s="131"/>
      <c r="P98" s="131"/>
      <c r="Q98" s="131"/>
      <c r="R98" s="131"/>
      <c r="S98" s="131">
        <f>SUM(S92:S97)</f>
        <v>372.33500000000009</v>
      </c>
    </row>
    <row r="99" spans="1:19" s="15" customFormat="1" x14ac:dyDescent="0.3">
      <c r="A99" s="17" t="s">
        <v>176</v>
      </c>
      <c r="B99" s="17"/>
      <c r="C99" s="17"/>
      <c r="D99" s="17"/>
      <c r="E99" s="17"/>
      <c r="F99" s="17"/>
      <c r="G99" s="83">
        <f>(G84+SUM(G92:G97))/(G82+SUM(G92:G97))</f>
        <v>0.21772444352504119</v>
      </c>
      <c r="H99" s="83">
        <f>(H84+SUM(H92:H97))/(H82+SUM(H92:H97))</f>
        <v>0.21847101744284783</v>
      </c>
      <c r="I99" s="83">
        <f t="shared" ref="I99:Q99" si="11">(I84+SUM(I92:I97))/(I82+SUM(I92:I97))</f>
        <v>0.20874322689252456</v>
      </c>
      <c r="J99" s="83">
        <f t="shared" si="11"/>
        <v>0.19337738732937218</v>
      </c>
      <c r="K99" s="83">
        <f t="shared" si="11"/>
        <v>0.16664895502427118</v>
      </c>
      <c r="L99" s="83">
        <f t="shared" si="11"/>
        <v>0.23674642306927268</v>
      </c>
      <c r="M99" s="83">
        <f t="shared" si="11"/>
        <v>0.24706523267257133</v>
      </c>
      <c r="N99" s="83">
        <f t="shared" si="11"/>
        <v>0.25364333813528095</v>
      </c>
      <c r="O99" s="83">
        <f t="shared" si="11"/>
        <v>0.2642992992992993</v>
      </c>
      <c r="P99" s="83">
        <f t="shared" si="11"/>
        <v>0.20865352821897948</v>
      </c>
      <c r="Q99" s="83">
        <f t="shared" si="11"/>
        <v>0.25899040281458063</v>
      </c>
      <c r="R99" s="83">
        <f>(R84+SUM(R92:R97))/(R82+SUM(R92:R97))</f>
        <v>0.16371993258771256</v>
      </c>
      <c r="S99" s="129">
        <f>(S84+SUM(S92:S97))/(S82+SUM(S92:S97))</f>
        <v>0.23847677371719736</v>
      </c>
    </row>
    <row r="100" spans="1:19" x14ac:dyDescent="0.3">
      <c r="A100" s="111"/>
      <c r="B100" s="111"/>
      <c r="C100" s="111"/>
      <c r="D100" s="111"/>
      <c r="E100" s="111"/>
      <c r="F100" s="111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</row>
    <row r="105" spans="1:19" x14ac:dyDescent="0.3">
      <c r="A105" s="113" t="s">
        <v>147</v>
      </c>
      <c r="G105" s="114">
        <v>5.2089999999999996</v>
      </c>
      <c r="H105" s="115" t="s">
        <v>141</v>
      </c>
      <c r="I105" s="115" t="s">
        <v>142</v>
      </c>
      <c r="J105" s="115" t="s">
        <v>143</v>
      </c>
      <c r="K105" s="115" t="s">
        <v>144</v>
      </c>
      <c r="L105" s="115" t="s">
        <v>145</v>
      </c>
      <c r="M105" s="115" t="s">
        <v>146</v>
      </c>
      <c r="N105" s="115">
        <v>5.6210000000000004</v>
      </c>
      <c r="O105" s="115">
        <v>5.1609999999999996</v>
      </c>
      <c r="P105" s="116">
        <v>5.3490000000000002</v>
      </c>
      <c r="Q105" s="117">
        <v>5.43</v>
      </c>
      <c r="R105" s="118">
        <v>4.7300000000000004</v>
      </c>
    </row>
    <row r="107" spans="1:19" x14ac:dyDescent="0.3">
      <c r="A107" s="21">
        <v>29.9</v>
      </c>
    </row>
    <row r="108" spans="1:19" x14ac:dyDescent="0.3">
      <c r="A108" s="21">
        <v>0.8</v>
      </c>
    </row>
    <row r="109" spans="1:19" x14ac:dyDescent="0.3">
      <c r="A109" s="21">
        <v>69.2</v>
      </c>
    </row>
  </sheetData>
  <autoFilter ref="A1:S86" xr:uid="{00000000-0009-0000-0000-000001000000}"/>
  <conditionalFormatting sqref="S81">
    <cfRule type="top10" dxfId="1" priority="4" rank="10"/>
  </conditionalFormatting>
  <conditionalFormatting sqref="S1:S71">
    <cfRule type="top10" dxfId="0" priority="402" rank="10"/>
  </conditionalFormatting>
  <pageMargins left="0.7" right="0.7" top="0.75" bottom="0.75" header="0.3" footer="0.3"/>
  <pageSetup paperSize="5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Waste &amp; Recycle</vt:lpstr>
      <vt:lpstr>'Waste &amp; Recycle'!Print_Area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Jentzsch, Dawn</dc:creator>
  <cp:keywords/>
  <dc:description/>
  <cp:lastModifiedBy>Neidigh, Douglas W</cp:lastModifiedBy>
  <cp:revision/>
  <dcterms:created xsi:type="dcterms:W3CDTF">2019-10-10T21:35:56Z</dcterms:created>
  <dcterms:modified xsi:type="dcterms:W3CDTF">2020-10-14T19:08:17Z</dcterms:modified>
  <cp:category/>
  <cp:contentStatus/>
</cp:coreProperties>
</file>