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tables/table4.xml" ContentType="application/vnd.openxmlformats-officedocument.spreadsheetml.table+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tables/table2.xml" ContentType="application/vnd.openxmlformats-officedocument.spreadsheetml.table+xml"/>
  <Override PartName="/xl/comments8.xml" ContentType="application/vnd.openxmlformats-officedocument.spreadsheetml.comments+xml"/>
  <Override PartName="/xl/tables/table14.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tables/table12.xml" ContentType="application/vnd.openxmlformats-officedocument.spreadsheetml.table+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tables/table10.xml" ContentType="application/vnd.openxmlformats-officedocument.spreadsheetml.table+xml"/>
  <Override PartName="/xl/worksheets/sheet3.xml" ContentType="application/vnd.openxmlformats-officedocument.spreadsheetml.worksheet+xml"/>
  <Override PartName="/xl/comments2.xml" ContentType="application/vnd.openxmlformats-officedocument.spreadsheetml.comments+xml"/>
  <Override PartName="/xl/charts/chart18.xml" ContentType="application/vnd.openxmlformats-officedocument.drawingml.chart+xml"/>
  <Override PartName="/xl/comments16.xml" ContentType="application/vnd.openxmlformats-officedocument.spreadsheetml.comments+xml"/>
  <Override PartName="/xl/worksheets/sheet1.xml" ContentType="application/vnd.openxmlformats-officedocument.spreadsheetml.worksheet+xml"/>
  <Override PartName="/xl/charts/chart16.xml" ContentType="application/vnd.openxmlformats-officedocument.drawingml.chart+xml"/>
  <Override PartName="/xl/tables/table9.xml" ContentType="application/vnd.openxmlformats-officedocument.spreadsheetml.table+xml"/>
  <Override PartName="/xl/comments14.xml" ContentType="application/vnd.openxmlformats-officedocument.spreadsheetml.comments+xml"/>
  <Override PartName="/xl/sharedStrings.xml" ContentType="application/vnd.openxmlformats-officedocument.spreadsheetml.sharedStrings+xml"/>
  <Override PartName="/xl/charts/chart14.xml" ContentType="application/vnd.openxmlformats-officedocument.drawingml.chart+xml"/>
  <Override PartName="/xl/tables/table7.xml" ContentType="application/vnd.openxmlformats-officedocument.spreadsheetml.table+xml"/>
  <Override PartName="/xl/comments12.xml" ContentType="application/vnd.openxmlformats-officedocument.spreadsheetml.comments+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tables/table5.xml" ContentType="application/vnd.openxmlformats-officedocument.spreadsheetml.table+xml"/>
  <Override PartName="/xl/comments10.xml" ContentType="application/vnd.openxmlformats-officedocument.spreadsheetml.comments+xml"/>
  <Override PartName="/xl/charts/chart2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tables/table3.xml" ContentType="application/vnd.openxmlformats-officedocument.spreadsheetml.table+xml"/>
  <Override PartName="/xl/tables/table15.xml" ContentType="application/vnd.openxmlformats-officedocument.spreadsheetml.table+xml"/>
  <Override PartName="/xl/worksheets/sheet14.xml" ContentType="application/vnd.openxmlformats-officedocument.spreadsheetml.worksheet+xml"/>
  <Override PartName="/xl/tables/table1.xml" ContentType="application/vnd.openxmlformats-officedocument.spreadsheetml.table+xml"/>
  <Override PartName="/xl/charts/chart5.xml" ContentType="application/vnd.openxmlformats-officedocument.drawingml.chart+xml"/>
  <Override PartName="/xl/comments9.xml" ContentType="application/vnd.openxmlformats-officedocument.spreadsheetml.comments+xml"/>
  <Override PartName="/xl/tables/table13.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comments7.xml" ContentType="application/vnd.openxmlformats-officedocument.spreadsheetml.comments+xml"/>
  <Override PartName="/xl/tables/table11.xml" ContentType="application/vnd.openxmlformats-officedocument.spreadsheetml.table+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omments3.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tables/table8.xml" ContentType="application/vnd.openxmlformats-officedocument.spreadsheetml.table+xml"/>
  <Override PartName="/xl/comments13.xml" ContentType="application/vnd.openxmlformats-officedocument.spreadsheetml.comments+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tables/table6.xml" ContentType="application/vnd.openxmlformats-officedocument.spreadsheetml.table+xml"/>
  <Override PartName="/xl/comments11.xml" ContentType="application/vnd.openxmlformats-officedocument.spreadsheetml.comments+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showPivotChartFilter="1" defaultThemeVersion="124226"/>
  <bookViews>
    <workbookView xWindow="45" yWindow="195" windowWidth="14475" windowHeight="8475" tabRatio="819"/>
  </bookViews>
  <sheets>
    <sheet name="All" sheetId="26" r:id="rId1"/>
    <sheet name="charts" sheetId="29" state="hidden" r:id="rId2"/>
    <sheet name="bub All" sheetId="27" state="hidden" r:id="rId3"/>
    <sheet name="All Courses at Yale" sheetId="9" state="hidden" r:id="rId4"/>
    <sheet name="bub-Top5-Rank 1-3" sheetId="33" state="hidden" r:id="rId5"/>
    <sheet name="bub-Top5-Rank 3" sheetId="34" state="hidden" r:id="rId6"/>
    <sheet name="Economics" sheetId="14" state="hidden" r:id="rId7"/>
    <sheet name="EVST" sheetId="19" state="hidden" r:id="rId8"/>
    <sheet name="EEB + MCDB" sheetId="21" state="hidden" r:id="rId9"/>
    <sheet name="Engineering" sheetId="15" state="hidden" r:id="rId10"/>
    <sheet name="G&amp;G" sheetId="18" state="hidden" r:id="rId11"/>
    <sheet name="Public Health" sheetId="12" state="hidden" r:id="rId12"/>
    <sheet name="Law" sheetId="10" state="hidden" r:id="rId13"/>
    <sheet name="IR" sheetId="25" state="hidden" r:id="rId14"/>
    <sheet name="Arch" sheetId="16" state="hidden" r:id="rId15"/>
    <sheet name="Anth" sheetId="24" state="hidden" r:id="rId16"/>
    <sheet name="SOCY" sheetId="20" state="hidden" r:id="rId17"/>
    <sheet name="Psych" sheetId="17" state="hidden" r:id="rId18"/>
    <sheet name="Other" sheetId="22" state="hidden" r:id="rId19"/>
    <sheet name="Actual vs Survey skills" sheetId="31" state="hidden" r:id="rId20"/>
    <sheet name="FES Survey skills chart" sheetId="30" state="hidden" r:id="rId21"/>
    <sheet name="SOM-CourseDemand" sheetId="35" state="hidden" r:id="rId22"/>
  </sheets>
  <definedNames>
    <definedName name="_xlnm._FilterDatabase" localSheetId="3" hidden="1">'All Courses at Yale'!$B$2:$AJ$284</definedName>
    <definedName name="_xlnm._FilterDatabase" localSheetId="15" hidden="1">Anth!$B$2:$AJ$26</definedName>
    <definedName name="_xlnm._FilterDatabase" localSheetId="14" hidden="1">Arch!$B$2:$AJ$26</definedName>
    <definedName name="_xlnm._FilterDatabase" localSheetId="6" hidden="1">Economics!$B$2:$AJ$276</definedName>
    <definedName name="_xlnm._FilterDatabase" localSheetId="8" hidden="1">'EEB + MCDB'!$B$2:$AJ$27</definedName>
    <definedName name="_xlnm._FilterDatabase" localSheetId="9" hidden="1">Engineering!$C$2:$AJ$55</definedName>
    <definedName name="_xlnm._FilterDatabase" localSheetId="7" hidden="1">EVST!$B$2:$AJ$27</definedName>
    <definedName name="_xlnm._FilterDatabase" localSheetId="10" hidden="1">'G&amp;G'!$B$2:$AJ$17</definedName>
    <definedName name="_xlnm._FilterDatabase" localSheetId="13" hidden="1">IR!$B$2:$AJ$79</definedName>
    <definedName name="_xlnm._FilterDatabase" localSheetId="12" hidden="1">Law!$B$2:$AJ$276</definedName>
    <definedName name="_xlnm._FilterDatabase" localSheetId="18" hidden="1">Other!$B$2:$AJ$9</definedName>
    <definedName name="_xlnm._FilterDatabase" localSheetId="17" hidden="1">Psych!$B$2:$AJ$25</definedName>
    <definedName name="_xlnm._FilterDatabase" localSheetId="11" hidden="1">'Public Health'!$B$2:$AJ$275</definedName>
    <definedName name="_xlnm._FilterDatabase" localSheetId="16" hidden="1">SOCY!$B$2:$AJ$26</definedName>
    <definedName name="de">All!#REF!</definedName>
    <definedName name="rel">All!$G$499</definedName>
  </definedNames>
  <calcPr calcId="125725"/>
</workbook>
</file>

<file path=xl/calcChain.xml><?xml version="1.0" encoding="utf-8"?>
<calcChain xmlns="http://schemas.openxmlformats.org/spreadsheetml/2006/main">
  <c r="I17" i="30"/>
  <c r="H16"/>
  <c r="H15"/>
  <c r="H14"/>
  <c r="H13"/>
  <c r="H12"/>
  <c r="H11"/>
  <c r="H10"/>
  <c r="H9"/>
  <c r="H7"/>
  <c r="H6"/>
  <c r="H5"/>
  <c r="H8"/>
  <c r="H23"/>
  <c r="H30"/>
  <c r="H32"/>
  <c r="H39"/>
  <c r="H43"/>
  <c r="G17"/>
  <c r="F17"/>
  <c r="E17"/>
  <c r="D17"/>
  <c r="D44"/>
  <c r="C17"/>
  <c r="AM425" i="26"/>
  <c r="D52" i="30" l="1"/>
  <c r="F52" s="1"/>
  <c r="G52" s="1"/>
  <c r="D51"/>
  <c r="D50"/>
  <c r="F50" s="1"/>
  <c r="D49"/>
  <c r="D48"/>
  <c r="F48" s="1"/>
  <c r="D47"/>
  <c r="D43"/>
  <c r="F43" s="1"/>
  <c r="D42"/>
  <c r="D46"/>
  <c r="F46" s="1"/>
  <c r="D45"/>
  <c r="D39"/>
  <c r="F39" s="1"/>
  <c r="G39" s="1"/>
  <c r="D38"/>
  <c r="D37"/>
  <c r="F37" s="1"/>
  <c r="G37" s="1"/>
  <c r="D36"/>
  <c r="D35"/>
  <c r="F35" s="1"/>
  <c r="D34"/>
  <c r="D33"/>
  <c r="F33" s="1"/>
  <c r="D32"/>
  <c r="D31"/>
  <c r="F31" s="1"/>
  <c r="D30"/>
  <c r="D29"/>
  <c r="F29" s="1"/>
  <c r="G29" s="1"/>
  <c r="D28"/>
  <c r="D27"/>
  <c r="F27" s="1"/>
  <c r="G27" s="1"/>
  <c r="D25"/>
  <c r="D24"/>
  <c r="F24" s="1"/>
  <c r="D23"/>
  <c r="G26"/>
  <c r="F51"/>
  <c r="F49"/>
  <c r="F47"/>
  <c r="F44"/>
  <c r="F42"/>
  <c r="F45"/>
  <c r="F38"/>
  <c r="G38" s="1"/>
  <c r="F36"/>
  <c r="G36" s="1"/>
  <c r="F34"/>
  <c r="F32"/>
  <c r="F30"/>
  <c r="F28"/>
  <c r="G28" s="1"/>
  <c r="F25"/>
  <c r="F23"/>
  <c r="H412" i="26"/>
  <c r="H486" s="1"/>
  <c r="BG14" i="29" s="1"/>
  <c r="AM421" i="26"/>
  <c r="AM420"/>
  <c r="AM419"/>
  <c r="AP423"/>
  <c r="AP426" s="1"/>
  <c r="AO423"/>
  <c r="AO426" s="1"/>
  <c r="AN423"/>
  <c r="AN426" s="1"/>
  <c r="AM423"/>
  <c r="AM426" s="1"/>
  <c r="AM422"/>
  <c r="G21" i="35"/>
  <c r="G25"/>
  <c r="G24"/>
  <c r="G23"/>
  <c r="G22"/>
  <c r="G20"/>
  <c r="G19"/>
  <c r="G18"/>
  <c r="G14"/>
  <c r="G12"/>
  <c r="G10"/>
  <c r="G9"/>
  <c r="G8"/>
  <c r="G6"/>
  <c r="G5"/>
  <c r="G4"/>
  <c r="V32" i="34"/>
  <c r="U32"/>
  <c r="T32"/>
  <c r="S32"/>
  <c r="R32"/>
  <c r="Q32"/>
  <c r="P32"/>
  <c r="O32"/>
  <c r="N32"/>
  <c r="M32"/>
  <c r="L32"/>
  <c r="K32"/>
  <c r="J32"/>
  <c r="I32"/>
  <c r="H32"/>
  <c r="G32"/>
  <c r="F32"/>
  <c r="E32"/>
  <c r="D32"/>
  <c r="C32"/>
  <c r="B32"/>
  <c r="A38"/>
  <c r="A35"/>
  <c r="A33"/>
  <c r="A6"/>
  <c r="A34" s="1"/>
  <c r="C27"/>
  <c r="D27" s="1"/>
  <c r="E27" s="1"/>
  <c r="F27" s="1"/>
  <c r="G27" s="1"/>
  <c r="H27" s="1"/>
  <c r="I27" s="1"/>
  <c r="J27" s="1"/>
  <c r="K27" s="1"/>
  <c r="L27" s="1"/>
  <c r="M27" s="1"/>
  <c r="N27" s="1"/>
  <c r="O27" s="1"/>
  <c r="P27" s="1"/>
  <c r="Q27" s="1"/>
  <c r="R27" s="1"/>
  <c r="S27" s="1"/>
  <c r="T27" s="1"/>
  <c r="U27" s="1"/>
  <c r="V27" s="1"/>
  <c r="C22"/>
  <c r="D22" s="1"/>
  <c r="E22" s="1"/>
  <c r="F22" s="1"/>
  <c r="G22" s="1"/>
  <c r="H22" s="1"/>
  <c r="I22" s="1"/>
  <c r="J22" s="1"/>
  <c r="K22" s="1"/>
  <c r="L22" s="1"/>
  <c r="M22" s="1"/>
  <c r="N22" s="1"/>
  <c r="O22" s="1"/>
  <c r="P22" s="1"/>
  <c r="Q22" s="1"/>
  <c r="R22" s="1"/>
  <c r="S22" s="1"/>
  <c r="T22" s="1"/>
  <c r="U22" s="1"/>
  <c r="V22" s="1"/>
  <c r="A21"/>
  <c r="A37" s="1"/>
  <c r="C17"/>
  <c r="D17" s="1"/>
  <c r="E17" s="1"/>
  <c r="F17" s="1"/>
  <c r="G17" s="1"/>
  <c r="H17" s="1"/>
  <c r="I17" s="1"/>
  <c r="J17" s="1"/>
  <c r="K17" s="1"/>
  <c r="L17" s="1"/>
  <c r="M17" s="1"/>
  <c r="N17" s="1"/>
  <c r="O17" s="1"/>
  <c r="P17" s="1"/>
  <c r="Q17" s="1"/>
  <c r="R17" s="1"/>
  <c r="S17" s="1"/>
  <c r="T17" s="1"/>
  <c r="U17" s="1"/>
  <c r="V17" s="1"/>
  <c r="A16"/>
  <c r="A36" s="1"/>
  <c r="W14"/>
  <c r="W13"/>
  <c r="C12"/>
  <c r="D12" s="1"/>
  <c r="E12" s="1"/>
  <c r="F12" s="1"/>
  <c r="G12" s="1"/>
  <c r="H12" s="1"/>
  <c r="I12" s="1"/>
  <c r="J12" s="1"/>
  <c r="K12" s="1"/>
  <c r="L12" s="1"/>
  <c r="M12" s="1"/>
  <c r="N12" s="1"/>
  <c r="O12" s="1"/>
  <c r="P12" s="1"/>
  <c r="Q12" s="1"/>
  <c r="R12" s="1"/>
  <c r="S12" s="1"/>
  <c r="T12" s="1"/>
  <c r="U12" s="1"/>
  <c r="V12" s="1"/>
  <c r="C7"/>
  <c r="D7" s="1"/>
  <c r="E7" s="1"/>
  <c r="F7" s="1"/>
  <c r="G7" s="1"/>
  <c r="H7" s="1"/>
  <c r="I7" s="1"/>
  <c r="J7" s="1"/>
  <c r="K7" s="1"/>
  <c r="L7" s="1"/>
  <c r="M7" s="1"/>
  <c r="N7" s="1"/>
  <c r="O7" s="1"/>
  <c r="P7" s="1"/>
  <c r="Q7" s="1"/>
  <c r="R7" s="1"/>
  <c r="S7" s="1"/>
  <c r="T7" s="1"/>
  <c r="U7" s="1"/>
  <c r="V7" s="1"/>
  <c r="B6"/>
  <c r="B11" s="1"/>
  <c r="W4"/>
  <c r="W3"/>
  <c r="C2"/>
  <c r="D2" s="1"/>
  <c r="E2" s="1"/>
  <c r="F2" s="1"/>
  <c r="G2" s="1"/>
  <c r="H2" s="1"/>
  <c r="I2" s="1"/>
  <c r="J2" s="1"/>
  <c r="K2" s="1"/>
  <c r="L2" s="1"/>
  <c r="M2" s="1"/>
  <c r="N2" s="1"/>
  <c r="O2" s="1"/>
  <c r="P2" s="1"/>
  <c r="Q2" s="1"/>
  <c r="R2" s="1"/>
  <c r="S2" s="1"/>
  <c r="T2" s="1"/>
  <c r="U2" s="1"/>
  <c r="V2" s="1"/>
  <c r="C1"/>
  <c r="D1" s="1"/>
  <c r="E1" s="1"/>
  <c r="F1" s="1"/>
  <c r="G1" s="1"/>
  <c r="H1" s="1"/>
  <c r="I1" s="1"/>
  <c r="J1" s="1"/>
  <c r="K1" s="1"/>
  <c r="L1" s="1"/>
  <c r="M1" s="1"/>
  <c r="N1" s="1"/>
  <c r="O1" s="1"/>
  <c r="P1" s="1"/>
  <c r="Q1" s="1"/>
  <c r="R1" s="1"/>
  <c r="S1" s="1"/>
  <c r="T1" s="1"/>
  <c r="U1" s="1"/>
  <c r="V1" s="1"/>
  <c r="B6" i="33"/>
  <c r="B11" s="1"/>
  <c r="C27"/>
  <c r="D27" s="1"/>
  <c r="E27" s="1"/>
  <c r="F27" s="1"/>
  <c r="G27" s="1"/>
  <c r="H27" s="1"/>
  <c r="I27" s="1"/>
  <c r="J27" s="1"/>
  <c r="K27" s="1"/>
  <c r="L27" s="1"/>
  <c r="M27" s="1"/>
  <c r="N27" s="1"/>
  <c r="O27" s="1"/>
  <c r="P27" s="1"/>
  <c r="Q27" s="1"/>
  <c r="R27" s="1"/>
  <c r="S27" s="1"/>
  <c r="T27" s="1"/>
  <c r="U27" s="1"/>
  <c r="V27" s="1"/>
  <c r="C22"/>
  <c r="D22" s="1"/>
  <c r="E22" s="1"/>
  <c r="F22" s="1"/>
  <c r="G22" s="1"/>
  <c r="H22" s="1"/>
  <c r="I22" s="1"/>
  <c r="J22" s="1"/>
  <c r="K22" s="1"/>
  <c r="L22" s="1"/>
  <c r="M22" s="1"/>
  <c r="N22" s="1"/>
  <c r="O22" s="1"/>
  <c r="P22" s="1"/>
  <c r="Q22" s="1"/>
  <c r="R22" s="1"/>
  <c r="S22" s="1"/>
  <c r="T22" s="1"/>
  <c r="U22" s="1"/>
  <c r="V22" s="1"/>
  <c r="A21"/>
  <c r="C17"/>
  <c r="D17" s="1"/>
  <c r="E17" s="1"/>
  <c r="F17" s="1"/>
  <c r="G17" s="1"/>
  <c r="H17" s="1"/>
  <c r="I17" s="1"/>
  <c r="J17" s="1"/>
  <c r="K17" s="1"/>
  <c r="L17" s="1"/>
  <c r="M17" s="1"/>
  <c r="N17" s="1"/>
  <c r="O17" s="1"/>
  <c r="P17" s="1"/>
  <c r="Q17" s="1"/>
  <c r="R17" s="1"/>
  <c r="S17" s="1"/>
  <c r="T17" s="1"/>
  <c r="U17" s="1"/>
  <c r="V17" s="1"/>
  <c r="A16"/>
  <c r="C12"/>
  <c r="D12" s="1"/>
  <c r="E12" s="1"/>
  <c r="F12" s="1"/>
  <c r="G12" s="1"/>
  <c r="H12" s="1"/>
  <c r="I12" s="1"/>
  <c r="J12" s="1"/>
  <c r="K12" s="1"/>
  <c r="L12" s="1"/>
  <c r="M12" s="1"/>
  <c r="N12" s="1"/>
  <c r="O12" s="1"/>
  <c r="P12" s="1"/>
  <c r="Q12" s="1"/>
  <c r="R12" s="1"/>
  <c r="S12" s="1"/>
  <c r="T12" s="1"/>
  <c r="U12" s="1"/>
  <c r="V12" s="1"/>
  <c r="A11"/>
  <c r="C7"/>
  <c r="D7" s="1"/>
  <c r="E7" s="1"/>
  <c r="F7" s="1"/>
  <c r="G7" s="1"/>
  <c r="H7" s="1"/>
  <c r="I7" s="1"/>
  <c r="J7" s="1"/>
  <c r="K7" s="1"/>
  <c r="L7" s="1"/>
  <c r="M7" s="1"/>
  <c r="N7" s="1"/>
  <c r="O7" s="1"/>
  <c r="P7" s="1"/>
  <c r="Q7" s="1"/>
  <c r="R7" s="1"/>
  <c r="S7" s="1"/>
  <c r="T7" s="1"/>
  <c r="U7" s="1"/>
  <c r="V7" s="1"/>
  <c r="A6"/>
  <c r="C2"/>
  <c r="D2" s="1"/>
  <c r="E2" s="1"/>
  <c r="F2" s="1"/>
  <c r="G2" s="1"/>
  <c r="H2" s="1"/>
  <c r="I2" s="1"/>
  <c r="J2" s="1"/>
  <c r="K2" s="1"/>
  <c r="L2" s="1"/>
  <c r="M2" s="1"/>
  <c r="N2" s="1"/>
  <c r="O2" s="1"/>
  <c r="P2" s="1"/>
  <c r="Q2" s="1"/>
  <c r="R2" s="1"/>
  <c r="S2" s="1"/>
  <c r="T2" s="1"/>
  <c r="U2" s="1"/>
  <c r="V2" s="1"/>
  <c r="C1"/>
  <c r="D1" s="1"/>
  <c r="E1" s="1"/>
  <c r="F1" s="1"/>
  <c r="G1" s="1"/>
  <c r="H1" s="1"/>
  <c r="I1" s="1"/>
  <c r="J1" s="1"/>
  <c r="K1" s="1"/>
  <c r="L1" s="1"/>
  <c r="M1" s="1"/>
  <c r="N1" s="1"/>
  <c r="O1" s="1"/>
  <c r="P1" s="1"/>
  <c r="Q1" s="1"/>
  <c r="R1" s="1"/>
  <c r="S1" s="1"/>
  <c r="T1" s="1"/>
  <c r="U1" s="1"/>
  <c r="V1" s="1"/>
  <c r="A1"/>
  <c r="C90" i="27"/>
  <c r="D90" s="1"/>
  <c r="E90" s="1"/>
  <c r="F90" s="1"/>
  <c r="G90" s="1"/>
  <c r="H90" s="1"/>
  <c r="I90" s="1"/>
  <c r="J90" s="1"/>
  <c r="K90" s="1"/>
  <c r="L90" s="1"/>
  <c r="M90" s="1"/>
  <c r="N90" s="1"/>
  <c r="O90" s="1"/>
  <c r="P90" s="1"/>
  <c r="Q90" s="1"/>
  <c r="R90" s="1"/>
  <c r="S90" s="1"/>
  <c r="T90" s="1"/>
  <c r="U90" s="1"/>
  <c r="V90" s="1"/>
  <c r="C89"/>
  <c r="D89" s="1"/>
  <c r="E89" s="1"/>
  <c r="F89" s="1"/>
  <c r="G89" s="1"/>
  <c r="H89" s="1"/>
  <c r="I89" s="1"/>
  <c r="J89" s="1"/>
  <c r="K89" s="1"/>
  <c r="L89" s="1"/>
  <c r="M89" s="1"/>
  <c r="N89" s="1"/>
  <c r="O89" s="1"/>
  <c r="P89" s="1"/>
  <c r="Q89" s="1"/>
  <c r="R89" s="1"/>
  <c r="S89" s="1"/>
  <c r="T89" s="1"/>
  <c r="U89" s="1"/>
  <c r="V89" s="1"/>
  <c r="C50"/>
  <c r="D50" s="1"/>
  <c r="E50" s="1"/>
  <c r="F50" s="1"/>
  <c r="G50" s="1"/>
  <c r="H50" s="1"/>
  <c r="I50" s="1"/>
  <c r="J50" s="1"/>
  <c r="K50" s="1"/>
  <c r="L50" s="1"/>
  <c r="M50" s="1"/>
  <c r="N50" s="1"/>
  <c r="O50" s="1"/>
  <c r="P50" s="1"/>
  <c r="Q50" s="1"/>
  <c r="R50" s="1"/>
  <c r="S50" s="1"/>
  <c r="T50" s="1"/>
  <c r="U50" s="1"/>
  <c r="V50" s="1"/>
  <c r="C37"/>
  <c r="D37" s="1"/>
  <c r="E37" s="1"/>
  <c r="F37" s="1"/>
  <c r="G37" s="1"/>
  <c r="H37" s="1"/>
  <c r="I37" s="1"/>
  <c r="J37" s="1"/>
  <c r="K37" s="1"/>
  <c r="L37" s="1"/>
  <c r="M37" s="1"/>
  <c r="N37" s="1"/>
  <c r="O37" s="1"/>
  <c r="P37" s="1"/>
  <c r="Q37" s="1"/>
  <c r="R37" s="1"/>
  <c r="S37" s="1"/>
  <c r="T37" s="1"/>
  <c r="U37" s="1"/>
  <c r="V37" s="1"/>
  <c r="C33"/>
  <c r="D33" s="1"/>
  <c r="E33" s="1"/>
  <c r="F33" s="1"/>
  <c r="G33" s="1"/>
  <c r="H33" s="1"/>
  <c r="I33" s="1"/>
  <c r="J33" s="1"/>
  <c r="K33" s="1"/>
  <c r="L33" s="1"/>
  <c r="M33" s="1"/>
  <c r="N33" s="1"/>
  <c r="O33" s="1"/>
  <c r="P33" s="1"/>
  <c r="Q33" s="1"/>
  <c r="R33" s="1"/>
  <c r="S33" s="1"/>
  <c r="T33" s="1"/>
  <c r="U33" s="1"/>
  <c r="V33" s="1"/>
  <c r="C29"/>
  <c r="D29" s="1"/>
  <c r="E29" s="1"/>
  <c r="F29" s="1"/>
  <c r="G29" s="1"/>
  <c r="H29" s="1"/>
  <c r="I29" s="1"/>
  <c r="J29" s="1"/>
  <c r="K29" s="1"/>
  <c r="L29" s="1"/>
  <c r="M29" s="1"/>
  <c r="N29" s="1"/>
  <c r="O29" s="1"/>
  <c r="P29" s="1"/>
  <c r="Q29" s="1"/>
  <c r="R29" s="1"/>
  <c r="S29" s="1"/>
  <c r="T29" s="1"/>
  <c r="U29" s="1"/>
  <c r="V29" s="1"/>
  <c r="A17"/>
  <c r="C53"/>
  <c r="D53" s="1"/>
  <c r="E53" s="1"/>
  <c r="F53" s="1"/>
  <c r="G53" s="1"/>
  <c r="H53" s="1"/>
  <c r="I53" s="1"/>
  <c r="J53" s="1"/>
  <c r="K53" s="1"/>
  <c r="L53" s="1"/>
  <c r="M53" s="1"/>
  <c r="N53" s="1"/>
  <c r="O53" s="1"/>
  <c r="P53" s="1"/>
  <c r="Q53" s="1"/>
  <c r="R53" s="1"/>
  <c r="S53" s="1"/>
  <c r="T53" s="1"/>
  <c r="U53" s="1"/>
  <c r="V53" s="1"/>
  <c r="C49"/>
  <c r="D49" s="1"/>
  <c r="E49" s="1"/>
  <c r="F49" s="1"/>
  <c r="G49" s="1"/>
  <c r="H49" s="1"/>
  <c r="I49" s="1"/>
  <c r="J49" s="1"/>
  <c r="K49" s="1"/>
  <c r="L49" s="1"/>
  <c r="M49" s="1"/>
  <c r="N49" s="1"/>
  <c r="O49" s="1"/>
  <c r="P49" s="1"/>
  <c r="Q49" s="1"/>
  <c r="R49" s="1"/>
  <c r="S49" s="1"/>
  <c r="T49" s="1"/>
  <c r="U49" s="1"/>
  <c r="V49" s="1"/>
  <c r="A49"/>
  <c r="C25"/>
  <c r="D25" s="1"/>
  <c r="E25" s="1"/>
  <c r="F25" s="1"/>
  <c r="G25" s="1"/>
  <c r="H25" s="1"/>
  <c r="I25" s="1"/>
  <c r="J25" s="1"/>
  <c r="K25" s="1"/>
  <c r="L25" s="1"/>
  <c r="M25" s="1"/>
  <c r="N25" s="1"/>
  <c r="O25" s="1"/>
  <c r="P25" s="1"/>
  <c r="Q25" s="1"/>
  <c r="R25" s="1"/>
  <c r="S25" s="1"/>
  <c r="T25" s="1"/>
  <c r="U25" s="1"/>
  <c r="V25" s="1"/>
  <c r="C21"/>
  <c r="D21" s="1"/>
  <c r="E21" s="1"/>
  <c r="F21" s="1"/>
  <c r="G21" s="1"/>
  <c r="H21" s="1"/>
  <c r="I21" s="1"/>
  <c r="J21" s="1"/>
  <c r="K21" s="1"/>
  <c r="L21" s="1"/>
  <c r="M21" s="1"/>
  <c r="N21" s="1"/>
  <c r="O21" s="1"/>
  <c r="P21" s="1"/>
  <c r="Q21" s="1"/>
  <c r="R21" s="1"/>
  <c r="S21" s="1"/>
  <c r="T21" s="1"/>
  <c r="U21" s="1"/>
  <c r="V21" s="1"/>
  <c r="C18"/>
  <c r="D18" s="1"/>
  <c r="E18" s="1"/>
  <c r="F18" s="1"/>
  <c r="G18" s="1"/>
  <c r="H18" s="1"/>
  <c r="I18" s="1"/>
  <c r="J18" s="1"/>
  <c r="K18" s="1"/>
  <c r="L18" s="1"/>
  <c r="M18" s="1"/>
  <c r="N18" s="1"/>
  <c r="O18" s="1"/>
  <c r="P18" s="1"/>
  <c r="Q18" s="1"/>
  <c r="R18" s="1"/>
  <c r="S18" s="1"/>
  <c r="T18" s="1"/>
  <c r="U18" s="1"/>
  <c r="V18" s="1"/>
  <c r="C17"/>
  <c r="D17" s="1"/>
  <c r="E17" s="1"/>
  <c r="F17" s="1"/>
  <c r="G17" s="1"/>
  <c r="H17" s="1"/>
  <c r="I17" s="1"/>
  <c r="J17" s="1"/>
  <c r="K17" s="1"/>
  <c r="L17" s="1"/>
  <c r="M17" s="1"/>
  <c r="N17" s="1"/>
  <c r="O17" s="1"/>
  <c r="P17" s="1"/>
  <c r="Q17" s="1"/>
  <c r="R17" s="1"/>
  <c r="S17" s="1"/>
  <c r="T17" s="1"/>
  <c r="U17" s="1"/>
  <c r="V17" s="1"/>
  <c r="AG442" i="26"/>
  <c r="AG441"/>
  <c r="AG440"/>
  <c r="AG439"/>
  <c r="AG438"/>
  <c r="AG437"/>
  <c r="AG436"/>
  <c r="AG435"/>
  <c r="AG434"/>
  <c r="AG433"/>
  <c r="AG432"/>
  <c r="AG431"/>
  <c r="AG430"/>
  <c r="AG429"/>
  <c r="AG428"/>
  <c r="AG427"/>
  <c r="AG426"/>
  <c r="AG425"/>
  <c r="AG424"/>
  <c r="AG423"/>
  <c r="AG422"/>
  <c r="AG421"/>
  <c r="AF432"/>
  <c r="AF431"/>
  <c r="AF442"/>
  <c r="AF441"/>
  <c r="AF440"/>
  <c r="AF439"/>
  <c r="AF438"/>
  <c r="AF437"/>
  <c r="AF436"/>
  <c r="AF435"/>
  <c r="AF434"/>
  <c r="AF433"/>
  <c r="AF430"/>
  <c r="AF429"/>
  <c r="AF428"/>
  <c r="AF427"/>
  <c r="AF426"/>
  <c r="AF425"/>
  <c r="AF424"/>
  <c r="AF423"/>
  <c r="AF422"/>
  <c r="AF421"/>
  <c r="AE442"/>
  <c r="AE441"/>
  <c r="AE440"/>
  <c r="AE439"/>
  <c r="AE438"/>
  <c r="AE437"/>
  <c r="AE436"/>
  <c r="AE435"/>
  <c r="AE434"/>
  <c r="AE433"/>
  <c r="AE432"/>
  <c r="AE431"/>
  <c r="AE430"/>
  <c r="AE429"/>
  <c r="AE428"/>
  <c r="AE427"/>
  <c r="AE426"/>
  <c r="AE425"/>
  <c r="AE424"/>
  <c r="AE423"/>
  <c r="AE422"/>
  <c r="AE421"/>
  <c r="CP14" i="29"/>
  <c r="CO14"/>
  <c r="CN14"/>
  <c r="CP23"/>
  <c r="CP22"/>
  <c r="CP21"/>
  <c r="CP20"/>
  <c r="CP19"/>
  <c r="CP18"/>
  <c r="CP17"/>
  <c r="CP16"/>
  <c r="CP15"/>
  <c r="CP13"/>
  <c r="CP12"/>
  <c r="CP11"/>
  <c r="CP10"/>
  <c r="CP9"/>
  <c r="CP8"/>
  <c r="CP7"/>
  <c r="CP6"/>
  <c r="CP5"/>
  <c r="CP4"/>
  <c r="CP3"/>
  <c r="CP2"/>
  <c r="CO23"/>
  <c r="CO22"/>
  <c r="CO21"/>
  <c r="CO20"/>
  <c r="CO19"/>
  <c r="CO18"/>
  <c r="CO17"/>
  <c r="CO16"/>
  <c r="CO15"/>
  <c r="CO13"/>
  <c r="CO12"/>
  <c r="CO11"/>
  <c r="CO10"/>
  <c r="CO9"/>
  <c r="CO8"/>
  <c r="CO7"/>
  <c r="CO6"/>
  <c r="CO5"/>
  <c r="CO4"/>
  <c r="CO3"/>
  <c r="CO2"/>
  <c r="CN3"/>
  <c r="A23"/>
  <c r="A22"/>
  <c r="A21"/>
  <c r="A20"/>
  <c r="A19"/>
  <c r="A18"/>
  <c r="A17"/>
  <c r="A16"/>
  <c r="A15"/>
  <c r="A14"/>
  <c r="CM14" s="1"/>
  <c r="H511" i="26"/>
  <c r="F511"/>
  <c r="AD486"/>
  <c r="CF14" i="29" s="1"/>
  <c r="AC486" i="26"/>
  <c r="CE14" i="29" s="1"/>
  <c r="AB486" i="26"/>
  <c r="CA14" i="29" s="1"/>
  <c r="AA486" i="26"/>
  <c r="BZ14" i="29" s="1"/>
  <c r="Z486" i="26"/>
  <c r="BY14" i="29" s="1"/>
  <c r="Y486" i="26"/>
  <c r="BX14" i="29" s="1"/>
  <c r="X486" i="26"/>
  <c r="BW14" i="29" s="1"/>
  <c r="W486" i="26"/>
  <c r="BV14" i="29" s="1"/>
  <c r="V486" i="26"/>
  <c r="BU14" i="29" s="1"/>
  <c r="U486" i="26"/>
  <c r="BT14" i="29" s="1"/>
  <c r="T486" i="26"/>
  <c r="BS14" i="29" s="1"/>
  <c r="S486" i="26"/>
  <c r="BR14" i="29" s="1"/>
  <c r="R486" i="26"/>
  <c r="BQ14" i="29" s="1"/>
  <c r="Q486" i="26"/>
  <c r="BP14" i="29" s="1"/>
  <c r="P486" i="26"/>
  <c r="BO14" i="29" s="1"/>
  <c r="O486" i="26"/>
  <c r="BN14" i="29" s="1"/>
  <c r="N486" i="26"/>
  <c r="BM14" i="29" s="1"/>
  <c r="M486" i="26"/>
  <c r="BL14" i="29" s="1"/>
  <c r="L486" i="26"/>
  <c r="BK14" i="29" s="1"/>
  <c r="K486" i="26"/>
  <c r="BJ14" i="29" s="1"/>
  <c r="J486" i="26"/>
  <c r="BI14" i="29" s="1"/>
  <c r="I486" i="26"/>
  <c r="BH14" i="29" s="1"/>
  <c r="AD458" i="26"/>
  <c r="AA14" i="29" s="1"/>
  <c r="AC458" i="26"/>
  <c r="Z14" i="29" s="1"/>
  <c r="AB458" i="26"/>
  <c r="V14" i="29" s="1"/>
  <c r="AA458" i="26"/>
  <c r="U14" i="29" s="1"/>
  <c r="Z458" i="26"/>
  <c r="T14" i="29" s="1"/>
  <c r="Y458" i="26"/>
  <c r="S14" i="29" s="1"/>
  <c r="X458" i="26"/>
  <c r="R14" i="29" s="1"/>
  <c r="W458" i="26"/>
  <c r="Q14" i="29" s="1"/>
  <c r="V458" i="26"/>
  <c r="P14" i="29" s="1"/>
  <c r="U458" i="26"/>
  <c r="O14" i="29" s="1"/>
  <c r="T458" i="26"/>
  <c r="N14" i="29" s="1"/>
  <c r="S458" i="26"/>
  <c r="M14" i="29" s="1"/>
  <c r="R458" i="26"/>
  <c r="L14" i="29" s="1"/>
  <c r="Q458" i="26"/>
  <c r="K14" i="29" s="1"/>
  <c r="P458" i="26"/>
  <c r="J14" i="29" s="1"/>
  <c r="O458" i="26"/>
  <c r="I14" i="29" s="1"/>
  <c r="N458" i="26"/>
  <c r="H14" i="29" s="1"/>
  <c r="M458" i="26"/>
  <c r="G14" i="29" s="1"/>
  <c r="L458" i="26"/>
  <c r="F14" i="29" s="1"/>
  <c r="K458" i="26"/>
  <c r="E14" i="29" s="1"/>
  <c r="J458" i="26"/>
  <c r="D14" i="29" s="1"/>
  <c r="I458" i="26"/>
  <c r="C14" i="29" s="1"/>
  <c r="AD433" i="26"/>
  <c r="BD14" i="29" s="1"/>
  <c r="AC433" i="26"/>
  <c r="BC14" i="29" s="1"/>
  <c r="AB433" i="26"/>
  <c r="AY14" i="29" s="1"/>
  <c r="AA433" i="26"/>
  <c r="AX14" i="29" s="1"/>
  <c r="Z433" i="26"/>
  <c r="AW14" i="29" s="1"/>
  <c r="Y433" i="26"/>
  <c r="AV14" i="29" s="1"/>
  <c r="X433" i="26"/>
  <c r="AU14" i="29" s="1"/>
  <c r="W433" i="26"/>
  <c r="AT14" i="29" s="1"/>
  <c r="V433" i="26"/>
  <c r="AS14" i="29" s="1"/>
  <c r="U433" i="26"/>
  <c r="AR14" i="29" s="1"/>
  <c r="T433" i="26"/>
  <c r="AQ14" i="29" s="1"/>
  <c r="S433" i="26"/>
  <c r="AP14" i="29" s="1"/>
  <c r="R433" i="26"/>
  <c r="AO14" i="29" s="1"/>
  <c r="Q433" i="26"/>
  <c r="AN14" i="29" s="1"/>
  <c r="P433" i="26"/>
  <c r="AM14" i="29" s="1"/>
  <c r="O433" i="26"/>
  <c r="AL14" i="29" s="1"/>
  <c r="N433" i="26"/>
  <c r="AK14" i="29" s="1"/>
  <c r="M433" i="26"/>
  <c r="AJ14" i="29" s="1"/>
  <c r="L433" i="26"/>
  <c r="AI14" i="29" s="1"/>
  <c r="K433" i="26"/>
  <c r="AH14" i="29" s="1"/>
  <c r="J433" i="26"/>
  <c r="AG14" i="29" s="1"/>
  <c r="I433" i="26"/>
  <c r="AF14" i="29" s="1"/>
  <c r="CN23"/>
  <c r="CN22"/>
  <c r="CN21"/>
  <c r="CN29" s="1"/>
  <c r="CN20"/>
  <c r="CN19"/>
  <c r="CN18"/>
  <c r="CN17"/>
  <c r="CN16"/>
  <c r="CN15"/>
  <c r="CN13"/>
  <c r="CN12"/>
  <c r="CN11"/>
  <c r="CN28" s="1"/>
  <c r="CN10"/>
  <c r="CN31" s="1"/>
  <c r="CN9"/>
  <c r="CN8"/>
  <c r="CN30" s="1"/>
  <c r="CN7"/>
  <c r="CN6"/>
  <c r="CN5"/>
  <c r="CN32" s="1"/>
  <c r="CN4"/>
  <c r="CN2"/>
  <c r="I428" i="26"/>
  <c r="G43" i="30" l="1"/>
  <c r="H28"/>
  <c r="H36"/>
  <c r="H38"/>
  <c r="H52"/>
  <c r="H27"/>
  <c r="H29"/>
  <c r="H37"/>
  <c r="C6" i="33"/>
  <c r="D6" s="1"/>
  <c r="E6" s="1"/>
  <c r="F6" s="1"/>
  <c r="G6" s="1"/>
  <c r="H6" s="1"/>
  <c r="I6" s="1"/>
  <c r="J6" s="1"/>
  <c r="K6" s="1"/>
  <c r="L6" s="1"/>
  <c r="M6" s="1"/>
  <c r="N6" s="1"/>
  <c r="O6" s="1"/>
  <c r="P6" s="1"/>
  <c r="Q6" s="1"/>
  <c r="R6" s="1"/>
  <c r="S6" s="1"/>
  <c r="T6" s="1"/>
  <c r="U6" s="1"/>
  <c r="V6" s="1"/>
  <c r="AM424" i="26"/>
  <c r="AO424"/>
  <c r="AN424"/>
  <c r="G48" i="30"/>
  <c r="G30"/>
  <c r="G23"/>
  <c r="F54"/>
  <c r="G32"/>
  <c r="F53"/>
  <c r="B16" i="33"/>
  <c r="C11"/>
  <c r="D11" s="1"/>
  <c r="E11" s="1"/>
  <c r="F11" s="1"/>
  <c r="G11" s="1"/>
  <c r="H11" s="1"/>
  <c r="I11" s="1"/>
  <c r="J11" s="1"/>
  <c r="K11" s="1"/>
  <c r="L11" s="1"/>
  <c r="M11" s="1"/>
  <c r="N11" s="1"/>
  <c r="O11" s="1"/>
  <c r="P11" s="1"/>
  <c r="Q11" s="1"/>
  <c r="R11" s="1"/>
  <c r="S11" s="1"/>
  <c r="T11" s="1"/>
  <c r="U11" s="1"/>
  <c r="V11" s="1"/>
  <c r="H475" i="26"/>
  <c r="H433"/>
  <c r="AE14" i="29" s="1"/>
  <c r="AZ14" s="1"/>
  <c r="H457" i="26"/>
  <c r="H458"/>
  <c r="B14" i="29" s="1"/>
  <c r="W14" s="1"/>
  <c r="AF443" i="26"/>
  <c r="AG443"/>
  <c r="C51" i="27"/>
  <c r="E51"/>
  <c r="G51"/>
  <c r="I51"/>
  <c r="K51"/>
  <c r="M51"/>
  <c r="O51"/>
  <c r="Q51"/>
  <c r="S51"/>
  <c r="U51"/>
  <c r="C52"/>
  <c r="E52"/>
  <c r="G52"/>
  <c r="I52"/>
  <c r="K52"/>
  <c r="M52"/>
  <c r="O52"/>
  <c r="Q52"/>
  <c r="S52"/>
  <c r="U52"/>
  <c r="D51"/>
  <c r="F51"/>
  <c r="H51"/>
  <c r="J51"/>
  <c r="L51"/>
  <c r="N51"/>
  <c r="P51"/>
  <c r="R51"/>
  <c r="T51"/>
  <c r="V51"/>
  <c r="D52"/>
  <c r="F52"/>
  <c r="H52"/>
  <c r="J52"/>
  <c r="L52"/>
  <c r="N52"/>
  <c r="P52"/>
  <c r="R52"/>
  <c r="T52"/>
  <c r="V52"/>
  <c r="B16" i="34"/>
  <c r="C11"/>
  <c r="D11" s="1"/>
  <c r="E11" s="1"/>
  <c r="F11" s="1"/>
  <c r="G11" s="1"/>
  <c r="H11" s="1"/>
  <c r="I11" s="1"/>
  <c r="J11" s="1"/>
  <c r="K11" s="1"/>
  <c r="L11" s="1"/>
  <c r="M11" s="1"/>
  <c r="N11" s="1"/>
  <c r="O11" s="1"/>
  <c r="P11" s="1"/>
  <c r="Q11" s="1"/>
  <c r="R11" s="1"/>
  <c r="S11" s="1"/>
  <c r="T11" s="1"/>
  <c r="U11" s="1"/>
  <c r="V11" s="1"/>
  <c r="C6"/>
  <c r="D6" s="1"/>
  <c r="E6" s="1"/>
  <c r="F6" s="1"/>
  <c r="G6" s="1"/>
  <c r="H6" s="1"/>
  <c r="I6" s="1"/>
  <c r="J6" s="1"/>
  <c r="K6" s="1"/>
  <c r="L6" s="1"/>
  <c r="M6" s="1"/>
  <c r="N6" s="1"/>
  <c r="O6" s="1"/>
  <c r="P6" s="1"/>
  <c r="Q6" s="1"/>
  <c r="R6" s="1"/>
  <c r="S6" s="1"/>
  <c r="T6" s="1"/>
  <c r="U6" s="1"/>
  <c r="V6" s="1"/>
  <c r="AE443" i="26"/>
  <c r="CT14" i="29"/>
  <c r="BA14"/>
  <c r="AD14"/>
  <c r="BF14"/>
  <c r="CN24"/>
  <c r="CN33" s="1"/>
  <c r="CN34" s="1"/>
  <c r="CP24"/>
  <c r="CX4" s="1"/>
  <c r="CB14"/>
  <c r="CC14"/>
  <c r="CO24"/>
  <c r="CW2" s="1"/>
  <c r="X14"/>
  <c r="F486" i="26"/>
  <c r="H48" i="30" l="1"/>
  <c r="G53"/>
  <c r="F55"/>
  <c r="F433" i="26"/>
  <c r="B51" i="27"/>
  <c r="W51" s="1"/>
  <c r="C16" i="33"/>
  <c r="D16" s="1"/>
  <c r="E16" s="1"/>
  <c r="F16" s="1"/>
  <c r="G16" s="1"/>
  <c r="H16" s="1"/>
  <c r="I16" s="1"/>
  <c r="J16" s="1"/>
  <c r="K16" s="1"/>
  <c r="L16" s="1"/>
  <c r="M16" s="1"/>
  <c r="N16" s="1"/>
  <c r="O16" s="1"/>
  <c r="P16" s="1"/>
  <c r="Q16" s="1"/>
  <c r="R16" s="1"/>
  <c r="S16" s="1"/>
  <c r="T16" s="1"/>
  <c r="U16" s="1"/>
  <c r="V16" s="1"/>
  <c r="B21"/>
  <c r="CV11" i="29"/>
  <c r="CV10"/>
  <c r="CX14"/>
  <c r="CX22"/>
  <c r="CX18"/>
  <c r="CX13"/>
  <c r="CX9"/>
  <c r="CX5"/>
  <c r="CW23"/>
  <c r="CW19"/>
  <c r="CW15"/>
  <c r="CW10"/>
  <c r="CW4"/>
  <c r="CV17"/>
  <c r="CV6"/>
  <c r="CX23"/>
  <c r="CX19"/>
  <c r="CX15"/>
  <c r="CX10"/>
  <c r="CX6"/>
  <c r="CX2"/>
  <c r="CW20"/>
  <c r="CW16"/>
  <c r="CW11"/>
  <c r="CW7"/>
  <c r="CW3"/>
  <c r="CV22"/>
  <c r="CV18"/>
  <c r="CV13"/>
  <c r="CV7"/>
  <c r="CW8"/>
  <c r="CV19"/>
  <c r="CV4"/>
  <c r="CV21"/>
  <c r="CV5"/>
  <c r="CV8"/>
  <c r="CV14"/>
  <c r="CX20"/>
  <c r="CX16"/>
  <c r="CX11"/>
  <c r="CX7"/>
  <c r="CX3"/>
  <c r="CW21"/>
  <c r="CW17"/>
  <c r="CW12"/>
  <c r="CW6"/>
  <c r="CV23"/>
  <c r="CV12"/>
  <c r="CW14"/>
  <c r="CX21"/>
  <c r="CX17"/>
  <c r="CX12"/>
  <c r="CX8"/>
  <c r="CW22"/>
  <c r="CW18"/>
  <c r="CW13"/>
  <c r="CW9"/>
  <c r="CW5"/>
  <c r="CV3"/>
  <c r="CV20"/>
  <c r="CV16"/>
  <c r="CV9"/>
  <c r="CV2"/>
  <c r="CV15"/>
  <c r="B52" i="27"/>
  <c r="F458" i="26"/>
  <c r="B21" i="34"/>
  <c r="C16"/>
  <c r="D16" s="1"/>
  <c r="E16" s="1"/>
  <c r="F16" s="1"/>
  <c r="G16" s="1"/>
  <c r="H16" s="1"/>
  <c r="I16" s="1"/>
  <c r="J16" s="1"/>
  <c r="K16" s="1"/>
  <c r="L16" s="1"/>
  <c r="M16" s="1"/>
  <c r="N16" s="1"/>
  <c r="O16" s="1"/>
  <c r="P16" s="1"/>
  <c r="Q16" s="1"/>
  <c r="R16" s="1"/>
  <c r="S16" s="1"/>
  <c r="T16" s="1"/>
  <c r="U16" s="1"/>
  <c r="V16" s="1"/>
  <c r="BB14" i="29"/>
  <c r="Y14"/>
  <c r="CD14"/>
  <c r="AP424" i="26"/>
  <c r="A6" i="29"/>
  <c r="CM6" s="1"/>
  <c r="H503" i="26"/>
  <c r="F503"/>
  <c r="AD478"/>
  <c r="CF6" i="29" s="1"/>
  <c r="AC478" i="26"/>
  <c r="CE6" i="29" s="1"/>
  <c r="AB478" i="26"/>
  <c r="CA6" i="29" s="1"/>
  <c r="AA478" i="26"/>
  <c r="BZ6" i="29" s="1"/>
  <c r="Z478" i="26"/>
  <c r="BY6" i="29" s="1"/>
  <c r="Y478" i="26"/>
  <c r="BX6" i="29" s="1"/>
  <c r="X478" i="26"/>
  <c r="BW6" i="29" s="1"/>
  <c r="W478" i="26"/>
  <c r="BV6" i="29" s="1"/>
  <c r="V478" i="26"/>
  <c r="BU6" i="29" s="1"/>
  <c r="U478" i="26"/>
  <c r="BT6" i="29" s="1"/>
  <c r="T478" i="26"/>
  <c r="BS6" i="29" s="1"/>
  <c r="S478" i="26"/>
  <c r="BR6" i="29" s="1"/>
  <c r="R478" i="26"/>
  <c r="BQ6" i="29" s="1"/>
  <c r="Q478" i="26"/>
  <c r="BP6" i="29" s="1"/>
  <c r="P478" i="26"/>
  <c r="BO6" i="29" s="1"/>
  <c r="O478" i="26"/>
  <c r="BN6" i="29" s="1"/>
  <c r="N478" i="26"/>
  <c r="BM6" i="29" s="1"/>
  <c r="M478" i="26"/>
  <c r="BL6" i="29" s="1"/>
  <c r="L478" i="26"/>
  <c r="BK6" i="29" s="1"/>
  <c r="K478" i="26"/>
  <c r="BJ6" i="29" s="1"/>
  <c r="J478" i="26"/>
  <c r="BI6" i="29" s="1"/>
  <c r="I478" i="26"/>
  <c r="BH6" i="29" s="1"/>
  <c r="H478" i="26"/>
  <c r="H477"/>
  <c r="B5" i="33" s="1"/>
  <c r="AD450" i="26"/>
  <c r="AA6" i="29" s="1"/>
  <c r="AC450" i="26"/>
  <c r="Z6" i="29" s="1"/>
  <c r="AB450" i="26"/>
  <c r="AA450"/>
  <c r="Z450"/>
  <c r="Y450"/>
  <c r="X450"/>
  <c r="W450"/>
  <c r="V450"/>
  <c r="U450"/>
  <c r="T450"/>
  <c r="S450"/>
  <c r="R450"/>
  <c r="Q450"/>
  <c r="P450"/>
  <c r="O450"/>
  <c r="N450"/>
  <c r="M450"/>
  <c r="L450"/>
  <c r="K450"/>
  <c r="J450"/>
  <c r="I450"/>
  <c r="H450"/>
  <c r="B20" i="27" s="1"/>
  <c r="H449" i="26"/>
  <c r="B4" i="33" s="1"/>
  <c r="AD425" i="26"/>
  <c r="BD6" i="29" s="1"/>
  <c r="AC425" i="26"/>
  <c r="AB425"/>
  <c r="AA425"/>
  <c r="Z425"/>
  <c r="Y425"/>
  <c r="X425"/>
  <c r="W425"/>
  <c r="V425"/>
  <c r="U425"/>
  <c r="T425"/>
  <c r="S425"/>
  <c r="R425"/>
  <c r="Q425"/>
  <c r="P425"/>
  <c r="O425"/>
  <c r="N425"/>
  <c r="M425"/>
  <c r="L425"/>
  <c r="K425"/>
  <c r="J425"/>
  <c r="I425"/>
  <c r="H425"/>
  <c r="B19" i="27" s="1"/>
  <c r="H426" i="26"/>
  <c r="J3" i="30" l="1" a="1"/>
  <c r="J3" s="1"/>
  <c r="I26"/>
  <c r="I28"/>
  <c r="I36"/>
  <c r="I38"/>
  <c r="I52"/>
  <c r="I27"/>
  <c r="I29"/>
  <c r="I37"/>
  <c r="I23"/>
  <c r="I48"/>
  <c r="I39"/>
  <c r="I32"/>
  <c r="I30"/>
  <c r="I43"/>
  <c r="B26" i="33"/>
  <c r="C26" s="1"/>
  <c r="D26" s="1"/>
  <c r="E26" s="1"/>
  <c r="F26" s="1"/>
  <c r="G26" s="1"/>
  <c r="H26" s="1"/>
  <c r="I26" s="1"/>
  <c r="J26" s="1"/>
  <c r="K26" s="1"/>
  <c r="L26" s="1"/>
  <c r="M26" s="1"/>
  <c r="N26" s="1"/>
  <c r="O26" s="1"/>
  <c r="P26" s="1"/>
  <c r="Q26" s="1"/>
  <c r="R26" s="1"/>
  <c r="S26" s="1"/>
  <c r="T26" s="1"/>
  <c r="U26" s="1"/>
  <c r="V26" s="1"/>
  <c r="C21"/>
  <c r="D21" s="1"/>
  <c r="E21" s="1"/>
  <c r="F21" s="1"/>
  <c r="G21" s="1"/>
  <c r="H21" s="1"/>
  <c r="I21" s="1"/>
  <c r="J21" s="1"/>
  <c r="K21" s="1"/>
  <c r="L21" s="1"/>
  <c r="M21" s="1"/>
  <c r="N21" s="1"/>
  <c r="O21" s="1"/>
  <c r="P21" s="1"/>
  <c r="Q21" s="1"/>
  <c r="R21" s="1"/>
  <c r="S21" s="1"/>
  <c r="T21" s="1"/>
  <c r="U21" s="1"/>
  <c r="V21" s="1"/>
  <c r="CX24" i="29"/>
  <c r="CW24"/>
  <c r="CV24"/>
  <c r="AF6"/>
  <c r="C19" i="27"/>
  <c r="AH6" i="29"/>
  <c r="E19" i="27"/>
  <c r="AJ6" i="29"/>
  <c r="G19" i="27"/>
  <c r="AL6" i="29"/>
  <c r="I19" i="27"/>
  <c r="AN6" i="29"/>
  <c r="K19" i="27"/>
  <c r="AP6" i="29"/>
  <c r="M19" i="27"/>
  <c r="AR6" i="29"/>
  <c r="O19" i="27"/>
  <c r="AT6" i="29"/>
  <c r="Q19" i="27"/>
  <c r="AV6" i="29"/>
  <c r="S19" i="27"/>
  <c r="AX6" i="29"/>
  <c r="U19" i="27"/>
  <c r="C6" i="29"/>
  <c r="C20" i="27"/>
  <c r="E6" i="29"/>
  <c r="E20" i="27"/>
  <c r="G6" i="29"/>
  <c r="G20" i="27"/>
  <c r="I6" i="29"/>
  <c r="I20" i="27"/>
  <c r="K6" i="29"/>
  <c r="K20" i="27"/>
  <c r="M6" i="29"/>
  <c r="M20" i="27"/>
  <c r="O6" i="29"/>
  <c r="O20" i="27"/>
  <c r="Q6" i="29"/>
  <c r="Q20" i="27"/>
  <c r="S6" i="29"/>
  <c r="S20" i="27"/>
  <c r="U6" i="29"/>
  <c r="U20" i="27"/>
  <c r="AG6" i="29"/>
  <c r="D19" i="27"/>
  <c r="AI6" i="29"/>
  <c r="F19" i="27"/>
  <c r="AK6" i="29"/>
  <c r="H19" i="27"/>
  <c r="AM6" i="29"/>
  <c r="J19" i="27"/>
  <c r="AO6" i="29"/>
  <c r="L19" i="27"/>
  <c r="AQ6" i="29"/>
  <c r="N19" i="27"/>
  <c r="AS6" i="29"/>
  <c r="P19" i="27"/>
  <c r="AU6" i="29"/>
  <c r="R19" i="27"/>
  <c r="AW6" i="29"/>
  <c r="T19" i="27"/>
  <c r="AY6" i="29"/>
  <c r="V19" i="27"/>
  <c r="D6" i="29"/>
  <c r="D20" i="27"/>
  <c r="F6" i="29"/>
  <c r="F20" i="27"/>
  <c r="H6" i="29"/>
  <c r="H20" i="27"/>
  <c r="J6" i="29"/>
  <c r="J20" i="27"/>
  <c r="L6" i="29"/>
  <c r="L20" i="27"/>
  <c r="N6" i="29"/>
  <c r="N20" i="27"/>
  <c r="P6" i="29"/>
  <c r="P20" i="27"/>
  <c r="R6" i="29"/>
  <c r="R20" i="27"/>
  <c r="T6" i="29"/>
  <c r="T20" i="27"/>
  <c r="V6" i="29"/>
  <c r="V20" i="27"/>
  <c r="B26" i="34"/>
  <c r="C26" s="1"/>
  <c r="D26" s="1"/>
  <c r="E26" s="1"/>
  <c r="F26" s="1"/>
  <c r="G26" s="1"/>
  <c r="H26" s="1"/>
  <c r="I26" s="1"/>
  <c r="J26" s="1"/>
  <c r="K26" s="1"/>
  <c r="L26" s="1"/>
  <c r="M26" s="1"/>
  <c r="N26" s="1"/>
  <c r="O26" s="1"/>
  <c r="P26" s="1"/>
  <c r="Q26" s="1"/>
  <c r="R26" s="1"/>
  <c r="S26" s="1"/>
  <c r="T26" s="1"/>
  <c r="U26" s="1"/>
  <c r="V26" s="1"/>
  <c r="C21"/>
  <c r="D21" s="1"/>
  <c r="E21" s="1"/>
  <c r="F21" s="1"/>
  <c r="G21" s="1"/>
  <c r="H21" s="1"/>
  <c r="I21" s="1"/>
  <c r="J21" s="1"/>
  <c r="K21" s="1"/>
  <c r="L21" s="1"/>
  <c r="M21" s="1"/>
  <c r="N21" s="1"/>
  <c r="O21" s="1"/>
  <c r="P21" s="1"/>
  <c r="Q21" s="1"/>
  <c r="R21" s="1"/>
  <c r="S21" s="1"/>
  <c r="T21" s="1"/>
  <c r="U21" s="1"/>
  <c r="V21" s="1"/>
  <c r="BC6" i="29"/>
  <c r="CT6"/>
  <c r="BF6"/>
  <c r="AE6"/>
  <c r="F425" i="26"/>
  <c r="B6" i="29"/>
  <c r="F450" i="26"/>
  <c r="BG6" i="29"/>
  <c r="CB6" s="1"/>
  <c r="F478" i="26"/>
  <c r="CC6" i="29"/>
  <c r="AD6"/>
  <c r="J7" i="30" l="1"/>
  <c r="J13"/>
  <c r="J8"/>
  <c r="J10"/>
  <c r="J4"/>
  <c r="J6"/>
  <c r="J14"/>
  <c r="J15"/>
  <c r="J12"/>
  <c r="J9"/>
  <c r="J16"/>
  <c r="J5"/>
  <c r="J11"/>
  <c r="I53"/>
  <c r="H17"/>
  <c r="X6" i="29"/>
  <c r="BA6"/>
  <c r="W6"/>
  <c r="AZ6"/>
  <c r="W19" i="27"/>
  <c r="CD6" i="29"/>
  <c r="Y6"/>
  <c r="H520" i="26"/>
  <c r="H519"/>
  <c r="H518"/>
  <c r="H517"/>
  <c r="H516"/>
  <c r="H515"/>
  <c r="H514"/>
  <c r="H513"/>
  <c r="H512"/>
  <c r="H510"/>
  <c r="H509"/>
  <c r="H508"/>
  <c r="H507"/>
  <c r="H505"/>
  <c r="H506"/>
  <c r="H504"/>
  <c r="H502"/>
  <c r="H501"/>
  <c r="H500"/>
  <c r="H499"/>
  <c r="F520"/>
  <c r="F519"/>
  <c r="F518"/>
  <c r="F517"/>
  <c r="F516"/>
  <c r="F515"/>
  <c r="F514"/>
  <c r="F513"/>
  <c r="F512"/>
  <c r="F510"/>
  <c r="F509"/>
  <c r="F508"/>
  <c r="F507"/>
  <c r="F506"/>
  <c r="F505"/>
  <c r="F504"/>
  <c r="F502"/>
  <c r="F501"/>
  <c r="F500"/>
  <c r="F499"/>
  <c r="J17" i="30" l="1"/>
  <c r="BB6" i="29"/>
  <c r="H522" i="26"/>
  <c r="F522"/>
  <c r="CD1" i="29"/>
  <c r="CC1"/>
  <c r="CB1"/>
  <c r="AD467" i="26"/>
  <c r="AC467"/>
  <c r="AB467"/>
  <c r="AA467"/>
  <c r="Z467"/>
  <c r="Y467"/>
  <c r="X467"/>
  <c r="W467"/>
  <c r="V467"/>
  <c r="U467"/>
  <c r="T467"/>
  <c r="S467"/>
  <c r="R467"/>
  <c r="Q467"/>
  <c r="P467"/>
  <c r="O467"/>
  <c r="N467"/>
  <c r="M467"/>
  <c r="L467"/>
  <c r="K467"/>
  <c r="J467"/>
  <c r="I467"/>
  <c r="H467"/>
  <c r="AD466"/>
  <c r="AC466"/>
  <c r="AB466"/>
  <c r="AA466"/>
  <c r="Z466"/>
  <c r="Y466"/>
  <c r="X466"/>
  <c r="W466"/>
  <c r="V466"/>
  <c r="U466"/>
  <c r="T466"/>
  <c r="S466"/>
  <c r="R466"/>
  <c r="Q466"/>
  <c r="P466"/>
  <c r="O466"/>
  <c r="N466"/>
  <c r="M466"/>
  <c r="L466"/>
  <c r="K466"/>
  <c r="J466"/>
  <c r="I466"/>
  <c r="H466"/>
  <c r="AD465"/>
  <c r="AC465"/>
  <c r="AB465"/>
  <c r="AA465"/>
  <c r="Z465"/>
  <c r="Y465"/>
  <c r="X465"/>
  <c r="W465"/>
  <c r="V465"/>
  <c r="U465"/>
  <c r="T465"/>
  <c r="S465"/>
  <c r="R465"/>
  <c r="Q465"/>
  <c r="P465"/>
  <c r="O465"/>
  <c r="N465"/>
  <c r="M465"/>
  <c r="L465"/>
  <c r="K465"/>
  <c r="J465"/>
  <c r="I465"/>
  <c r="H465"/>
  <c r="AD464"/>
  <c r="AC464"/>
  <c r="AB464"/>
  <c r="AA464"/>
  <c r="Z464"/>
  <c r="Y464"/>
  <c r="X464"/>
  <c r="W464"/>
  <c r="V464"/>
  <c r="U464"/>
  <c r="T464"/>
  <c r="S464"/>
  <c r="R464"/>
  <c r="Q464"/>
  <c r="P464"/>
  <c r="O464"/>
  <c r="N464"/>
  <c r="M464"/>
  <c r="L464"/>
  <c r="K464"/>
  <c r="J464"/>
  <c r="I464"/>
  <c r="H464"/>
  <c r="AD463"/>
  <c r="AC463"/>
  <c r="AB463"/>
  <c r="AA463"/>
  <c r="Z463"/>
  <c r="Y463"/>
  <c r="X463"/>
  <c r="W463"/>
  <c r="V463"/>
  <c r="U463"/>
  <c r="T463"/>
  <c r="S463"/>
  <c r="R463"/>
  <c r="Q463"/>
  <c r="P463"/>
  <c r="O463"/>
  <c r="N463"/>
  <c r="M463"/>
  <c r="L463"/>
  <c r="K463"/>
  <c r="J463"/>
  <c r="I463"/>
  <c r="H463"/>
  <c r="AD462"/>
  <c r="AC462"/>
  <c r="AB462"/>
  <c r="AA462"/>
  <c r="Z462"/>
  <c r="Y462"/>
  <c r="X462"/>
  <c r="W462"/>
  <c r="V462"/>
  <c r="U462"/>
  <c r="T462"/>
  <c r="S462"/>
  <c r="R462"/>
  <c r="Q462"/>
  <c r="P462"/>
  <c r="O462"/>
  <c r="N462"/>
  <c r="M462"/>
  <c r="L462"/>
  <c r="K462"/>
  <c r="J462"/>
  <c r="I462"/>
  <c r="H462"/>
  <c r="AD461"/>
  <c r="AC461"/>
  <c r="AB461"/>
  <c r="AA461"/>
  <c r="Z461"/>
  <c r="Y461"/>
  <c r="X461"/>
  <c r="W461"/>
  <c r="V461"/>
  <c r="U461"/>
  <c r="T461"/>
  <c r="S461"/>
  <c r="R461"/>
  <c r="Q461"/>
  <c r="P461"/>
  <c r="O461"/>
  <c r="N461"/>
  <c r="M461"/>
  <c r="L461"/>
  <c r="K461"/>
  <c r="J461"/>
  <c r="I461"/>
  <c r="H461"/>
  <c r="AD460"/>
  <c r="AC460"/>
  <c r="AB460"/>
  <c r="AA460"/>
  <c r="Z460"/>
  <c r="Y460"/>
  <c r="X460"/>
  <c r="W460"/>
  <c r="V460"/>
  <c r="U460"/>
  <c r="T460"/>
  <c r="S460"/>
  <c r="R460"/>
  <c r="Q460"/>
  <c r="P460"/>
  <c r="O460"/>
  <c r="N460"/>
  <c r="M460"/>
  <c r="L460"/>
  <c r="K460"/>
  <c r="J460"/>
  <c r="I460"/>
  <c r="H460"/>
  <c r="AD459"/>
  <c r="AC459"/>
  <c r="AB459"/>
  <c r="AA459"/>
  <c r="Z459"/>
  <c r="Y459"/>
  <c r="X459"/>
  <c r="W459"/>
  <c r="V459"/>
  <c r="U459"/>
  <c r="T459"/>
  <c r="S459"/>
  <c r="R459"/>
  <c r="Q459"/>
  <c r="P459"/>
  <c r="O459"/>
  <c r="N459"/>
  <c r="M459"/>
  <c r="L459"/>
  <c r="K459"/>
  <c r="J459"/>
  <c r="I459"/>
  <c r="H459"/>
  <c r="AD457"/>
  <c r="AC457"/>
  <c r="AB457"/>
  <c r="AA457"/>
  <c r="Z457"/>
  <c r="Y457"/>
  <c r="X457"/>
  <c r="W457"/>
  <c r="V457"/>
  <c r="U457"/>
  <c r="T457"/>
  <c r="S457"/>
  <c r="R457"/>
  <c r="Q457"/>
  <c r="P457"/>
  <c r="O457"/>
  <c r="N457"/>
  <c r="M457"/>
  <c r="L457"/>
  <c r="K457"/>
  <c r="J457"/>
  <c r="I457"/>
  <c r="AD456"/>
  <c r="AC456"/>
  <c r="AB456"/>
  <c r="AA456"/>
  <c r="Z456"/>
  <c r="Y456"/>
  <c r="X456"/>
  <c r="W456"/>
  <c r="V456"/>
  <c r="U456"/>
  <c r="T456"/>
  <c r="S456"/>
  <c r="R456"/>
  <c r="Q456"/>
  <c r="P456"/>
  <c r="O456"/>
  <c r="N456"/>
  <c r="M456"/>
  <c r="L456"/>
  <c r="K456"/>
  <c r="J456"/>
  <c r="I456"/>
  <c r="H456"/>
  <c r="AD455"/>
  <c r="AC455"/>
  <c r="AB455"/>
  <c r="AA455"/>
  <c r="Z455"/>
  <c r="Y455"/>
  <c r="X455"/>
  <c r="W455"/>
  <c r="V455"/>
  <c r="U455"/>
  <c r="T455"/>
  <c r="S455"/>
  <c r="R455"/>
  <c r="Q455"/>
  <c r="P455"/>
  <c r="O455"/>
  <c r="N455"/>
  <c r="M455"/>
  <c r="L455"/>
  <c r="K455"/>
  <c r="J455"/>
  <c r="I455"/>
  <c r="H455"/>
  <c r="AD454"/>
  <c r="AC454"/>
  <c r="AB454"/>
  <c r="V14" i="33" s="1"/>
  <c r="AA454" i="26"/>
  <c r="U14" i="33" s="1"/>
  <c r="Z454" i="26"/>
  <c r="T14" i="33" s="1"/>
  <c r="Y454" i="26"/>
  <c r="S14" i="33" s="1"/>
  <c r="X454" i="26"/>
  <c r="R14" i="33" s="1"/>
  <c r="W454" i="26"/>
  <c r="Q14" i="33" s="1"/>
  <c r="V454" i="26"/>
  <c r="P14" i="33" s="1"/>
  <c r="U454" i="26"/>
  <c r="O14" i="33" s="1"/>
  <c r="T454" i="26"/>
  <c r="N14" i="33" s="1"/>
  <c r="S454" i="26"/>
  <c r="M14" i="33" s="1"/>
  <c r="R454" i="26"/>
  <c r="L14" i="33" s="1"/>
  <c r="Q454" i="26"/>
  <c r="K14" i="33" s="1"/>
  <c r="P454" i="26"/>
  <c r="J14" i="33" s="1"/>
  <c r="O454" i="26"/>
  <c r="I14" i="33" s="1"/>
  <c r="N454" i="26"/>
  <c r="H14" i="33" s="1"/>
  <c r="M454" i="26"/>
  <c r="G14" i="33" s="1"/>
  <c r="L454" i="26"/>
  <c r="F14" i="33" s="1"/>
  <c r="K454" i="26"/>
  <c r="E14" i="33" s="1"/>
  <c r="J454" i="26"/>
  <c r="D14" i="33" s="1"/>
  <c r="I454" i="26"/>
  <c r="C14" i="33" s="1"/>
  <c r="H454" i="26"/>
  <c r="B14" i="33" s="1"/>
  <c r="AD453" i="26"/>
  <c r="AC453"/>
  <c r="AB453"/>
  <c r="AA453"/>
  <c r="Z453"/>
  <c r="Y453"/>
  <c r="X453"/>
  <c r="W453"/>
  <c r="V453"/>
  <c r="U453"/>
  <c r="T453"/>
  <c r="S453"/>
  <c r="R453"/>
  <c r="Q453"/>
  <c r="P453"/>
  <c r="O453"/>
  <c r="N453"/>
  <c r="M453"/>
  <c r="L453"/>
  <c r="K453"/>
  <c r="J453"/>
  <c r="I453"/>
  <c r="H453"/>
  <c r="AD452"/>
  <c r="AC452"/>
  <c r="AB452"/>
  <c r="AA452"/>
  <c r="Z452"/>
  <c r="Y452"/>
  <c r="X452"/>
  <c r="W452"/>
  <c r="V452"/>
  <c r="U452"/>
  <c r="T452"/>
  <c r="S452"/>
  <c r="R452"/>
  <c r="Q452"/>
  <c r="P452"/>
  <c r="O452"/>
  <c r="N452"/>
  <c r="M452"/>
  <c r="L452"/>
  <c r="K452"/>
  <c r="J452"/>
  <c r="I452"/>
  <c r="H452"/>
  <c r="AD451"/>
  <c r="AC451"/>
  <c r="AB451"/>
  <c r="AA451"/>
  <c r="Z451"/>
  <c r="Y451"/>
  <c r="X451"/>
  <c r="W451"/>
  <c r="V451"/>
  <c r="U451"/>
  <c r="T451"/>
  <c r="S451"/>
  <c r="R451"/>
  <c r="Q451"/>
  <c r="P451"/>
  <c r="O451"/>
  <c r="N451"/>
  <c r="M451"/>
  <c r="L451"/>
  <c r="K451"/>
  <c r="J451"/>
  <c r="I451"/>
  <c r="H451"/>
  <c r="AD449"/>
  <c r="AC449"/>
  <c r="AB449"/>
  <c r="V4" i="33" s="1"/>
  <c r="AA449" i="26"/>
  <c r="U4" i="33" s="1"/>
  <c r="Z449" i="26"/>
  <c r="T4" i="33" s="1"/>
  <c r="Y449" i="26"/>
  <c r="S4" i="33" s="1"/>
  <c r="X449" i="26"/>
  <c r="R4" i="33" s="1"/>
  <c r="W449" i="26"/>
  <c r="Q4" i="33" s="1"/>
  <c r="V449" i="26"/>
  <c r="P4" i="33" s="1"/>
  <c r="U449" i="26"/>
  <c r="O4" i="33" s="1"/>
  <c r="T449" i="26"/>
  <c r="N4" i="33" s="1"/>
  <c r="S449" i="26"/>
  <c r="M4" i="33" s="1"/>
  <c r="R449" i="26"/>
  <c r="L4" i="33" s="1"/>
  <c r="Q449" i="26"/>
  <c r="K4" i="33" s="1"/>
  <c r="P449" i="26"/>
  <c r="J4" i="33" s="1"/>
  <c r="O449" i="26"/>
  <c r="I4" i="33" s="1"/>
  <c r="N449" i="26"/>
  <c r="H4" i="33" s="1"/>
  <c r="M449" i="26"/>
  <c r="G4" i="33" s="1"/>
  <c r="L449" i="26"/>
  <c r="F4" i="33" s="1"/>
  <c r="K449" i="26"/>
  <c r="E4" i="33" s="1"/>
  <c r="J449" i="26"/>
  <c r="D4" i="33" s="1"/>
  <c r="I449" i="26"/>
  <c r="C4" i="33" s="1"/>
  <c r="AD448" i="26"/>
  <c r="AC448"/>
  <c r="AB448"/>
  <c r="AA448"/>
  <c r="Z448"/>
  <c r="Y448"/>
  <c r="X448"/>
  <c r="W448"/>
  <c r="V448"/>
  <c r="U448"/>
  <c r="T448"/>
  <c r="S448"/>
  <c r="R448"/>
  <c r="Q448"/>
  <c r="P448"/>
  <c r="O448"/>
  <c r="N448"/>
  <c r="M448"/>
  <c r="L448"/>
  <c r="K448"/>
  <c r="J448"/>
  <c r="I448"/>
  <c r="H448"/>
  <c r="AD447"/>
  <c r="AC447"/>
  <c r="AB447"/>
  <c r="AA447"/>
  <c r="Z447"/>
  <c r="Y447"/>
  <c r="X447"/>
  <c r="W447"/>
  <c r="V447"/>
  <c r="U447"/>
  <c r="T447"/>
  <c r="S447"/>
  <c r="R447"/>
  <c r="Q447"/>
  <c r="P447"/>
  <c r="O447"/>
  <c r="N447"/>
  <c r="M447"/>
  <c r="L447"/>
  <c r="K447"/>
  <c r="J447"/>
  <c r="I447"/>
  <c r="H447"/>
  <c r="AD446"/>
  <c r="AC446"/>
  <c r="AB446"/>
  <c r="AA446"/>
  <c r="Z446"/>
  <c r="Y446"/>
  <c r="X446"/>
  <c r="W446"/>
  <c r="V446"/>
  <c r="U446"/>
  <c r="T446"/>
  <c r="S446"/>
  <c r="R446"/>
  <c r="Q446"/>
  <c r="P446"/>
  <c r="O446"/>
  <c r="N446"/>
  <c r="M446"/>
  <c r="L446"/>
  <c r="K446"/>
  <c r="J446"/>
  <c r="I446"/>
  <c r="H446"/>
  <c r="AD495"/>
  <c r="CF23" i="29" s="1"/>
  <c r="AC495" i="26"/>
  <c r="CE23" i="29" s="1"/>
  <c r="AB495" i="26"/>
  <c r="CA23" i="29" s="1"/>
  <c r="AA495" i="26"/>
  <c r="BZ23" i="29" s="1"/>
  <c r="Z495" i="26"/>
  <c r="BY23" i="29" s="1"/>
  <c r="Y495" i="26"/>
  <c r="BX23" i="29" s="1"/>
  <c r="X495" i="26"/>
  <c r="BW23" i="29" s="1"/>
  <c r="W495" i="26"/>
  <c r="BV23" i="29" s="1"/>
  <c r="V495" i="26"/>
  <c r="BU23" i="29" s="1"/>
  <c r="U495" i="26"/>
  <c r="BT23" i="29" s="1"/>
  <c r="T495" i="26"/>
  <c r="BS23" i="29" s="1"/>
  <c r="S495" i="26"/>
  <c r="BR23" i="29" s="1"/>
  <c r="R495" i="26"/>
  <c r="BQ23" i="29" s="1"/>
  <c r="Q495" i="26"/>
  <c r="BP23" i="29" s="1"/>
  <c r="P495" i="26"/>
  <c r="BO23" i="29" s="1"/>
  <c r="O495" i="26"/>
  <c r="BN23" i="29" s="1"/>
  <c r="N495" i="26"/>
  <c r="BM23" i="29" s="1"/>
  <c r="M495" i="26"/>
  <c r="BL23" i="29" s="1"/>
  <c r="L495" i="26"/>
  <c r="BK23" i="29" s="1"/>
  <c r="K495" i="26"/>
  <c r="BJ23" i="29" s="1"/>
  <c r="J495" i="26"/>
  <c r="BI23" i="29" s="1"/>
  <c r="I495" i="26"/>
  <c r="BH23" i="29" s="1"/>
  <c r="H495" i="26"/>
  <c r="BG23" i="29" s="1"/>
  <c r="AD494" i="26"/>
  <c r="CF22" i="29" s="1"/>
  <c r="AC494" i="26"/>
  <c r="CE22" i="29" s="1"/>
  <c r="AB494" i="26"/>
  <c r="CA22" i="29" s="1"/>
  <c r="AA494" i="26"/>
  <c r="BZ22" i="29" s="1"/>
  <c r="Z494" i="26"/>
  <c r="BY22" i="29" s="1"/>
  <c r="Y494" i="26"/>
  <c r="BX22" i="29" s="1"/>
  <c r="X494" i="26"/>
  <c r="BW22" i="29" s="1"/>
  <c r="W494" i="26"/>
  <c r="BV22" i="29" s="1"/>
  <c r="V494" i="26"/>
  <c r="BU22" i="29" s="1"/>
  <c r="U494" i="26"/>
  <c r="BT22" i="29" s="1"/>
  <c r="T494" i="26"/>
  <c r="BS22" i="29" s="1"/>
  <c r="S494" i="26"/>
  <c r="BR22" i="29" s="1"/>
  <c r="R494" i="26"/>
  <c r="BQ22" i="29" s="1"/>
  <c r="Q494" i="26"/>
  <c r="BP22" i="29" s="1"/>
  <c r="P494" i="26"/>
  <c r="BO22" i="29" s="1"/>
  <c r="O494" i="26"/>
  <c r="BN22" i="29" s="1"/>
  <c r="N494" i="26"/>
  <c r="BM22" i="29" s="1"/>
  <c r="M494" i="26"/>
  <c r="BL22" i="29" s="1"/>
  <c r="L494" i="26"/>
  <c r="BK22" i="29" s="1"/>
  <c r="K494" i="26"/>
  <c r="BJ22" i="29" s="1"/>
  <c r="J494" i="26"/>
  <c r="BI22" i="29" s="1"/>
  <c r="I494" i="26"/>
  <c r="BH22" i="29" s="1"/>
  <c r="H494" i="26"/>
  <c r="BG22" i="29" s="1"/>
  <c r="AD493" i="26"/>
  <c r="CF21" i="29" s="1"/>
  <c r="AC493" i="26"/>
  <c r="CE21" i="29" s="1"/>
  <c r="AB493" i="26"/>
  <c r="AA493"/>
  <c r="Z493"/>
  <c r="Y493"/>
  <c r="X493"/>
  <c r="W493"/>
  <c r="V493"/>
  <c r="U493"/>
  <c r="T493"/>
  <c r="S493"/>
  <c r="R493"/>
  <c r="Q493"/>
  <c r="P493"/>
  <c r="O493"/>
  <c r="N493"/>
  <c r="M493"/>
  <c r="L493"/>
  <c r="K493"/>
  <c r="J493"/>
  <c r="I493"/>
  <c r="H493"/>
  <c r="AD492"/>
  <c r="CF20" i="29" s="1"/>
  <c r="AC492" i="26"/>
  <c r="CE20" i="29" s="1"/>
  <c r="AB492" i="26"/>
  <c r="CA20" i="29" s="1"/>
  <c r="AA492" i="26"/>
  <c r="BZ20" i="29" s="1"/>
  <c r="Z492" i="26"/>
  <c r="BY20" i="29" s="1"/>
  <c r="Y492" i="26"/>
  <c r="BX20" i="29" s="1"/>
  <c r="X492" i="26"/>
  <c r="BW20" i="29" s="1"/>
  <c r="W492" i="26"/>
  <c r="BV20" i="29" s="1"/>
  <c r="V492" i="26"/>
  <c r="BU20" i="29" s="1"/>
  <c r="U492" i="26"/>
  <c r="BT20" i="29" s="1"/>
  <c r="T492" i="26"/>
  <c r="BS20" i="29" s="1"/>
  <c r="S492" i="26"/>
  <c r="BR20" i="29" s="1"/>
  <c r="R492" i="26"/>
  <c r="BQ20" i="29" s="1"/>
  <c r="Q492" i="26"/>
  <c r="BP20" i="29" s="1"/>
  <c r="P492" i="26"/>
  <c r="BO20" i="29" s="1"/>
  <c r="O492" i="26"/>
  <c r="BN20" i="29" s="1"/>
  <c r="N492" i="26"/>
  <c r="BM20" i="29" s="1"/>
  <c r="M492" i="26"/>
  <c r="BL20" i="29" s="1"/>
  <c r="L492" i="26"/>
  <c r="BK20" i="29" s="1"/>
  <c r="K492" i="26"/>
  <c r="BJ20" i="29" s="1"/>
  <c r="J492" i="26"/>
  <c r="BI20" i="29" s="1"/>
  <c r="I492" i="26"/>
  <c r="BH20" i="29" s="1"/>
  <c r="H492" i="26"/>
  <c r="BG20" i="29" s="1"/>
  <c r="AD491" i="26"/>
  <c r="CF19" i="29" s="1"/>
  <c r="AC491" i="26"/>
  <c r="CE19" i="29" s="1"/>
  <c r="AB491" i="26"/>
  <c r="CA19" i="29" s="1"/>
  <c r="AA491" i="26"/>
  <c r="BZ19" i="29" s="1"/>
  <c r="Z491" i="26"/>
  <c r="BY19" i="29" s="1"/>
  <c r="Y491" i="26"/>
  <c r="BX19" i="29" s="1"/>
  <c r="X491" i="26"/>
  <c r="BW19" i="29" s="1"/>
  <c r="W491" i="26"/>
  <c r="BV19" i="29" s="1"/>
  <c r="V491" i="26"/>
  <c r="BU19" i="29" s="1"/>
  <c r="U491" i="26"/>
  <c r="BT19" i="29" s="1"/>
  <c r="T491" i="26"/>
  <c r="BS19" i="29" s="1"/>
  <c r="S491" i="26"/>
  <c r="BR19" i="29" s="1"/>
  <c r="R491" i="26"/>
  <c r="BQ19" i="29" s="1"/>
  <c r="Q491" i="26"/>
  <c r="BP19" i="29" s="1"/>
  <c r="P491" i="26"/>
  <c r="BO19" i="29" s="1"/>
  <c r="O491" i="26"/>
  <c r="BN19" i="29" s="1"/>
  <c r="N491" i="26"/>
  <c r="BM19" i="29" s="1"/>
  <c r="M491" i="26"/>
  <c r="BL19" i="29" s="1"/>
  <c r="L491" i="26"/>
  <c r="BK19" i="29" s="1"/>
  <c r="K491" i="26"/>
  <c r="BJ19" i="29" s="1"/>
  <c r="J491" i="26"/>
  <c r="BI19" i="29" s="1"/>
  <c r="I491" i="26"/>
  <c r="BH19" i="29" s="1"/>
  <c r="H491" i="26"/>
  <c r="BG19" i="29" s="1"/>
  <c r="AD490" i="26"/>
  <c r="CF18" i="29" s="1"/>
  <c r="AC490" i="26"/>
  <c r="CE18" i="29" s="1"/>
  <c r="AB490" i="26"/>
  <c r="CA18" i="29" s="1"/>
  <c r="AA490" i="26"/>
  <c r="BZ18" i="29" s="1"/>
  <c r="Z490" i="26"/>
  <c r="BY18" i="29" s="1"/>
  <c r="Y490" i="26"/>
  <c r="BX18" i="29" s="1"/>
  <c r="X490" i="26"/>
  <c r="BW18" i="29" s="1"/>
  <c r="W490" i="26"/>
  <c r="BV18" i="29" s="1"/>
  <c r="V490" i="26"/>
  <c r="BU18" i="29" s="1"/>
  <c r="U490" i="26"/>
  <c r="BT18" i="29" s="1"/>
  <c r="T490" i="26"/>
  <c r="BS18" i="29" s="1"/>
  <c r="S490" i="26"/>
  <c r="BR18" i="29" s="1"/>
  <c r="R490" i="26"/>
  <c r="BQ18" i="29" s="1"/>
  <c r="Q490" i="26"/>
  <c r="BP18" i="29" s="1"/>
  <c r="P490" i="26"/>
  <c r="BO18" i="29" s="1"/>
  <c r="O490" i="26"/>
  <c r="BN18" i="29" s="1"/>
  <c r="N490" i="26"/>
  <c r="BM18" i="29" s="1"/>
  <c r="M490" i="26"/>
  <c r="BL18" i="29" s="1"/>
  <c r="L490" i="26"/>
  <c r="BK18" i="29" s="1"/>
  <c r="K490" i="26"/>
  <c r="BJ18" i="29" s="1"/>
  <c r="J490" i="26"/>
  <c r="BI18" i="29" s="1"/>
  <c r="I490" i="26"/>
  <c r="BH18" i="29" s="1"/>
  <c r="H490" i="26"/>
  <c r="BG18" i="29" s="1"/>
  <c r="AD489" i="26"/>
  <c r="CF17" i="29" s="1"/>
  <c r="AC489" i="26"/>
  <c r="CE17" i="29" s="1"/>
  <c r="AB489" i="26"/>
  <c r="CA17" i="29" s="1"/>
  <c r="AA489" i="26"/>
  <c r="BZ17" i="29" s="1"/>
  <c r="Z489" i="26"/>
  <c r="BY17" i="29" s="1"/>
  <c r="Y489" i="26"/>
  <c r="BX17" i="29" s="1"/>
  <c r="X489" i="26"/>
  <c r="BW17" i="29" s="1"/>
  <c r="W489" i="26"/>
  <c r="BV17" i="29" s="1"/>
  <c r="V489" i="26"/>
  <c r="BU17" i="29" s="1"/>
  <c r="U489" i="26"/>
  <c r="BT17" i="29" s="1"/>
  <c r="T489" i="26"/>
  <c r="BS17" i="29" s="1"/>
  <c r="S489" i="26"/>
  <c r="BR17" i="29" s="1"/>
  <c r="R489" i="26"/>
  <c r="BQ17" i="29" s="1"/>
  <c r="Q489" i="26"/>
  <c r="BP17" i="29" s="1"/>
  <c r="P489" i="26"/>
  <c r="BO17" i="29" s="1"/>
  <c r="O489" i="26"/>
  <c r="BN17" i="29" s="1"/>
  <c r="N489" i="26"/>
  <c r="BM17" i="29" s="1"/>
  <c r="M489" i="26"/>
  <c r="BL17" i="29" s="1"/>
  <c r="L489" i="26"/>
  <c r="BK17" i="29" s="1"/>
  <c r="K489" i="26"/>
  <c r="BJ17" i="29" s="1"/>
  <c r="J489" i="26"/>
  <c r="BI17" i="29" s="1"/>
  <c r="I489" i="26"/>
  <c r="BH17" i="29" s="1"/>
  <c r="H489" i="26"/>
  <c r="BG17" i="29" s="1"/>
  <c r="AD488" i="26"/>
  <c r="CF16" i="29" s="1"/>
  <c r="AC488" i="26"/>
  <c r="CE16" i="29" s="1"/>
  <c r="AB488" i="26"/>
  <c r="CA16" i="29" s="1"/>
  <c r="AA488" i="26"/>
  <c r="BZ16" i="29" s="1"/>
  <c r="Z488" i="26"/>
  <c r="BY16" i="29" s="1"/>
  <c r="Y488" i="26"/>
  <c r="BX16" i="29" s="1"/>
  <c r="X488" i="26"/>
  <c r="BW16" i="29" s="1"/>
  <c r="W488" i="26"/>
  <c r="BV16" i="29" s="1"/>
  <c r="V488" i="26"/>
  <c r="BU16" i="29" s="1"/>
  <c r="U488" i="26"/>
  <c r="BT16" i="29" s="1"/>
  <c r="T488" i="26"/>
  <c r="BS16" i="29" s="1"/>
  <c r="S488" i="26"/>
  <c r="BR16" i="29" s="1"/>
  <c r="R488" i="26"/>
  <c r="BQ16" i="29" s="1"/>
  <c r="Q488" i="26"/>
  <c r="BP16" i="29" s="1"/>
  <c r="P488" i="26"/>
  <c r="BO16" i="29" s="1"/>
  <c r="O488" i="26"/>
  <c r="BN16" i="29" s="1"/>
  <c r="N488" i="26"/>
  <c r="BM16" i="29" s="1"/>
  <c r="M488" i="26"/>
  <c r="BL16" i="29" s="1"/>
  <c r="L488" i="26"/>
  <c r="BK16" i="29" s="1"/>
  <c r="K488" i="26"/>
  <c r="BJ16" i="29" s="1"/>
  <c r="J488" i="26"/>
  <c r="BI16" i="29" s="1"/>
  <c r="I488" i="26"/>
  <c r="BH16" i="29" s="1"/>
  <c r="H488" i="26"/>
  <c r="BG16" i="29" s="1"/>
  <c r="AD487" i="26"/>
  <c r="CF15" i="29" s="1"/>
  <c r="AC487" i="26"/>
  <c r="CE15" i="29" s="1"/>
  <c r="AB487" i="26"/>
  <c r="CA15" i="29" s="1"/>
  <c r="AA487" i="26"/>
  <c r="BZ15" i="29" s="1"/>
  <c r="Z487" i="26"/>
  <c r="BY15" i="29" s="1"/>
  <c r="Y487" i="26"/>
  <c r="BX15" i="29" s="1"/>
  <c r="X487" i="26"/>
  <c r="BW15" i="29" s="1"/>
  <c r="W487" i="26"/>
  <c r="BV15" i="29" s="1"/>
  <c r="V487" i="26"/>
  <c r="BU15" i="29" s="1"/>
  <c r="U487" i="26"/>
  <c r="BT15" i="29" s="1"/>
  <c r="T487" i="26"/>
  <c r="BS15" i="29" s="1"/>
  <c r="S487" i="26"/>
  <c r="BR15" i="29" s="1"/>
  <c r="R487" i="26"/>
  <c r="BQ15" i="29" s="1"/>
  <c r="Q487" i="26"/>
  <c r="BP15" i="29" s="1"/>
  <c r="P487" i="26"/>
  <c r="BO15" i="29" s="1"/>
  <c r="O487" i="26"/>
  <c r="BN15" i="29" s="1"/>
  <c r="N487" i="26"/>
  <c r="BM15" i="29" s="1"/>
  <c r="M487" i="26"/>
  <c r="BL15" i="29" s="1"/>
  <c r="L487" i="26"/>
  <c r="BK15" i="29" s="1"/>
  <c r="K487" i="26"/>
  <c r="BJ15" i="29" s="1"/>
  <c r="J487" i="26"/>
  <c r="BI15" i="29" s="1"/>
  <c r="I487" i="26"/>
  <c r="BH15" i="29" s="1"/>
  <c r="H487" i="26"/>
  <c r="BG15" i="29" s="1"/>
  <c r="AD485" i="26"/>
  <c r="CF13" i="29" s="1"/>
  <c r="AC485" i="26"/>
  <c r="CE13" i="29" s="1"/>
  <c r="AB485" i="26"/>
  <c r="CA13" i="29" s="1"/>
  <c r="AA485" i="26"/>
  <c r="BZ13" i="29" s="1"/>
  <c r="Z485" i="26"/>
  <c r="BY13" i="29" s="1"/>
  <c r="Y485" i="26"/>
  <c r="BX13" i="29" s="1"/>
  <c r="X485" i="26"/>
  <c r="BW13" i="29" s="1"/>
  <c r="W485" i="26"/>
  <c r="BV13" i="29" s="1"/>
  <c r="V485" i="26"/>
  <c r="BU13" i="29" s="1"/>
  <c r="U485" i="26"/>
  <c r="BT13" i="29" s="1"/>
  <c r="T485" i="26"/>
  <c r="BS13" i="29" s="1"/>
  <c r="S485" i="26"/>
  <c r="BR13" i="29" s="1"/>
  <c r="R485" i="26"/>
  <c r="BQ13" i="29" s="1"/>
  <c r="Q485" i="26"/>
  <c r="BP13" i="29" s="1"/>
  <c r="P485" i="26"/>
  <c r="BO13" i="29" s="1"/>
  <c r="O485" i="26"/>
  <c r="BN13" i="29" s="1"/>
  <c r="N485" i="26"/>
  <c r="BM13" i="29" s="1"/>
  <c r="M485" i="26"/>
  <c r="BL13" i="29" s="1"/>
  <c r="L485" i="26"/>
  <c r="BK13" i="29" s="1"/>
  <c r="K485" i="26"/>
  <c r="BJ13" i="29" s="1"/>
  <c r="J485" i="26"/>
  <c r="BI13" i="29" s="1"/>
  <c r="I485" i="26"/>
  <c r="BH13" i="29" s="1"/>
  <c r="H485" i="26"/>
  <c r="BG13" i="29" s="1"/>
  <c r="AD484" i="26"/>
  <c r="CF12" i="29" s="1"/>
  <c r="AC484" i="26"/>
  <c r="CE12" i="29" s="1"/>
  <c r="AB484" i="26"/>
  <c r="CA12" i="29" s="1"/>
  <c r="AA484" i="26"/>
  <c r="BZ12" i="29" s="1"/>
  <c r="Z484" i="26"/>
  <c r="BY12" i="29" s="1"/>
  <c r="Y484" i="26"/>
  <c r="BX12" i="29" s="1"/>
  <c r="X484" i="26"/>
  <c r="BW12" i="29" s="1"/>
  <c r="W484" i="26"/>
  <c r="BV12" i="29" s="1"/>
  <c r="V484" i="26"/>
  <c r="BU12" i="29" s="1"/>
  <c r="U484" i="26"/>
  <c r="BT12" i="29" s="1"/>
  <c r="T484" i="26"/>
  <c r="BS12" i="29" s="1"/>
  <c r="S484" i="26"/>
  <c r="BR12" i="29" s="1"/>
  <c r="R484" i="26"/>
  <c r="BQ12" i="29" s="1"/>
  <c r="Q484" i="26"/>
  <c r="BP12" i="29" s="1"/>
  <c r="P484" i="26"/>
  <c r="BO12" i="29" s="1"/>
  <c r="O484" i="26"/>
  <c r="BN12" i="29" s="1"/>
  <c r="N484" i="26"/>
  <c r="BM12" i="29" s="1"/>
  <c r="M484" i="26"/>
  <c r="BL12" i="29" s="1"/>
  <c r="L484" i="26"/>
  <c r="BK12" i="29" s="1"/>
  <c r="K484" i="26"/>
  <c r="BJ12" i="29" s="1"/>
  <c r="J484" i="26"/>
  <c r="BI12" i="29" s="1"/>
  <c r="I484" i="26"/>
  <c r="BH12" i="29" s="1"/>
  <c r="H484" i="26"/>
  <c r="BG12" i="29" s="1"/>
  <c r="AD483" i="26"/>
  <c r="CF11" i="29" s="1"/>
  <c r="AC483" i="26"/>
  <c r="CE11" i="29" s="1"/>
  <c r="AB483" i="26"/>
  <c r="AA483"/>
  <c r="Z483"/>
  <c r="Y483"/>
  <c r="X483"/>
  <c r="W483"/>
  <c r="V483"/>
  <c r="U483"/>
  <c r="T483"/>
  <c r="S483"/>
  <c r="R483"/>
  <c r="Q483"/>
  <c r="P483"/>
  <c r="O483"/>
  <c r="N483"/>
  <c r="M483"/>
  <c r="L483"/>
  <c r="K483"/>
  <c r="J483"/>
  <c r="I483"/>
  <c r="H483"/>
  <c r="AD482"/>
  <c r="CF10" i="29" s="1"/>
  <c r="AC482" i="26"/>
  <c r="CE10" i="29" s="1"/>
  <c r="AB482" i="26"/>
  <c r="AA482"/>
  <c r="Z482"/>
  <c r="Y482"/>
  <c r="X482"/>
  <c r="W482"/>
  <c r="V482"/>
  <c r="U482"/>
  <c r="T482"/>
  <c r="S482"/>
  <c r="R482"/>
  <c r="Q482"/>
  <c r="P482"/>
  <c r="O482"/>
  <c r="N482"/>
  <c r="M482"/>
  <c r="L482"/>
  <c r="K482"/>
  <c r="J482"/>
  <c r="I482"/>
  <c r="H482"/>
  <c r="AD481"/>
  <c r="CF9" i="29" s="1"/>
  <c r="AC481" i="26"/>
  <c r="CE9" i="29" s="1"/>
  <c r="AB481" i="26"/>
  <c r="AA481"/>
  <c r="Z481"/>
  <c r="Y481"/>
  <c r="X481"/>
  <c r="W481"/>
  <c r="V481"/>
  <c r="U481"/>
  <c r="T481"/>
  <c r="S481"/>
  <c r="R481"/>
  <c r="Q481"/>
  <c r="P481"/>
  <c r="O481"/>
  <c r="N481"/>
  <c r="M481"/>
  <c r="L481"/>
  <c r="K481"/>
  <c r="J481"/>
  <c r="I481"/>
  <c r="H481"/>
  <c r="AD480"/>
  <c r="CF8" i="29" s="1"/>
  <c r="AC480" i="26"/>
  <c r="CE8" i="29" s="1"/>
  <c r="AB480" i="26"/>
  <c r="AA480"/>
  <c r="Z480"/>
  <c r="Y480"/>
  <c r="X480"/>
  <c r="W480"/>
  <c r="V480"/>
  <c r="U480"/>
  <c r="T480"/>
  <c r="S480"/>
  <c r="R480"/>
  <c r="Q480"/>
  <c r="P480"/>
  <c r="O480"/>
  <c r="N480"/>
  <c r="M480"/>
  <c r="L480"/>
  <c r="K480"/>
  <c r="J480"/>
  <c r="I480"/>
  <c r="H480"/>
  <c r="AD479"/>
  <c r="CF7" i="29" s="1"/>
  <c r="AC479" i="26"/>
  <c r="CE7" i="29" s="1"/>
  <c r="AB479" i="26"/>
  <c r="CA7" i="29" s="1"/>
  <c r="AA479" i="26"/>
  <c r="BZ7" i="29" s="1"/>
  <c r="Z479" i="26"/>
  <c r="BY7" i="29" s="1"/>
  <c r="Y479" i="26"/>
  <c r="BX7" i="29" s="1"/>
  <c r="X479" i="26"/>
  <c r="BW7" i="29" s="1"/>
  <c r="W479" i="26"/>
  <c r="BV7" i="29" s="1"/>
  <c r="V479" i="26"/>
  <c r="BU7" i="29" s="1"/>
  <c r="U479" i="26"/>
  <c r="BT7" i="29" s="1"/>
  <c r="T479" i="26"/>
  <c r="BS7" i="29" s="1"/>
  <c r="S479" i="26"/>
  <c r="BR7" i="29" s="1"/>
  <c r="R479" i="26"/>
  <c r="BQ7" i="29" s="1"/>
  <c r="Q479" i="26"/>
  <c r="BP7" i="29" s="1"/>
  <c r="P479" i="26"/>
  <c r="BO7" i="29" s="1"/>
  <c r="O479" i="26"/>
  <c r="BN7" i="29" s="1"/>
  <c r="N479" i="26"/>
  <c r="BM7" i="29" s="1"/>
  <c r="M479" i="26"/>
  <c r="BL7" i="29" s="1"/>
  <c r="L479" i="26"/>
  <c r="BK7" i="29" s="1"/>
  <c r="K479" i="26"/>
  <c r="BJ7" i="29" s="1"/>
  <c r="J479" i="26"/>
  <c r="BI7" i="29" s="1"/>
  <c r="I479" i="26"/>
  <c r="BH7" i="29" s="1"/>
  <c r="H479" i="26"/>
  <c r="BG7" i="29" s="1"/>
  <c r="AD477" i="26"/>
  <c r="CF5" i="29" s="1"/>
  <c r="AC477" i="26"/>
  <c r="CE5" i="29" s="1"/>
  <c r="AB477" i="26"/>
  <c r="AA477"/>
  <c r="Z477"/>
  <c r="Y477"/>
  <c r="X477"/>
  <c r="W477"/>
  <c r="V477"/>
  <c r="U477"/>
  <c r="T477"/>
  <c r="S477"/>
  <c r="R477"/>
  <c r="Q477"/>
  <c r="P477"/>
  <c r="O477"/>
  <c r="N477"/>
  <c r="M477"/>
  <c r="L477"/>
  <c r="K477"/>
  <c r="J477"/>
  <c r="I477"/>
  <c r="BG5" i="29"/>
  <c r="AD476" i="26"/>
  <c r="CF4" i="29" s="1"/>
  <c r="AC476" i="26"/>
  <c r="CE4" i="29" s="1"/>
  <c r="AB476" i="26"/>
  <c r="AA476"/>
  <c r="Z476"/>
  <c r="Y476"/>
  <c r="X476"/>
  <c r="W476"/>
  <c r="V476"/>
  <c r="U476"/>
  <c r="T476"/>
  <c r="S476"/>
  <c r="R476"/>
  <c r="Q476"/>
  <c r="P476"/>
  <c r="O476"/>
  <c r="N476"/>
  <c r="M476"/>
  <c r="L476"/>
  <c r="K476"/>
  <c r="J476"/>
  <c r="I476"/>
  <c r="H476"/>
  <c r="AD475"/>
  <c r="CF3" i="29" s="1"/>
  <c r="AC475" i="26"/>
  <c r="CE3" i="29" s="1"/>
  <c r="AB475" i="26"/>
  <c r="CA3" i="29" s="1"/>
  <c r="AA475" i="26"/>
  <c r="BZ3" i="29" s="1"/>
  <c r="Z475" i="26"/>
  <c r="BY3" i="29" s="1"/>
  <c r="Y475" i="26"/>
  <c r="BX3" i="29" s="1"/>
  <c r="X475" i="26"/>
  <c r="BW3" i="29" s="1"/>
  <c r="W475" i="26"/>
  <c r="BV3" i="29" s="1"/>
  <c r="V475" i="26"/>
  <c r="BU3" i="29" s="1"/>
  <c r="U475" i="26"/>
  <c r="BT3" i="29" s="1"/>
  <c r="T475" i="26"/>
  <c r="BS3" i="29" s="1"/>
  <c r="S475" i="26"/>
  <c r="BR3" i="29" s="1"/>
  <c r="R475" i="26"/>
  <c r="BQ3" i="29" s="1"/>
  <c r="Q475" i="26"/>
  <c r="BP3" i="29" s="1"/>
  <c r="P475" i="26"/>
  <c r="BO3" i="29" s="1"/>
  <c r="O475" i="26"/>
  <c r="BN3" i="29" s="1"/>
  <c r="N475" i="26"/>
  <c r="BM3" i="29" s="1"/>
  <c r="M475" i="26"/>
  <c r="BL3" i="29" s="1"/>
  <c r="L475" i="26"/>
  <c r="BK3" i="29" s="1"/>
  <c r="K475" i="26"/>
  <c r="BJ3" i="29" s="1"/>
  <c r="J475" i="26"/>
  <c r="BI3" i="29" s="1"/>
  <c r="I475" i="26"/>
  <c r="BH3" i="29" s="1"/>
  <c r="BG3"/>
  <c r="AD474" i="26"/>
  <c r="CF2" i="29" s="1"/>
  <c r="AC474" i="26"/>
  <c r="CE2" i="29" s="1"/>
  <c r="AB474" i="26"/>
  <c r="CA2" i="29" s="1"/>
  <c r="AA474" i="26"/>
  <c r="BZ2" i="29" s="1"/>
  <c r="Z474" i="26"/>
  <c r="BY2" i="29" s="1"/>
  <c r="Y474" i="26"/>
  <c r="BX2" i="29" s="1"/>
  <c r="X474" i="26"/>
  <c r="BW2" i="29" s="1"/>
  <c r="W474" i="26"/>
  <c r="BV2" i="29" s="1"/>
  <c r="V474" i="26"/>
  <c r="BU2" i="29" s="1"/>
  <c r="U474" i="26"/>
  <c r="BT2" i="29" s="1"/>
  <c r="T474" i="26"/>
  <c r="BS2" i="29" s="1"/>
  <c r="S474" i="26"/>
  <c r="BR2" i="29" s="1"/>
  <c r="R474" i="26"/>
  <c r="BQ2" i="29" s="1"/>
  <c r="Q474" i="26"/>
  <c r="BP2" i="29" s="1"/>
  <c r="P474" i="26"/>
  <c r="BO2" i="29" s="1"/>
  <c r="O474" i="26"/>
  <c r="BN2" i="29" s="1"/>
  <c r="N474" i="26"/>
  <c r="BM2" i="29" s="1"/>
  <c r="M474" i="26"/>
  <c r="BL2" i="29" s="1"/>
  <c r="L474" i="26"/>
  <c r="BK2" i="29" s="1"/>
  <c r="K474" i="26"/>
  <c r="BJ2" i="29" s="1"/>
  <c r="J474" i="26"/>
  <c r="BI2" i="29" s="1"/>
  <c r="I474" i="26"/>
  <c r="BH2" i="29" s="1"/>
  <c r="H474" i="26"/>
  <c r="BG2" i="29" s="1"/>
  <c r="G475" i="26"/>
  <c r="G476" s="1"/>
  <c r="G477" s="1"/>
  <c r="G478" s="1"/>
  <c r="G479" s="1"/>
  <c r="G480" s="1"/>
  <c r="G481" s="1"/>
  <c r="G482" s="1"/>
  <c r="G483" s="1"/>
  <c r="G484" s="1"/>
  <c r="G485" s="1"/>
  <c r="G486" s="1"/>
  <c r="G487" s="1"/>
  <c r="G488" s="1"/>
  <c r="G489" s="1"/>
  <c r="G490" s="1"/>
  <c r="G491" s="1"/>
  <c r="G492" s="1"/>
  <c r="G493" s="1"/>
  <c r="G494" s="1"/>
  <c r="G495" s="1"/>
  <c r="I473"/>
  <c r="J473" s="1"/>
  <c r="K473" s="1"/>
  <c r="L473" s="1"/>
  <c r="M473" s="1"/>
  <c r="N473" s="1"/>
  <c r="O473" s="1"/>
  <c r="P473" s="1"/>
  <c r="Q473" s="1"/>
  <c r="R473" s="1"/>
  <c r="S473" s="1"/>
  <c r="T473" s="1"/>
  <c r="U473" s="1"/>
  <c r="V473" s="1"/>
  <c r="W473" s="1"/>
  <c r="X473" s="1"/>
  <c r="Y473" s="1"/>
  <c r="Z473" s="1"/>
  <c r="AA473" s="1"/>
  <c r="AB473" s="1"/>
  <c r="F490" l="1"/>
  <c r="F494"/>
  <c r="F488"/>
  <c r="F492"/>
  <c r="BI4" i="29"/>
  <c r="D15" i="34"/>
  <c r="D35" s="1"/>
  <c r="BM4" i="29"/>
  <c r="H15" i="34"/>
  <c r="H35" s="1"/>
  <c r="BQ4" i="29"/>
  <c r="L15" i="34"/>
  <c r="L35" s="1"/>
  <c r="BU4" i="29"/>
  <c r="P15" i="34"/>
  <c r="P35" s="1"/>
  <c r="BY4" i="29"/>
  <c r="T15" i="34"/>
  <c r="T35" s="1"/>
  <c r="BJ5" i="29"/>
  <c r="E5" i="33"/>
  <c r="BN5" i="29"/>
  <c r="I5" i="33"/>
  <c r="BT5" i="29"/>
  <c r="O5" i="33"/>
  <c r="BX5" i="29"/>
  <c r="S5" i="33"/>
  <c r="BZ5" i="29"/>
  <c r="U5" i="33"/>
  <c r="BH8" i="29"/>
  <c r="C10" i="34"/>
  <c r="C34" s="1"/>
  <c r="C10" i="33"/>
  <c r="BJ8" i="29"/>
  <c r="E10" i="34"/>
  <c r="E34" s="1"/>
  <c r="E10" i="33"/>
  <c r="BL8" i="29"/>
  <c r="G10" i="34"/>
  <c r="G34" s="1"/>
  <c r="G10" i="33"/>
  <c r="BN8" i="29"/>
  <c r="I10" i="34"/>
  <c r="I34" s="1"/>
  <c r="I10" i="33"/>
  <c r="BP8" i="29"/>
  <c r="K10" i="34"/>
  <c r="K34" s="1"/>
  <c r="K10" i="33"/>
  <c r="BR8" i="29"/>
  <c r="M10" i="34"/>
  <c r="M34" s="1"/>
  <c r="M10" i="33"/>
  <c r="BT8" i="29"/>
  <c r="O10" i="34"/>
  <c r="O34" s="1"/>
  <c r="O10" i="33"/>
  <c r="BV8" i="29"/>
  <c r="Q10" i="34"/>
  <c r="Q34" s="1"/>
  <c r="Q10" i="33"/>
  <c r="BX8" i="29"/>
  <c r="S10" i="34"/>
  <c r="S34" s="1"/>
  <c r="S10" i="33"/>
  <c r="BZ8" i="29"/>
  <c r="U10" i="34"/>
  <c r="U34" s="1"/>
  <c r="U10" i="33"/>
  <c r="BG9" i="29"/>
  <c r="B5" i="34"/>
  <c r="BI9" i="29"/>
  <c r="D5" i="34"/>
  <c r="D33" s="1"/>
  <c r="BK9" i="29"/>
  <c r="F5" i="34"/>
  <c r="F33" s="1"/>
  <c r="BM9" i="29"/>
  <c r="H5" i="34"/>
  <c r="H33" s="1"/>
  <c r="BO9" i="29"/>
  <c r="J5" i="34"/>
  <c r="J33" s="1"/>
  <c r="BQ9" i="29"/>
  <c r="L5" i="34"/>
  <c r="L33" s="1"/>
  <c r="BS9" i="29"/>
  <c r="N5" i="34"/>
  <c r="N33" s="1"/>
  <c r="BU9" i="29"/>
  <c r="P5" i="34"/>
  <c r="P33" s="1"/>
  <c r="BW9" i="29"/>
  <c r="R5" i="34"/>
  <c r="R33" s="1"/>
  <c r="BY9" i="29"/>
  <c r="T5" i="34"/>
  <c r="T33" s="1"/>
  <c r="CA9" i="29"/>
  <c r="V5" i="34"/>
  <c r="V33" s="1"/>
  <c r="BH10" i="29"/>
  <c r="C15" i="33"/>
  <c r="BJ10" i="29"/>
  <c r="E15" i="33"/>
  <c r="BL10" i="29"/>
  <c r="G15" i="33"/>
  <c r="BN10" i="29"/>
  <c r="I15" i="33"/>
  <c r="BP10" i="29"/>
  <c r="K15" i="33"/>
  <c r="BR10" i="29"/>
  <c r="M15" i="33"/>
  <c r="BT10" i="29"/>
  <c r="O15" i="33"/>
  <c r="BV10" i="29"/>
  <c r="Q15" i="33"/>
  <c r="BX10" i="29"/>
  <c r="S15" i="33"/>
  <c r="BZ10" i="29"/>
  <c r="U15" i="33"/>
  <c r="BG11" i="29"/>
  <c r="B20" i="34"/>
  <c r="B20" i="33"/>
  <c r="BI11" i="29"/>
  <c r="D20" i="34"/>
  <c r="D36" s="1"/>
  <c r="D20" i="33"/>
  <c r="BK11" i="29"/>
  <c r="F20" i="34"/>
  <c r="F36" s="1"/>
  <c r="F20" i="33"/>
  <c r="BM11" i="29"/>
  <c r="H20" i="34"/>
  <c r="H36" s="1"/>
  <c r="H20" i="33"/>
  <c r="BO11" i="29"/>
  <c r="J20" i="34"/>
  <c r="J36" s="1"/>
  <c r="J20" i="33"/>
  <c r="BQ11" i="29"/>
  <c r="L20" i="34"/>
  <c r="L36" s="1"/>
  <c r="L20" i="33"/>
  <c r="BS11" i="29"/>
  <c r="N20" i="34"/>
  <c r="N36" s="1"/>
  <c r="N20" i="33"/>
  <c r="BU11" i="29"/>
  <c r="P20" i="34"/>
  <c r="P36" s="1"/>
  <c r="P20" i="33"/>
  <c r="BW11" i="29"/>
  <c r="R20" i="34"/>
  <c r="R36" s="1"/>
  <c r="R20" i="33"/>
  <c r="BY11" i="29"/>
  <c r="T20" i="34"/>
  <c r="T36" s="1"/>
  <c r="T20" i="33"/>
  <c r="CA11" i="29"/>
  <c r="V20" i="34"/>
  <c r="V36" s="1"/>
  <c r="V20" i="33"/>
  <c r="BH21" i="29"/>
  <c r="C25" i="34"/>
  <c r="C37" s="1"/>
  <c r="C25" i="33"/>
  <c r="BJ21" i="29"/>
  <c r="E25" i="34"/>
  <c r="E37" s="1"/>
  <c r="E25" i="33"/>
  <c r="BL21" i="29"/>
  <c r="G25" i="34"/>
  <c r="G37" s="1"/>
  <c r="G25" i="33"/>
  <c r="BN21" i="29"/>
  <c r="I25" i="34"/>
  <c r="I37" s="1"/>
  <c r="I25" i="33"/>
  <c r="BP21" i="29"/>
  <c r="K25" i="34"/>
  <c r="K37" s="1"/>
  <c r="K25" i="33"/>
  <c r="BR21" i="29"/>
  <c r="M25" i="34"/>
  <c r="M37" s="1"/>
  <c r="M25" i="33"/>
  <c r="BT21" i="29"/>
  <c r="O25" i="34"/>
  <c r="O37" s="1"/>
  <c r="O25" i="33"/>
  <c r="BV21" i="29"/>
  <c r="Q25" i="34"/>
  <c r="Q37" s="1"/>
  <c r="Q25" i="33"/>
  <c r="BX21" i="29"/>
  <c r="S25" i="34"/>
  <c r="S37" s="1"/>
  <c r="S25" i="33"/>
  <c r="BZ21" i="29"/>
  <c r="U25" i="34"/>
  <c r="U37" s="1"/>
  <c r="U25" i="33"/>
  <c r="B9" i="34"/>
  <c r="B9" i="33"/>
  <c r="B28" i="27"/>
  <c r="D9" i="34"/>
  <c r="D9" i="33"/>
  <c r="D28" i="27"/>
  <c r="F9" i="34"/>
  <c r="F9" i="33"/>
  <c r="F28" i="27"/>
  <c r="H9" i="34"/>
  <c r="H9" i="33"/>
  <c r="H28" i="27"/>
  <c r="J9" i="34"/>
  <c r="J9" i="33"/>
  <c r="J28" i="27"/>
  <c r="L9" i="34"/>
  <c r="L9" i="33"/>
  <c r="L28" i="27"/>
  <c r="N9" i="34"/>
  <c r="N9" i="33"/>
  <c r="N28" i="27"/>
  <c r="P9" i="34"/>
  <c r="P9" i="33"/>
  <c r="P28" i="27"/>
  <c r="R9" i="34"/>
  <c r="R9" i="33"/>
  <c r="R28" i="27"/>
  <c r="T9" i="34"/>
  <c r="T9" i="33"/>
  <c r="T28" i="27"/>
  <c r="V9" i="34"/>
  <c r="V9" i="33"/>
  <c r="V28" i="27"/>
  <c r="C19" i="34"/>
  <c r="C19" i="33"/>
  <c r="E19" i="34"/>
  <c r="E19" i="33"/>
  <c r="G19" i="34"/>
  <c r="G19" i="33"/>
  <c r="I19" i="34"/>
  <c r="I19" i="33"/>
  <c r="K19" i="34"/>
  <c r="K19" i="33"/>
  <c r="M19" i="34"/>
  <c r="M19" i="33"/>
  <c r="O19" i="34"/>
  <c r="O19" i="33"/>
  <c r="Q19" i="34"/>
  <c r="Q19" i="33"/>
  <c r="S19" i="34"/>
  <c r="S19" i="33"/>
  <c r="U19" i="34"/>
  <c r="U19" i="33"/>
  <c r="C24" i="34"/>
  <c r="C24" i="33"/>
  <c r="E24" i="34"/>
  <c r="E24" i="33"/>
  <c r="G24" i="34"/>
  <c r="G24" i="33"/>
  <c r="I24" i="34"/>
  <c r="I24" i="33"/>
  <c r="K24" i="34"/>
  <c r="K24" i="33"/>
  <c r="M24" i="34"/>
  <c r="M24" i="33"/>
  <c r="O24" i="34"/>
  <c r="O24" i="33"/>
  <c r="Q24" i="34"/>
  <c r="Q24" i="33"/>
  <c r="S24" i="34"/>
  <c r="S24" i="33"/>
  <c r="U24" i="34"/>
  <c r="U24" i="33"/>
  <c r="W14"/>
  <c r="BG4" i="29"/>
  <c r="B15" i="34"/>
  <c r="BK4" i="29"/>
  <c r="F15" i="34"/>
  <c r="F35" s="1"/>
  <c r="BO4" i="29"/>
  <c r="J15" i="34"/>
  <c r="J35" s="1"/>
  <c r="BS4" i="29"/>
  <c r="N15" i="34"/>
  <c r="N35" s="1"/>
  <c r="BW4" i="29"/>
  <c r="R15" i="34"/>
  <c r="R35" s="1"/>
  <c r="CA4" i="29"/>
  <c r="V15" i="34"/>
  <c r="V35" s="1"/>
  <c r="BH5" i="29"/>
  <c r="C5" i="33"/>
  <c r="BL5" i="29"/>
  <c r="G5" i="33"/>
  <c r="BP5" i="29"/>
  <c r="K5" i="33"/>
  <c r="BR5" i="29"/>
  <c r="M5" i="33"/>
  <c r="BV5" i="29"/>
  <c r="Q5" i="33"/>
  <c r="BH4" i="29"/>
  <c r="C15" i="34"/>
  <c r="C35" s="1"/>
  <c r="BJ4" i="29"/>
  <c r="E15" i="34"/>
  <c r="E35" s="1"/>
  <c r="BL4" i="29"/>
  <c r="G15" i="34"/>
  <c r="G35" s="1"/>
  <c r="BN4" i="29"/>
  <c r="I15" i="34"/>
  <c r="I35" s="1"/>
  <c r="BP4" i="29"/>
  <c r="K15" i="34"/>
  <c r="K35" s="1"/>
  <c r="BR4" i="29"/>
  <c r="M15" i="34"/>
  <c r="M35" s="1"/>
  <c r="BT4" i="29"/>
  <c r="O15" i="34"/>
  <c r="O35" s="1"/>
  <c r="BV4" i="29"/>
  <c r="Q15" i="34"/>
  <c r="Q35" s="1"/>
  <c r="BX4" i="29"/>
  <c r="S15" i="34"/>
  <c r="S35" s="1"/>
  <c r="BZ4" i="29"/>
  <c r="U15" i="34"/>
  <c r="U35" s="1"/>
  <c r="BI5" i="29"/>
  <c r="D5" i="33"/>
  <c r="BK5" i="29"/>
  <c r="F5" i="33"/>
  <c r="BM5" i="29"/>
  <c r="H5" i="33"/>
  <c r="BO5" i="29"/>
  <c r="J5" i="33"/>
  <c r="BQ5" i="29"/>
  <c r="L5" i="33"/>
  <c r="BS5" i="29"/>
  <c r="N5" i="33"/>
  <c r="BU5" i="29"/>
  <c r="P5" i="33"/>
  <c r="BW5" i="29"/>
  <c r="R5" i="33"/>
  <c r="BY5" i="29"/>
  <c r="T5" i="33"/>
  <c r="CA5" i="29"/>
  <c r="V5" i="33"/>
  <c r="BG8" i="29"/>
  <c r="B10" i="34"/>
  <c r="B10" i="33"/>
  <c r="BI8" i="29"/>
  <c r="D10" i="34"/>
  <c r="D34" s="1"/>
  <c r="D10" i="33"/>
  <c r="BK8" i="29"/>
  <c r="F10" i="34"/>
  <c r="F34" s="1"/>
  <c r="F10" i="33"/>
  <c r="BM8" i="29"/>
  <c r="H10" i="34"/>
  <c r="H34" s="1"/>
  <c r="H10" i="33"/>
  <c r="BO8" i="29"/>
  <c r="J10" i="34"/>
  <c r="J34" s="1"/>
  <c r="J10" i="33"/>
  <c r="BQ8" i="29"/>
  <c r="L10" i="34"/>
  <c r="L34" s="1"/>
  <c r="L10" i="33"/>
  <c r="BS8" i="29"/>
  <c r="N10" i="34"/>
  <c r="N34" s="1"/>
  <c r="N10" i="33"/>
  <c r="BU8" i="29"/>
  <c r="P10" i="34"/>
  <c r="P34" s="1"/>
  <c r="P10" i="33"/>
  <c r="BW8" i="29"/>
  <c r="R10" i="34"/>
  <c r="R34" s="1"/>
  <c r="R10" i="33"/>
  <c r="BY8" i="29"/>
  <c r="T10" i="34"/>
  <c r="T34" s="1"/>
  <c r="T10" i="33"/>
  <c r="CA8" i="29"/>
  <c r="V10" i="34"/>
  <c r="V34" s="1"/>
  <c r="V10" i="33"/>
  <c r="BH9" i="29"/>
  <c r="C5" i="34"/>
  <c r="C33" s="1"/>
  <c r="BJ9" i="29"/>
  <c r="E5" i="34"/>
  <c r="E33" s="1"/>
  <c r="BL9" i="29"/>
  <c r="G5" i="34"/>
  <c r="G33" s="1"/>
  <c r="BN9" i="29"/>
  <c r="I5" i="34"/>
  <c r="I33" s="1"/>
  <c r="BP9" i="29"/>
  <c r="K5" i="34"/>
  <c r="K33" s="1"/>
  <c r="BR9" i="29"/>
  <c r="M5" i="34"/>
  <c r="M33" s="1"/>
  <c r="BT9" i="29"/>
  <c r="O5" i="34"/>
  <c r="O33" s="1"/>
  <c r="BV9" i="29"/>
  <c r="Q5" i="34"/>
  <c r="Q33" s="1"/>
  <c r="BX9" i="29"/>
  <c r="S5" i="34"/>
  <c r="S33" s="1"/>
  <c r="BZ9" i="29"/>
  <c r="U5" i="34"/>
  <c r="U33" s="1"/>
  <c r="BG10" i="29"/>
  <c r="B15" i="33"/>
  <c r="BI10" i="29"/>
  <c r="D15" i="33"/>
  <c r="BK10" i="29"/>
  <c r="F15" i="33"/>
  <c r="BM10" i="29"/>
  <c r="H15" i="33"/>
  <c r="BO10" i="29"/>
  <c r="J15" i="33"/>
  <c r="BQ10" i="29"/>
  <c r="L15" i="33"/>
  <c r="BS10" i="29"/>
  <c r="N15" i="33"/>
  <c r="BU10" i="29"/>
  <c r="P15" i="33"/>
  <c r="BW10" i="29"/>
  <c r="R15" i="33"/>
  <c r="BY10" i="29"/>
  <c r="T15" i="33"/>
  <c r="CA10" i="29"/>
  <c r="V15" i="33"/>
  <c r="BH11" i="29"/>
  <c r="C20" i="34"/>
  <c r="C36" s="1"/>
  <c r="C20" i="33"/>
  <c r="BJ11" i="29"/>
  <c r="E20" i="34"/>
  <c r="E36" s="1"/>
  <c r="E20" i="33"/>
  <c r="BL11" i="29"/>
  <c r="G20" i="33"/>
  <c r="G20" i="34"/>
  <c r="G36" s="1"/>
  <c r="BN11" i="29"/>
  <c r="I20" i="33"/>
  <c r="I20" i="34"/>
  <c r="I36" s="1"/>
  <c r="BP11" i="29"/>
  <c r="K20" i="33"/>
  <c r="K20" i="34"/>
  <c r="K36" s="1"/>
  <c r="BR11" i="29"/>
  <c r="M20" i="33"/>
  <c r="M20" i="34"/>
  <c r="M36" s="1"/>
  <c r="BT11" i="29"/>
  <c r="O20" i="33"/>
  <c r="O20" i="34"/>
  <c r="O36" s="1"/>
  <c r="BV11" i="29"/>
  <c r="Q20" i="33"/>
  <c r="Q20" i="34"/>
  <c r="Q36" s="1"/>
  <c r="BX11" i="29"/>
  <c r="S20" i="33"/>
  <c r="S20" i="34"/>
  <c r="S36" s="1"/>
  <c r="BZ11" i="29"/>
  <c r="U20" i="33"/>
  <c r="U20" i="34"/>
  <c r="U36" s="1"/>
  <c r="BG21" i="29"/>
  <c r="B25" i="34"/>
  <c r="B25" i="33"/>
  <c r="BI21" i="29"/>
  <c r="D25" i="34"/>
  <c r="D37" s="1"/>
  <c r="D25" i="33"/>
  <c r="BK21" i="29"/>
  <c r="F25" i="34"/>
  <c r="F37" s="1"/>
  <c r="F25" i="33"/>
  <c r="BM21" i="29"/>
  <c r="H25" i="34"/>
  <c r="H37" s="1"/>
  <c r="H25" i="33"/>
  <c r="BO21" i="29"/>
  <c r="J25" i="34"/>
  <c r="J37" s="1"/>
  <c r="J25" i="33"/>
  <c r="BQ21" i="29"/>
  <c r="L25" i="34"/>
  <c r="L37" s="1"/>
  <c r="L25" i="33"/>
  <c r="BS21" i="29"/>
  <c r="N25" i="34"/>
  <c r="N37" s="1"/>
  <c r="N25" i="33"/>
  <c r="BU21" i="29"/>
  <c r="P25" i="34"/>
  <c r="P37" s="1"/>
  <c r="P25" i="33"/>
  <c r="BW21" i="29"/>
  <c r="R25" i="34"/>
  <c r="R37" s="1"/>
  <c r="R25" i="33"/>
  <c r="BY21" i="29"/>
  <c r="T25" i="34"/>
  <c r="T37" s="1"/>
  <c r="T25" i="33"/>
  <c r="CA21" i="29"/>
  <c r="V25" i="34"/>
  <c r="V37" s="1"/>
  <c r="V25" i="33"/>
  <c r="C9" i="34"/>
  <c r="C28" i="27"/>
  <c r="C9" i="33"/>
  <c r="E9" i="34"/>
  <c r="E28" i="27"/>
  <c r="E9" i="33"/>
  <c r="G9" i="34"/>
  <c r="G28" i="27"/>
  <c r="G9" i="33"/>
  <c r="I9" i="34"/>
  <c r="I28" i="27"/>
  <c r="I9" i="33"/>
  <c r="K9" i="34"/>
  <c r="K28" i="27"/>
  <c r="K9" i="33"/>
  <c r="M9" i="34"/>
  <c r="M28" i="27"/>
  <c r="M9" i="33"/>
  <c r="O9" i="34"/>
  <c r="O28" i="27"/>
  <c r="O9" i="33"/>
  <c r="Q9" i="34"/>
  <c r="Q28" i="27"/>
  <c r="Q9" i="33"/>
  <c r="S9" i="34"/>
  <c r="S28" i="27"/>
  <c r="S9" i="33"/>
  <c r="U9" i="34"/>
  <c r="U28" i="27"/>
  <c r="U9" i="33"/>
  <c r="B19" i="34"/>
  <c r="B19" i="33"/>
  <c r="D19" i="34"/>
  <c r="D19" i="33"/>
  <c r="F19" i="34"/>
  <c r="F19" i="33"/>
  <c r="H19" i="34"/>
  <c r="H19" i="33"/>
  <c r="J19" i="34"/>
  <c r="J19" i="33"/>
  <c r="L19" i="34"/>
  <c r="L19" i="33"/>
  <c r="N19" i="34"/>
  <c r="N19" i="33"/>
  <c r="P19" i="34"/>
  <c r="P19" i="33"/>
  <c r="R19" i="34"/>
  <c r="R19" i="33"/>
  <c r="T19" i="34"/>
  <c r="T19" i="33"/>
  <c r="V19" i="34"/>
  <c r="V19" i="33"/>
  <c r="B24" i="34"/>
  <c r="B24" i="33"/>
  <c r="D24" i="34"/>
  <c r="D24" i="33"/>
  <c r="F24" i="34"/>
  <c r="F24" i="33"/>
  <c r="H24" i="34"/>
  <c r="H24" i="33"/>
  <c r="J24" i="34"/>
  <c r="J24" i="33"/>
  <c r="L24" i="34"/>
  <c r="L24" i="33"/>
  <c r="N24" i="34"/>
  <c r="N24" i="33"/>
  <c r="P24" i="34"/>
  <c r="P24" i="33"/>
  <c r="R24" i="34"/>
  <c r="R24" i="33"/>
  <c r="T24" i="34"/>
  <c r="T24" i="33"/>
  <c r="V24" i="34"/>
  <c r="V24" i="33"/>
  <c r="W4"/>
  <c r="F483" i="26"/>
  <c r="F481"/>
  <c r="F485"/>
  <c r="F480"/>
  <c r="F482"/>
  <c r="F484"/>
  <c r="F487"/>
  <c r="F489"/>
  <c r="F491"/>
  <c r="F493"/>
  <c r="F495"/>
  <c r="CE24" i="29"/>
  <c r="CC19"/>
  <c r="F477" i="26"/>
  <c r="U496"/>
  <c r="Q496"/>
  <c r="AA496"/>
  <c r="F476"/>
  <c r="F479"/>
  <c r="M496"/>
  <c r="S496"/>
  <c r="Y496"/>
  <c r="AC496"/>
  <c r="CF24" i="29"/>
  <c r="O496" i="26"/>
  <c r="CC17" i="29"/>
  <c r="CB19"/>
  <c r="CC23"/>
  <c r="K496" i="26"/>
  <c r="CB23" i="29"/>
  <c r="I496" i="26"/>
  <c r="CB7" i="29"/>
  <c r="CC7"/>
  <c r="CB13"/>
  <c r="CC13"/>
  <c r="CB16"/>
  <c r="CC16"/>
  <c r="CB18"/>
  <c r="CC18"/>
  <c r="CB20"/>
  <c r="CC20"/>
  <c r="CB22"/>
  <c r="CC22"/>
  <c r="W496" i="26"/>
  <c r="H496"/>
  <c r="J496"/>
  <c r="L496"/>
  <c r="N496"/>
  <c r="P496"/>
  <c r="R496"/>
  <c r="T496"/>
  <c r="V496"/>
  <c r="X496"/>
  <c r="Z496"/>
  <c r="AB496"/>
  <c r="AD496"/>
  <c r="F475"/>
  <c r="CB3" i="29"/>
  <c r="CC3"/>
  <c r="CB12"/>
  <c r="CC12"/>
  <c r="CB15"/>
  <c r="CC15"/>
  <c r="CB17"/>
  <c r="CB2"/>
  <c r="CC2"/>
  <c r="F474" i="26"/>
  <c r="BR24" i="29" l="1"/>
  <c r="CC10"/>
  <c r="CC9"/>
  <c r="CB9"/>
  <c r="CC5"/>
  <c r="BS24"/>
  <c r="CB10"/>
  <c r="CC4"/>
  <c r="CA24"/>
  <c r="BK24"/>
  <c r="BX24"/>
  <c r="BH24"/>
  <c r="CD17"/>
  <c r="CC8"/>
  <c r="BV24"/>
  <c r="BL24"/>
  <c r="BW24"/>
  <c r="BO24"/>
  <c r="BG24"/>
  <c r="CC21"/>
  <c r="CC11"/>
  <c r="CB8"/>
  <c r="BY24"/>
  <c r="BU24"/>
  <c r="BQ24"/>
  <c r="BM24"/>
  <c r="BI24"/>
  <c r="BZ24"/>
  <c r="BT24"/>
  <c r="BP24"/>
  <c r="BN24"/>
  <c r="BJ24"/>
  <c r="CB5"/>
  <c r="CD5" s="1"/>
  <c r="CB4"/>
  <c r="CD4" s="1"/>
  <c r="CB21"/>
  <c r="CB11"/>
  <c r="V30" i="34"/>
  <c r="V38" s="1"/>
  <c r="V39" s="1"/>
  <c r="V30" i="33"/>
  <c r="T30" i="34"/>
  <c r="T38" s="1"/>
  <c r="T39" s="1"/>
  <c r="T30" i="33"/>
  <c r="P30" i="34"/>
  <c r="P38" s="1"/>
  <c r="P39" s="1"/>
  <c r="P30" i="33"/>
  <c r="L30" i="34"/>
  <c r="L38" s="1"/>
  <c r="L39" s="1"/>
  <c r="L30" i="33"/>
  <c r="H30" i="34"/>
  <c r="H38" s="1"/>
  <c r="H39" s="1"/>
  <c r="H30" i="33"/>
  <c r="D30" i="34"/>
  <c r="D38" s="1"/>
  <c r="D39" s="1"/>
  <c r="D30" i="33"/>
  <c r="Q30" i="34"/>
  <c r="Q38" s="1"/>
  <c r="Q39" s="1"/>
  <c r="Q30" i="33"/>
  <c r="M30" i="34"/>
  <c r="M38" s="1"/>
  <c r="M39" s="1"/>
  <c r="M30" i="33"/>
  <c r="U30" i="34"/>
  <c r="U38" s="1"/>
  <c r="U39" s="1"/>
  <c r="U30" i="33"/>
  <c r="O30" i="34"/>
  <c r="O38" s="1"/>
  <c r="O39" s="1"/>
  <c r="O30" i="33"/>
  <c r="W10" i="34"/>
  <c r="B34"/>
  <c r="W34" s="1"/>
  <c r="B35"/>
  <c r="W35" s="1"/>
  <c r="W15"/>
  <c r="W24" i="33"/>
  <c r="W19"/>
  <c r="W25"/>
  <c r="W5"/>
  <c r="W9"/>
  <c r="W20"/>
  <c r="R30" i="34"/>
  <c r="R38" s="1"/>
  <c r="R39" s="1"/>
  <c r="R30" i="33"/>
  <c r="N30" i="34"/>
  <c r="N38" s="1"/>
  <c r="N39" s="1"/>
  <c r="N30" i="33"/>
  <c r="J30" i="34"/>
  <c r="J38" s="1"/>
  <c r="J39" s="1"/>
  <c r="J30" i="33"/>
  <c r="F30" i="34"/>
  <c r="F38" s="1"/>
  <c r="F39" s="1"/>
  <c r="F30" i="33"/>
  <c r="B30" i="34"/>
  <c r="B30" i="33"/>
  <c r="C30" i="34"/>
  <c r="C38" s="1"/>
  <c r="C39" s="1"/>
  <c r="C30" i="33"/>
  <c r="E30" i="34"/>
  <c r="E38" s="1"/>
  <c r="E39" s="1"/>
  <c r="E30" i="33"/>
  <c r="I30" i="34"/>
  <c r="I38" s="1"/>
  <c r="I39" s="1"/>
  <c r="I30" i="33"/>
  <c r="S30" i="34"/>
  <c r="S38" s="1"/>
  <c r="S39" s="1"/>
  <c r="S30" i="33"/>
  <c r="G30" i="34"/>
  <c r="G38" s="1"/>
  <c r="G39" s="1"/>
  <c r="G30" i="33"/>
  <c r="K30" i="34"/>
  <c r="K38" s="1"/>
  <c r="K39" s="1"/>
  <c r="K30" i="33"/>
  <c r="W25" i="34"/>
  <c r="B37"/>
  <c r="W37" s="1"/>
  <c r="W20"/>
  <c r="B36"/>
  <c r="W36" s="1"/>
  <c r="B33"/>
  <c r="W33" s="1"/>
  <c r="W5"/>
  <c r="W24"/>
  <c r="W19"/>
  <c r="W15" i="33"/>
  <c r="W10"/>
  <c r="W9" i="34"/>
  <c r="CD23" i="29"/>
  <c r="CD19"/>
  <c r="CD16"/>
  <c r="CD7"/>
  <c r="F496" i="26"/>
  <c r="CD15" i="29"/>
  <c r="CD20"/>
  <c r="CD12"/>
  <c r="CD3"/>
  <c r="CD22"/>
  <c r="CD18"/>
  <c r="CD13"/>
  <c r="CD2"/>
  <c r="CD9" l="1"/>
  <c r="CB24"/>
  <c r="CD10"/>
  <c r="CD21"/>
  <c r="CC24"/>
  <c r="CD11"/>
  <c r="CK2" a="1"/>
  <c r="CK3" s="1"/>
  <c r="CD8"/>
  <c r="B38" i="34"/>
  <c r="W30"/>
  <c r="W30" i="33"/>
  <c r="BB1" i="29"/>
  <c r="BA1"/>
  <c r="AZ1"/>
  <c r="CD24" l="1"/>
  <c r="B39" i="34"/>
  <c r="W39" s="1"/>
  <c r="W38"/>
  <c r="CK4" i="29"/>
  <c r="CK12"/>
  <c r="CK20"/>
  <c r="CK10"/>
  <c r="CK18"/>
  <c r="CK21"/>
  <c r="CK13"/>
  <c r="CK5"/>
  <c r="CK15"/>
  <c r="CK7"/>
  <c r="CK8"/>
  <c r="CK16"/>
  <c r="CK6"/>
  <c r="CK14"/>
  <c r="CK22"/>
  <c r="CK17"/>
  <c r="CK9"/>
  <c r="CK19"/>
  <c r="CK11"/>
  <c r="CK2"/>
  <c r="AA23"/>
  <c r="V88" i="27"/>
  <c r="T88"/>
  <c r="S88"/>
  <c r="R88"/>
  <c r="Q88"/>
  <c r="P88"/>
  <c r="O88"/>
  <c r="N88"/>
  <c r="M88"/>
  <c r="L88"/>
  <c r="K88"/>
  <c r="J88"/>
  <c r="I88"/>
  <c r="H88"/>
  <c r="G88"/>
  <c r="F88"/>
  <c r="E88"/>
  <c r="D88"/>
  <c r="C88"/>
  <c r="AA22" i="29"/>
  <c r="Z22"/>
  <c r="V84" i="27"/>
  <c r="U84"/>
  <c r="T84"/>
  <c r="S84"/>
  <c r="R22" i="29"/>
  <c r="Q22"/>
  <c r="P84" i="27"/>
  <c r="O84"/>
  <c r="N22" i="29"/>
  <c r="M84" i="27"/>
  <c r="L84"/>
  <c r="K84"/>
  <c r="J84"/>
  <c r="I84"/>
  <c r="H22" i="29"/>
  <c r="G22"/>
  <c r="F22"/>
  <c r="E84" i="27"/>
  <c r="D84"/>
  <c r="C22" i="29"/>
  <c r="AA21"/>
  <c r="Z21"/>
  <c r="V21"/>
  <c r="U21"/>
  <c r="T80" i="27"/>
  <c r="S21" i="29"/>
  <c r="R80" i="27"/>
  <c r="Q21" i="29"/>
  <c r="P21"/>
  <c r="O21"/>
  <c r="N21"/>
  <c r="M21"/>
  <c r="L21"/>
  <c r="K21"/>
  <c r="J80" i="27"/>
  <c r="I21" i="29"/>
  <c r="H80" i="27"/>
  <c r="G21" i="29"/>
  <c r="F21"/>
  <c r="E21"/>
  <c r="D80" i="27"/>
  <c r="C21" i="29"/>
  <c r="AA20"/>
  <c r="Z20"/>
  <c r="V20"/>
  <c r="U76" i="27"/>
  <c r="T20" i="29"/>
  <c r="S20"/>
  <c r="R20"/>
  <c r="Q20"/>
  <c r="P20"/>
  <c r="O20"/>
  <c r="N20"/>
  <c r="M20"/>
  <c r="L20"/>
  <c r="K20"/>
  <c r="J76" i="27"/>
  <c r="I20" i="29"/>
  <c r="H20"/>
  <c r="G20"/>
  <c r="F20"/>
  <c r="E20"/>
  <c r="D76" i="27"/>
  <c r="C76"/>
  <c r="AA19" i="29"/>
  <c r="Z19"/>
  <c r="V19"/>
  <c r="U19"/>
  <c r="T72" i="27"/>
  <c r="S72"/>
  <c r="R72"/>
  <c r="Q19" i="29"/>
  <c r="P19"/>
  <c r="O19"/>
  <c r="N72" i="27"/>
  <c r="M19" i="29"/>
  <c r="L72" i="27"/>
  <c r="K19" i="29"/>
  <c r="J19"/>
  <c r="I72" i="27"/>
  <c r="H19" i="29"/>
  <c r="G19"/>
  <c r="F19"/>
  <c r="E72" i="27"/>
  <c r="D19" i="29"/>
  <c r="C19"/>
  <c r="AA18"/>
  <c r="Z18"/>
  <c r="V68" i="27"/>
  <c r="U68"/>
  <c r="T18" i="29"/>
  <c r="S18"/>
  <c r="R68" i="27"/>
  <c r="Q18" i="29"/>
  <c r="P68" i="27"/>
  <c r="O18" i="29"/>
  <c r="N18"/>
  <c r="M18"/>
  <c r="L18"/>
  <c r="K18"/>
  <c r="J18"/>
  <c r="I18"/>
  <c r="H18"/>
  <c r="G18"/>
  <c r="F18"/>
  <c r="E68" i="27"/>
  <c r="D68"/>
  <c r="C18" i="29"/>
  <c r="AA17"/>
  <c r="Z17"/>
  <c r="V17"/>
  <c r="U64" i="27"/>
  <c r="T17" i="29"/>
  <c r="S64" i="27"/>
  <c r="R17" i="29"/>
  <c r="Q17"/>
  <c r="P17"/>
  <c r="O17"/>
  <c r="N64" i="27"/>
  <c r="M17" i="29"/>
  <c r="L17"/>
  <c r="K64" i="27"/>
  <c r="J17" i="29"/>
  <c r="I17"/>
  <c r="H17"/>
  <c r="G64" i="27"/>
  <c r="F64"/>
  <c r="E17" i="29"/>
  <c r="D17"/>
  <c r="C17"/>
  <c r="AA16"/>
  <c r="Z16"/>
  <c r="V16"/>
  <c r="U16"/>
  <c r="T16"/>
  <c r="S60" i="27"/>
  <c r="R16" i="29"/>
  <c r="Q16"/>
  <c r="P16"/>
  <c r="O16"/>
  <c r="N16"/>
  <c r="M60" i="27"/>
  <c r="L16" i="29"/>
  <c r="K60" i="27"/>
  <c r="J16" i="29"/>
  <c r="I16"/>
  <c r="H60" i="27"/>
  <c r="G60"/>
  <c r="F16" i="29"/>
  <c r="E16"/>
  <c r="D16"/>
  <c r="C16"/>
  <c r="AA15"/>
  <c r="Z15"/>
  <c r="V56" i="27"/>
  <c r="U15" i="29"/>
  <c r="T56" i="27"/>
  <c r="S15" i="29"/>
  <c r="R15"/>
  <c r="Q56" i="27"/>
  <c r="P56"/>
  <c r="O15" i="29"/>
  <c r="N15"/>
  <c r="M15"/>
  <c r="L15"/>
  <c r="K56" i="27"/>
  <c r="J15" i="29"/>
  <c r="I15"/>
  <c r="H15"/>
  <c r="G15"/>
  <c r="F56" i="27"/>
  <c r="E15" i="29"/>
  <c r="D15"/>
  <c r="C15"/>
  <c r="AA13"/>
  <c r="Z13"/>
  <c r="V13"/>
  <c r="U48" i="27"/>
  <c r="T13" i="29"/>
  <c r="S13"/>
  <c r="R13"/>
  <c r="Q48" i="27"/>
  <c r="P13" i="29"/>
  <c r="O48" i="27"/>
  <c r="N13" i="29"/>
  <c r="M13"/>
  <c r="L13"/>
  <c r="K13"/>
  <c r="J13"/>
  <c r="I13"/>
  <c r="H13"/>
  <c r="G48" i="27"/>
  <c r="F13" i="29"/>
  <c r="E13"/>
  <c r="D13"/>
  <c r="C48" i="27"/>
  <c r="AA12" i="29"/>
  <c r="Z12"/>
  <c r="V44" i="27"/>
  <c r="U12" i="29"/>
  <c r="T44" i="27"/>
  <c r="S44"/>
  <c r="R44"/>
  <c r="Q44"/>
  <c r="P44"/>
  <c r="O44"/>
  <c r="N44"/>
  <c r="M12" i="29"/>
  <c r="L44" i="27"/>
  <c r="K44"/>
  <c r="J44"/>
  <c r="I12" i="29"/>
  <c r="H44" i="27"/>
  <c r="G44"/>
  <c r="F44"/>
  <c r="E44"/>
  <c r="D44"/>
  <c r="C44"/>
  <c r="AA11" i="29"/>
  <c r="Z11"/>
  <c r="V11"/>
  <c r="U11"/>
  <c r="T11"/>
  <c r="S40" i="27"/>
  <c r="R11" i="29"/>
  <c r="Q11"/>
  <c r="P11"/>
  <c r="O40" i="27"/>
  <c r="N11" i="29"/>
  <c r="M11"/>
  <c r="L11"/>
  <c r="K40" i="27"/>
  <c r="J11" i="29"/>
  <c r="I11"/>
  <c r="H11"/>
  <c r="G40" i="27"/>
  <c r="F11" i="29"/>
  <c r="E11"/>
  <c r="D11"/>
  <c r="C40" i="27"/>
  <c r="AA10" i="29"/>
  <c r="Z10"/>
  <c r="V36" i="27"/>
  <c r="U10" i="29"/>
  <c r="T36" i="27"/>
  <c r="S10" i="29"/>
  <c r="R36" i="27"/>
  <c r="Q10" i="29"/>
  <c r="P36" i="27"/>
  <c r="O10" i="29"/>
  <c r="N36" i="27"/>
  <c r="M10" i="29"/>
  <c r="L36" i="27"/>
  <c r="K10" i="29"/>
  <c r="J36" i="27"/>
  <c r="I10" i="29"/>
  <c r="H36" i="27"/>
  <c r="G10" i="29"/>
  <c r="F36" i="27"/>
  <c r="E10" i="29"/>
  <c r="D36" i="27"/>
  <c r="C10" i="29"/>
  <c r="AA9"/>
  <c r="Z9"/>
  <c r="V9"/>
  <c r="U9"/>
  <c r="T9"/>
  <c r="S32" i="27"/>
  <c r="R9" i="29"/>
  <c r="Q9"/>
  <c r="P9"/>
  <c r="O32" i="27"/>
  <c r="N9" i="29"/>
  <c r="M9"/>
  <c r="L9"/>
  <c r="K32" i="27"/>
  <c r="J9" i="29"/>
  <c r="I9"/>
  <c r="H9"/>
  <c r="G32" i="27"/>
  <c r="F9" i="29"/>
  <c r="E9"/>
  <c r="C32" i="27"/>
  <c r="AA8" i="29"/>
  <c r="Z8"/>
  <c r="U8"/>
  <c r="T8"/>
  <c r="S8"/>
  <c r="R8"/>
  <c r="Q8"/>
  <c r="P8"/>
  <c r="O8"/>
  <c r="N8"/>
  <c r="L8"/>
  <c r="K8"/>
  <c r="I8"/>
  <c r="H8"/>
  <c r="G8"/>
  <c r="F8"/>
  <c r="E8"/>
  <c r="D8"/>
  <c r="C8"/>
  <c r="AA7"/>
  <c r="Z7"/>
  <c r="V7"/>
  <c r="T7"/>
  <c r="S7"/>
  <c r="R7"/>
  <c r="Q7"/>
  <c r="P7"/>
  <c r="O7"/>
  <c r="N7"/>
  <c r="M7"/>
  <c r="L7"/>
  <c r="K7"/>
  <c r="J7"/>
  <c r="I7"/>
  <c r="H7"/>
  <c r="G7"/>
  <c r="F7"/>
  <c r="E24" i="27"/>
  <c r="D7" i="29"/>
  <c r="C7"/>
  <c r="AA5"/>
  <c r="Z5"/>
  <c r="V16" i="27"/>
  <c r="U5" i="29"/>
  <c r="T16" i="27"/>
  <c r="S5" i="29"/>
  <c r="R16" i="27"/>
  <c r="Q5" i="29"/>
  <c r="P16" i="27"/>
  <c r="O5" i="29"/>
  <c r="N16" i="27"/>
  <c r="M5" i="29"/>
  <c r="L16" i="27"/>
  <c r="K5" i="29"/>
  <c r="J16" i="27"/>
  <c r="I16"/>
  <c r="H16"/>
  <c r="G5" i="29"/>
  <c r="F16" i="27"/>
  <c r="E5" i="29"/>
  <c r="D5"/>
  <c r="C5"/>
  <c r="AA4"/>
  <c r="Z4"/>
  <c r="V4"/>
  <c r="U4"/>
  <c r="T4"/>
  <c r="S12" i="27"/>
  <c r="R4" i="29"/>
  <c r="Q4"/>
  <c r="P4"/>
  <c r="O12" i="27"/>
  <c r="N4" i="29"/>
  <c r="M4"/>
  <c r="L4"/>
  <c r="K12" i="27"/>
  <c r="J4" i="29"/>
  <c r="I4"/>
  <c r="H4"/>
  <c r="G12" i="27"/>
  <c r="F4" i="29"/>
  <c r="E4"/>
  <c r="D4"/>
  <c r="C12" i="27"/>
  <c r="AA3" i="29"/>
  <c r="Z3"/>
  <c r="V8" i="27"/>
  <c r="U3" i="29"/>
  <c r="T8" i="27"/>
  <c r="S3" i="29"/>
  <c r="R8" i="27"/>
  <c r="Q3" i="29"/>
  <c r="P8" i="27"/>
  <c r="O3" i="29"/>
  <c r="N8" i="27"/>
  <c r="M3" i="29"/>
  <c r="L8" i="27"/>
  <c r="K3" i="29"/>
  <c r="J8" i="27"/>
  <c r="I3" i="29"/>
  <c r="H8" i="27"/>
  <c r="G3" i="29"/>
  <c r="F8" i="27"/>
  <c r="E3" i="29"/>
  <c r="D3"/>
  <c r="C3"/>
  <c r="AA2"/>
  <c r="V2"/>
  <c r="U2"/>
  <c r="Z468" i="26"/>
  <c r="T24" i="29" s="1"/>
  <c r="S2"/>
  <c r="R2"/>
  <c r="Q2"/>
  <c r="P2"/>
  <c r="O2"/>
  <c r="N2"/>
  <c r="M2"/>
  <c r="R468" i="26"/>
  <c r="L24" i="29" s="1"/>
  <c r="K4" i="27"/>
  <c r="J2" i="29"/>
  <c r="I2"/>
  <c r="H2"/>
  <c r="G2"/>
  <c r="F2"/>
  <c r="E2"/>
  <c r="J468" i="26"/>
  <c r="D24" i="29" s="1"/>
  <c r="C2"/>
  <c r="B23"/>
  <c r="B22"/>
  <c r="B21"/>
  <c r="B20"/>
  <c r="B19"/>
  <c r="B18"/>
  <c r="B16"/>
  <c r="B13"/>
  <c r="B12"/>
  <c r="B9"/>
  <c r="B24" i="27"/>
  <c r="B5" i="29"/>
  <c r="B4"/>
  <c r="B3"/>
  <c r="B4" i="27"/>
  <c r="Z23" i="29"/>
  <c r="V23"/>
  <c r="U23"/>
  <c r="T23"/>
  <c r="S23"/>
  <c r="R23"/>
  <c r="Q23"/>
  <c r="P23"/>
  <c r="O23"/>
  <c r="N23"/>
  <c r="M23"/>
  <c r="L23"/>
  <c r="K23"/>
  <c r="J23"/>
  <c r="I23"/>
  <c r="H23"/>
  <c r="G23"/>
  <c r="F23"/>
  <c r="E23"/>
  <c r="D23"/>
  <c r="C23"/>
  <c r="V22"/>
  <c r="U22"/>
  <c r="T22"/>
  <c r="S22"/>
  <c r="P22"/>
  <c r="M22"/>
  <c r="L22"/>
  <c r="K22"/>
  <c r="J22"/>
  <c r="I22"/>
  <c r="T21"/>
  <c r="L19"/>
  <c r="U17"/>
  <c r="K16"/>
  <c r="C13"/>
  <c r="K11"/>
  <c r="J10"/>
  <c r="K9"/>
  <c r="V8"/>
  <c r="M8"/>
  <c r="J8"/>
  <c r="U7"/>
  <c r="AA1"/>
  <c r="Z1"/>
  <c r="CM23"/>
  <c r="CM22"/>
  <c r="CM21"/>
  <c r="CM20"/>
  <c r="CM19"/>
  <c r="CM18"/>
  <c r="CM17"/>
  <c r="CM16"/>
  <c r="CM15"/>
  <c r="A13"/>
  <c r="CM13" s="1"/>
  <c r="A12"/>
  <c r="CM12" s="1"/>
  <c r="A11"/>
  <c r="CM11" s="1"/>
  <c r="A10"/>
  <c r="CM10" s="1"/>
  <c r="CM31" s="1"/>
  <c r="A9"/>
  <c r="CM9" s="1"/>
  <c r="A8"/>
  <c r="CM8" s="1"/>
  <c r="A7"/>
  <c r="CM7" s="1"/>
  <c r="A5"/>
  <c r="CM5" s="1"/>
  <c r="CM32" s="1"/>
  <c r="A4"/>
  <c r="CM4" s="1"/>
  <c r="A3"/>
  <c r="CM3" s="1"/>
  <c r="A2"/>
  <c r="CM2" s="1"/>
  <c r="U24" i="27"/>
  <c r="V48"/>
  <c r="V64"/>
  <c r="T68"/>
  <c r="L68"/>
  <c r="J68"/>
  <c r="V72"/>
  <c r="U88"/>
  <c r="G447" i="26"/>
  <c r="G448" s="1"/>
  <c r="G449" s="1"/>
  <c r="G450" s="1"/>
  <c r="G451" s="1"/>
  <c r="G452" s="1"/>
  <c r="G453" s="1"/>
  <c r="G454" s="1"/>
  <c r="G455" s="1"/>
  <c r="G456" s="1"/>
  <c r="G457" s="1"/>
  <c r="G458" s="1"/>
  <c r="G459" s="1"/>
  <c r="G460" s="1"/>
  <c r="G461" s="1"/>
  <c r="G462" s="1"/>
  <c r="G463" s="1"/>
  <c r="G464" s="1"/>
  <c r="G465" s="1"/>
  <c r="G466" s="1"/>
  <c r="G467" s="1"/>
  <c r="I445"/>
  <c r="J445" s="1"/>
  <c r="K445" s="1"/>
  <c r="L445" s="1"/>
  <c r="M445" s="1"/>
  <c r="N445" s="1"/>
  <c r="O445" s="1"/>
  <c r="P445" s="1"/>
  <c r="Q445" s="1"/>
  <c r="R445" s="1"/>
  <c r="S445" s="1"/>
  <c r="T445" s="1"/>
  <c r="U445" s="1"/>
  <c r="V445" s="1"/>
  <c r="W445" s="1"/>
  <c r="X445" s="1"/>
  <c r="Y445" s="1"/>
  <c r="Z445" s="1"/>
  <c r="AA445" s="1"/>
  <c r="AB445" s="1"/>
  <c r="K423"/>
  <c r="AH4" i="29" s="1"/>
  <c r="AD442" i="26"/>
  <c r="BD23" i="29" s="1"/>
  <c r="AC442" i="26"/>
  <c r="AB442"/>
  <c r="AY23" i="29" s="1"/>
  <c r="AA442" i="26"/>
  <c r="AX23" i="29" s="1"/>
  <c r="Z442" i="26"/>
  <c r="AW23" i="29" s="1"/>
  <c r="Y442" i="26"/>
  <c r="AV23" i="29" s="1"/>
  <c r="X442" i="26"/>
  <c r="AU23" i="29" s="1"/>
  <c r="W442" i="26"/>
  <c r="AT23" i="29" s="1"/>
  <c r="V442" i="26"/>
  <c r="AS23" i="29" s="1"/>
  <c r="U442" i="26"/>
  <c r="AR23" i="29" s="1"/>
  <c r="T442" i="26"/>
  <c r="AQ23" i="29" s="1"/>
  <c r="S442" i="26"/>
  <c r="AP23" i="29" s="1"/>
  <c r="R442" i="26"/>
  <c r="AO23" i="29" s="1"/>
  <c r="Q442" i="26"/>
  <c r="AN23" i="29" s="1"/>
  <c r="P442" i="26"/>
  <c r="AM23" i="29" s="1"/>
  <c r="O442" i="26"/>
  <c r="AL23" i="29" s="1"/>
  <c r="N442" i="26"/>
  <c r="AK23" i="29" s="1"/>
  <c r="M442" i="26"/>
  <c r="AJ23" i="29" s="1"/>
  <c r="L442" i="26"/>
  <c r="AI23" i="29" s="1"/>
  <c r="K442" i="26"/>
  <c r="AH23" i="29" s="1"/>
  <c r="J442" i="26"/>
  <c r="AG23" i="29" s="1"/>
  <c r="I442" i="26"/>
  <c r="AF23" i="29" s="1"/>
  <c r="H442" i="26"/>
  <c r="AE23" i="29" s="1"/>
  <c r="AD441" i="26"/>
  <c r="BD22" i="29" s="1"/>
  <c r="AC441" i="26"/>
  <c r="AB441"/>
  <c r="AY22" i="29" s="1"/>
  <c r="AA441" i="26"/>
  <c r="AX22" i="29" s="1"/>
  <c r="Z441" i="26"/>
  <c r="AW22" i="29" s="1"/>
  <c r="Y441" i="26"/>
  <c r="AV22" i="29" s="1"/>
  <c r="X441" i="26"/>
  <c r="AU22" i="29" s="1"/>
  <c r="W441" i="26"/>
  <c r="AT22" i="29" s="1"/>
  <c r="V441" i="26"/>
  <c r="AS22" i="29" s="1"/>
  <c r="U441" i="26"/>
  <c r="AR22" i="29" s="1"/>
  <c r="T441" i="26"/>
  <c r="AQ22" i="29" s="1"/>
  <c r="S441" i="26"/>
  <c r="AP22" i="29" s="1"/>
  <c r="R441" i="26"/>
  <c r="AO22" i="29" s="1"/>
  <c r="Q441" i="26"/>
  <c r="AN22" i="29" s="1"/>
  <c r="P441" i="26"/>
  <c r="AM22" i="29" s="1"/>
  <c r="O441" i="26"/>
  <c r="AL22" i="29" s="1"/>
  <c r="N441" i="26"/>
  <c r="AK22" i="29" s="1"/>
  <c r="M441" i="26"/>
  <c r="AJ22" i="29" s="1"/>
  <c r="L441" i="26"/>
  <c r="AI22" i="29" s="1"/>
  <c r="K441" i="26"/>
  <c r="AH22" i="29" s="1"/>
  <c r="J441" i="26"/>
  <c r="AG22" i="29" s="1"/>
  <c r="I441" i="26"/>
  <c r="AF22" i="29" s="1"/>
  <c r="H441" i="26"/>
  <c r="AE22" i="29" s="1"/>
  <c r="AD440" i="26"/>
  <c r="BD21" i="29" s="1"/>
  <c r="AC440" i="26"/>
  <c r="AB440"/>
  <c r="AA440"/>
  <c r="Z440"/>
  <c r="Y440"/>
  <c r="X440"/>
  <c r="W440"/>
  <c r="V440"/>
  <c r="U440"/>
  <c r="T440"/>
  <c r="S440"/>
  <c r="R440"/>
  <c r="Q440"/>
  <c r="P440"/>
  <c r="O440"/>
  <c r="N440"/>
  <c r="M440"/>
  <c r="L440"/>
  <c r="K440"/>
  <c r="J440"/>
  <c r="I440"/>
  <c r="H440"/>
  <c r="AD439"/>
  <c r="BD20" i="29" s="1"/>
  <c r="AC439" i="26"/>
  <c r="AB439"/>
  <c r="AY20" i="29" s="1"/>
  <c r="AA439" i="26"/>
  <c r="AX20" i="29" s="1"/>
  <c r="Z439" i="26"/>
  <c r="AW20" i="29" s="1"/>
  <c r="Y439" i="26"/>
  <c r="AV20" i="29" s="1"/>
  <c r="X439" i="26"/>
  <c r="AU20" i="29" s="1"/>
  <c r="W439" i="26"/>
  <c r="AT20" i="29" s="1"/>
  <c r="V439" i="26"/>
  <c r="AS20" i="29" s="1"/>
  <c r="U439" i="26"/>
  <c r="AR20" i="29" s="1"/>
  <c r="T439" i="26"/>
  <c r="AQ20" i="29" s="1"/>
  <c r="S439" i="26"/>
  <c r="AP20" i="29" s="1"/>
  <c r="R439" i="26"/>
  <c r="AO20" i="29" s="1"/>
  <c r="Q439" i="26"/>
  <c r="AN20" i="29" s="1"/>
  <c r="P439" i="26"/>
  <c r="AM20" i="29" s="1"/>
  <c r="O439" i="26"/>
  <c r="AL20" i="29" s="1"/>
  <c r="N439" i="26"/>
  <c r="AK20" i="29" s="1"/>
  <c r="M439" i="26"/>
  <c r="AJ20" i="29" s="1"/>
  <c r="L439" i="26"/>
  <c r="AI20" i="29" s="1"/>
  <c r="K439" i="26"/>
  <c r="AH20" i="29" s="1"/>
  <c r="J439" i="26"/>
  <c r="AG20" i="29" s="1"/>
  <c r="I439" i="26"/>
  <c r="AF20" i="29" s="1"/>
  <c r="H439" i="26"/>
  <c r="AE20" i="29" s="1"/>
  <c r="AD438" i="26"/>
  <c r="BD19" i="29" s="1"/>
  <c r="AC438" i="26"/>
  <c r="AB438"/>
  <c r="AY19" i="29" s="1"/>
  <c r="AA438" i="26"/>
  <c r="AX19" i="29" s="1"/>
  <c r="Z438" i="26"/>
  <c r="AW19" i="29" s="1"/>
  <c r="Y438" i="26"/>
  <c r="AV19" i="29" s="1"/>
  <c r="X438" i="26"/>
  <c r="AU19" i="29" s="1"/>
  <c r="W438" i="26"/>
  <c r="AT19" i="29" s="1"/>
  <c r="V438" i="26"/>
  <c r="AS19" i="29" s="1"/>
  <c r="U438" i="26"/>
  <c r="AR19" i="29" s="1"/>
  <c r="T438" i="26"/>
  <c r="AQ19" i="29" s="1"/>
  <c r="S438" i="26"/>
  <c r="AP19" i="29" s="1"/>
  <c r="R438" i="26"/>
  <c r="AO19" i="29" s="1"/>
  <c r="Q438" i="26"/>
  <c r="AN19" i="29" s="1"/>
  <c r="P438" i="26"/>
  <c r="AM19" i="29" s="1"/>
  <c r="O438" i="26"/>
  <c r="AL19" i="29" s="1"/>
  <c r="N438" i="26"/>
  <c r="AK19" i="29" s="1"/>
  <c r="M438" i="26"/>
  <c r="AJ19" i="29" s="1"/>
  <c r="L438" i="26"/>
  <c r="AI19" i="29" s="1"/>
  <c r="K438" i="26"/>
  <c r="AH19" i="29" s="1"/>
  <c r="J438" i="26"/>
  <c r="AG19" i="29" s="1"/>
  <c r="I438" i="26"/>
  <c r="AF19" i="29" s="1"/>
  <c r="H438" i="26"/>
  <c r="AE19" i="29" s="1"/>
  <c r="AD437" i="26"/>
  <c r="BD18" i="29" s="1"/>
  <c r="AC437" i="26"/>
  <c r="AB437"/>
  <c r="AY18" i="29" s="1"/>
  <c r="AA437" i="26"/>
  <c r="AX18" i="29" s="1"/>
  <c r="Z437" i="26"/>
  <c r="AW18" i="29" s="1"/>
  <c r="Y437" i="26"/>
  <c r="AV18" i="29" s="1"/>
  <c r="X437" i="26"/>
  <c r="AU18" i="29" s="1"/>
  <c r="W437" i="26"/>
  <c r="AT18" i="29" s="1"/>
  <c r="V437" i="26"/>
  <c r="AS18" i="29" s="1"/>
  <c r="U437" i="26"/>
  <c r="AR18" i="29" s="1"/>
  <c r="T437" i="26"/>
  <c r="AQ18" i="29" s="1"/>
  <c r="S437" i="26"/>
  <c r="AP18" i="29" s="1"/>
  <c r="R437" i="26"/>
  <c r="AO18" i="29" s="1"/>
  <c r="Q437" i="26"/>
  <c r="AN18" i="29" s="1"/>
  <c r="P437" i="26"/>
  <c r="AM18" i="29" s="1"/>
  <c r="O437" i="26"/>
  <c r="AL18" i="29" s="1"/>
  <c r="N437" i="26"/>
  <c r="AK18" i="29" s="1"/>
  <c r="M437" i="26"/>
  <c r="AJ18" i="29" s="1"/>
  <c r="L437" i="26"/>
  <c r="AI18" i="29" s="1"/>
  <c r="K437" i="26"/>
  <c r="AH18" i="29" s="1"/>
  <c r="J437" i="26"/>
  <c r="AG18" i="29" s="1"/>
  <c r="I437" i="26"/>
  <c r="AF18" i="29" s="1"/>
  <c r="H437" i="26"/>
  <c r="AE18" i="29" s="1"/>
  <c r="AD436" i="26"/>
  <c r="BD17" i="29" s="1"/>
  <c r="AC436" i="26"/>
  <c r="AB436"/>
  <c r="AY17" i="29" s="1"/>
  <c r="AA436" i="26"/>
  <c r="AX17" i="29" s="1"/>
  <c r="Z436" i="26"/>
  <c r="AW17" i="29" s="1"/>
  <c r="Y436" i="26"/>
  <c r="AV17" i="29" s="1"/>
  <c r="X436" i="26"/>
  <c r="AU17" i="29" s="1"/>
  <c r="W436" i="26"/>
  <c r="AT17" i="29" s="1"/>
  <c r="V436" i="26"/>
  <c r="AS17" i="29" s="1"/>
  <c r="U436" i="26"/>
  <c r="AR17" i="29" s="1"/>
  <c r="T436" i="26"/>
  <c r="AQ17" i="29" s="1"/>
  <c r="S436" i="26"/>
  <c r="AP17" i="29" s="1"/>
  <c r="R436" i="26"/>
  <c r="AO17" i="29" s="1"/>
  <c r="Q436" i="26"/>
  <c r="AN17" i="29" s="1"/>
  <c r="P436" i="26"/>
  <c r="AM17" i="29" s="1"/>
  <c r="O436" i="26"/>
  <c r="AL17" i="29" s="1"/>
  <c r="N436" i="26"/>
  <c r="AK17" i="29" s="1"/>
  <c r="M436" i="26"/>
  <c r="AJ17" i="29" s="1"/>
  <c r="L436" i="26"/>
  <c r="AI17" i="29" s="1"/>
  <c r="K436" i="26"/>
  <c r="AH17" i="29" s="1"/>
  <c r="J436" i="26"/>
  <c r="AG17" i="29" s="1"/>
  <c r="I436" i="26"/>
  <c r="AF17" i="29" s="1"/>
  <c r="H436" i="26"/>
  <c r="AE17" i="29" s="1"/>
  <c r="AD435" i="26"/>
  <c r="BD16" i="29" s="1"/>
  <c r="AC435" i="26"/>
  <c r="AB435"/>
  <c r="AY16" i="29" s="1"/>
  <c r="AA435" i="26"/>
  <c r="AX16" i="29" s="1"/>
  <c r="Z435" i="26"/>
  <c r="AW16" i="29" s="1"/>
  <c r="Y435" i="26"/>
  <c r="AV16" i="29" s="1"/>
  <c r="X435" i="26"/>
  <c r="AU16" i="29" s="1"/>
  <c r="W435" i="26"/>
  <c r="AT16" i="29" s="1"/>
  <c r="V435" i="26"/>
  <c r="AS16" i="29" s="1"/>
  <c r="U435" i="26"/>
  <c r="AR16" i="29" s="1"/>
  <c r="T435" i="26"/>
  <c r="AQ16" i="29" s="1"/>
  <c r="S435" i="26"/>
  <c r="AP16" i="29" s="1"/>
  <c r="R435" i="26"/>
  <c r="AO16" i="29" s="1"/>
  <c r="Q435" i="26"/>
  <c r="AN16" i="29" s="1"/>
  <c r="P435" i="26"/>
  <c r="AM16" i="29" s="1"/>
  <c r="O435" i="26"/>
  <c r="AL16" i="29" s="1"/>
  <c r="N435" i="26"/>
  <c r="AK16" i="29" s="1"/>
  <c r="M435" i="26"/>
  <c r="AJ16" i="29" s="1"/>
  <c r="L435" i="26"/>
  <c r="AI16" i="29" s="1"/>
  <c r="K435" i="26"/>
  <c r="AH16" i="29" s="1"/>
  <c r="J435" i="26"/>
  <c r="AG16" i="29" s="1"/>
  <c r="I435" i="26"/>
  <c r="AF16" i="29" s="1"/>
  <c r="H435" i="26"/>
  <c r="AE16" i="29" s="1"/>
  <c r="AD434" i="26"/>
  <c r="BD15" i="29" s="1"/>
  <c r="AC434" i="26"/>
  <c r="AB434"/>
  <c r="AY15" i="29" s="1"/>
  <c r="AA434" i="26"/>
  <c r="AX15" i="29" s="1"/>
  <c r="Z434" i="26"/>
  <c r="AW15" i="29" s="1"/>
  <c r="Y434" i="26"/>
  <c r="AV15" i="29" s="1"/>
  <c r="X434" i="26"/>
  <c r="AU15" i="29" s="1"/>
  <c r="W434" i="26"/>
  <c r="AT15" i="29" s="1"/>
  <c r="V434" i="26"/>
  <c r="AS15" i="29" s="1"/>
  <c r="U434" i="26"/>
  <c r="AR15" i="29" s="1"/>
  <c r="T434" i="26"/>
  <c r="AQ15" i="29" s="1"/>
  <c r="S434" i="26"/>
  <c r="AP15" i="29" s="1"/>
  <c r="R434" i="26"/>
  <c r="AO15" i="29" s="1"/>
  <c r="Q434" i="26"/>
  <c r="AN15" i="29" s="1"/>
  <c r="P434" i="26"/>
  <c r="AM15" i="29" s="1"/>
  <c r="O434" i="26"/>
  <c r="AL15" i="29" s="1"/>
  <c r="N434" i="26"/>
  <c r="AK15" i="29" s="1"/>
  <c r="M434" i="26"/>
  <c r="AJ15" i="29" s="1"/>
  <c r="L434" i="26"/>
  <c r="AI15" i="29" s="1"/>
  <c r="K434" i="26"/>
  <c r="AH15" i="29" s="1"/>
  <c r="J434" i="26"/>
  <c r="AG15" i="29" s="1"/>
  <c r="I434" i="26"/>
  <c r="H434"/>
  <c r="AE15" i="29" s="1"/>
  <c r="AD432" i="26"/>
  <c r="BD13" i="29" s="1"/>
  <c r="AC432" i="26"/>
  <c r="AB432"/>
  <c r="AY13" i="29" s="1"/>
  <c r="AA432" i="26"/>
  <c r="AX13" i="29" s="1"/>
  <c r="Z432" i="26"/>
  <c r="AW13" i="29" s="1"/>
  <c r="Y432" i="26"/>
  <c r="AV13" i="29" s="1"/>
  <c r="X432" i="26"/>
  <c r="AU13" i="29" s="1"/>
  <c r="W432" i="26"/>
  <c r="AT13" i="29" s="1"/>
  <c r="V432" i="26"/>
  <c r="AS13" i="29" s="1"/>
  <c r="U432" i="26"/>
  <c r="AR13" i="29" s="1"/>
  <c r="T432" i="26"/>
  <c r="AQ13" i="29" s="1"/>
  <c r="S432" i="26"/>
  <c r="AP13" i="29" s="1"/>
  <c r="R432" i="26"/>
  <c r="AO13" i="29" s="1"/>
  <c r="Q432" i="26"/>
  <c r="AN13" i="29" s="1"/>
  <c r="P432" i="26"/>
  <c r="AM13" i="29" s="1"/>
  <c r="O432" i="26"/>
  <c r="AL13" i="29" s="1"/>
  <c r="N432" i="26"/>
  <c r="AK13" i="29" s="1"/>
  <c r="M432" i="26"/>
  <c r="AJ13" i="29" s="1"/>
  <c r="L432" i="26"/>
  <c r="AI13" i="29" s="1"/>
  <c r="K432" i="26"/>
  <c r="AH13" i="29" s="1"/>
  <c r="J432" i="26"/>
  <c r="AG13" i="29" s="1"/>
  <c r="I432" i="26"/>
  <c r="AF13" i="29" s="1"/>
  <c r="H432" i="26"/>
  <c r="AE13" i="29" s="1"/>
  <c r="AD431" i="26"/>
  <c r="BD12" i="29" s="1"/>
  <c r="AC431" i="26"/>
  <c r="AB431"/>
  <c r="AY12" i="29" s="1"/>
  <c r="AA431" i="26"/>
  <c r="AX12" i="29" s="1"/>
  <c r="Z431" i="26"/>
  <c r="AW12" i="29" s="1"/>
  <c r="Y431" i="26"/>
  <c r="AV12" i="29" s="1"/>
  <c r="X431" i="26"/>
  <c r="AU12" i="29" s="1"/>
  <c r="W431" i="26"/>
  <c r="AT12" i="29" s="1"/>
  <c r="V431" i="26"/>
  <c r="AS12" i="29" s="1"/>
  <c r="U431" i="26"/>
  <c r="AR12" i="29" s="1"/>
  <c r="T431" i="26"/>
  <c r="AQ12" i="29" s="1"/>
  <c r="S431" i="26"/>
  <c r="AP12" i="29" s="1"/>
  <c r="R431" i="26"/>
  <c r="AO12" i="29" s="1"/>
  <c r="Q431" i="26"/>
  <c r="AN12" i="29" s="1"/>
  <c r="P431" i="26"/>
  <c r="AM12" i="29" s="1"/>
  <c r="O431" i="26"/>
  <c r="AL12" i="29" s="1"/>
  <c r="N431" i="26"/>
  <c r="AK12" i="29" s="1"/>
  <c r="M431" i="26"/>
  <c r="AJ12" i="29" s="1"/>
  <c r="L431" i="26"/>
  <c r="AI12" i="29" s="1"/>
  <c r="K431" i="26"/>
  <c r="AH12" i="29" s="1"/>
  <c r="J431" i="26"/>
  <c r="AG12" i="29" s="1"/>
  <c r="I431" i="26"/>
  <c r="H431"/>
  <c r="AE12" i="29" s="1"/>
  <c r="AD430" i="26"/>
  <c r="BD11" i="29" s="1"/>
  <c r="AC430" i="26"/>
  <c r="AB430"/>
  <c r="AA430"/>
  <c r="Z430"/>
  <c r="Y430"/>
  <c r="X430"/>
  <c r="W430"/>
  <c r="V430"/>
  <c r="U430"/>
  <c r="T430"/>
  <c r="S430"/>
  <c r="R430"/>
  <c r="Q430"/>
  <c r="P430"/>
  <c r="O430"/>
  <c r="N430"/>
  <c r="M430"/>
  <c r="L430"/>
  <c r="K430"/>
  <c r="J430"/>
  <c r="I430"/>
  <c r="H430"/>
  <c r="AD429"/>
  <c r="BD10" i="29" s="1"/>
  <c r="AC429" i="26"/>
  <c r="AB429"/>
  <c r="AA429"/>
  <c r="Z429"/>
  <c r="Y429"/>
  <c r="X429"/>
  <c r="W429"/>
  <c r="V429"/>
  <c r="U429"/>
  <c r="T429"/>
  <c r="S429"/>
  <c r="R429"/>
  <c r="Q429"/>
  <c r="P429"/>
  <c r="O429"/>
  <c r="N429"/>
  <c r="M429"/>
  <c r="L429"/>
  <c r="K429"/>
  <c r="J429"/>
  <c r="I429"/>
  <c r="H429"/>
  <c r="AD428"/>
  <c r="BD9" i="29" s="1"/>
  <c r="AC428" i="26"/>
  <c r="AB428"/>
  <c r="AY9" i="29" s="1"/>
  <c r="AA428" i="26"/>
  <c r="AX9" i="29" s="1"/>
  <c r="Z428" i="26"/>
  <c r="AW9" i="29" s="1"/>
  <c r="Y428" i="26"/>
  <c r="AV9" i="29" s="1"/>
  <c r="X428" i="26"/>
  <c r="AU9" i="29" s="1"/>
  <c r="W428" i="26"/>
  <c r="AT9" i="29" s="1"/>
  <c r="V428" i="26"/>
  <c r="AS9" i="29" s="1"/>
  <c r="U428" i="26"/>
  <c r="AR9" i="29" s="1"/>
  <c r="T428" i="26"/>
  <c r="AQ9" i="29" s="1"/>
  <c r="S428" i="26"/>
  <c r="AP9" i="29" s="1"/>
  <c r="R428" i="26"/>
  <c r="AO9" i="29" s="1"/>
  <c r="Q428" i="26"/>
  <c r="AN9" i="29" s="1"/>
  <c r="P428" i="26"/>
  <c r="AM9" i="29" s="1"/>
  <c r="O428" i="26"/>
  <c r="AL9" i="29" s="1"/>
  <c r="N428" i="26"/>
  <c r="AK9" i="29" s="1"/>
  <c r="M428" i="26"/>
  <c r="AJ9" i="29" s="1"/>
  <c r="L428" i="26"/>
  <c r="AI9" i="29" s="1"/>
  <c r="K428" i="26"/>
  <c r="AH9" i="29" s="1"/>
  <c r="J428" i="26"/>
  <c r="AG9" i="29" s="1"/>
  <c r="H428" i="26"/>
  <c r="AE9" i="29" s="1"/>
  <c r="AD427" i="26"/>
  <c r="BD8" i="29" s="1"/>
  <c r="AC427" i="26"/>
  <c r="AB427"/>
  <c r="AA427"/>
  <c r="Z427"/>
  <c r="Y427"/>
  <c r="X427"/>
  <c r="W427"/>
  <c r="V427"/>
  <c r="U427"/>
  <c r="T427"/>
  <c r="S427"/>
  <c r="R427"/>
  <c r="Q427"/>
  <c r="P427"/>
  <c r="O427"/>
  <c r="N427"/>
  <c r="M427"/>
  <c r="L427"/>
  <c r="K427"/>
  <c r="J427"/>
  <c r="I427"/>
  <c r="H427"/>
  <c r="AD426"/>
  <c r="BD7" i="29" s="1"/>
  <c r="AC426" i="26"/>
  <c r="AB426"/>
  <c r="AY7" i="29" s="1"/>
  <c r="AA426" i="26"/>
  <c r="AX7" i="29" s="1"/>
  <c r="Z426" i="26"/>
  <c r="AW7" i="29" s="1"/>
  <c r="Y426" i="26"/>
  <c r="AV7" i="29" s="1"/>
  <c r="X426" i="26"/>
  <c r="AU7" i="29" s="1"/>
  <c r="W426" i="26"/>
  <c r="AT7" i="29" s="1"/>
  <c r="V426" i="26"/>
  <c r="AS7" i="29" s="1"/>
  <c r="U426" i="26"/>
  <c r="AR7" i="29" s="1"/>
  <c r="T426" i="26"/>
  <c r="AQ7" i="29" s="1"/>
  <c r="S426" i="26"/>
  <c r="AP7" i="29" s="1"/>
  <c r="R426" i="26"/>
  <c r="AO7" i="29" s="1"/>
  <c r="Q426" i="26"/>
  <c r="AN7" i="29" s="1"/>
  <c r="P426" i="26"/>
  <c r="AM7" i="29" s="1"/>
  <c r="O426" i="26"/>
  <c r="AL7" i="29" s="1"/>
  <c r="N426" i="26"/>
  <c r="AK7" i="29" s="1"/>
  <c r="M426" i="26"/>
  <c r="AJ7" i="29" s="1"/>
  <c r="L426" i="26"/>
  <c r="AI7" i="29" s="1"/>
  <c r="K426" i="26"/>
  <c r="AH7" i="29" s="1"/>
  <c r="J426" i="26"/>
  <c r="AG7" i="29" s="1"/>
  <c r="I426" i="26"/>
  <c r="AD424"/>
  <c r="BD5" i="29" s="1"/>
  <c r="AC424" i="26"/>
  <c r="AB424"/>
  <c r="AA424"/>
  <c r="Z424"/>
  <c r="Y424"/>
  <c r="X424"/>
  <c r="W424"/>
  <c r="V424"/>
  <c r="U424"/>
  <c r="T424"/>
  <c r="S424"/>
  <c r="R424"/>
  <c r="Q424"/>
  <c r="P424"/>
  <c r="O424"/>
  <c r="N424"/>
  <c r="M424"/>
  <c r="L424"/>
  <c r="K424"/>
  <c r="J424"/>
  <c r="I424"/>
  <c r="H424"/>
  <c r="AD423"/>
  <c r="BD4" i="29" s="1"/>
  <c r="AC423" i="26"/>
  <c r="AB423"/>
  <c r="AY4" i="29" s="1"/>
  <c r="AA423" i="26"/>
  <c r="AX4" i="29" s="1"/>
  <c r="Z423" i="26"/>
  <c r="AW4" i="29" s="1"/>
  <c r="Y423" i="26"/>
  <c r="AV4" i="29" s="1"/>
  <c r="X423" i="26"/>
  <c r="AU4" i="29" s="1"/>
  <c r="W423" i="26"/>
  <c r="AT4" i="29" s="1"/>
  <c r="V423" i="26"/>
  <c r="AS4" i="29" s="1"/>
  <c r="U423" i="26"/>
  <c r="AR4" i="29" s="1"/>
  <c r="T423" i="26"/>
  <c r="AQ4" i="29" s="1"/>
  <c r="S423" i="26"/>
  <c r="AP4" i="29" s="1"/>
  <c r="R423" i="26"/>
  <c r="AO4" i="29" s="1"/>
  <c r="Q423" i="26"/>
  <c r="AN4" i="29" s="1"/>
  <c r="P423" i="26"/>
  <c r="AM4" i="29" s="1"/>
  <c r="O423" i="26"/>
  <c r="AL4" i="29" s="1"/>
  <c r="N423" i="26"/>
  <c r="AK4" i="29" s="1"/>
  <c r="M423" i="26"/>
  <c r="AJ4" i="29" s="1"/>
  <c r="L423" i="26"/>
  <c r="AI4" i="29" s="1"/>
  <c r="J423" i="26"/>
  <c r="AG4" i="29" s="1"/>
  <c r="I423" i="26"/>
  <c r="H423"/>
  <c r="AD422"/>
  <c r="BD3" i="29" s="1"/>
  <c r="AC422" i="26"/>
  <c r="AB422"/>
  <c r="AY3" i="29" s="1"/>
  <c r="AA422" i="26"/>
  <c r="AX3" i="29" s="1"/>
  <c r="Z422" i="26"/>
  <c r="AW3" i="29" s="1"/>
  <c r="Y422" i="26"/>
  <c r="AV3" i="29" s="1"/>
  <c r="X422" i="26"/>
  <c r="AU3" i="29" s="1"/>
  <c r="W422" i="26"/>
  <c r="AT3" i="29" s="1"/>
  <c r="V422" i="26"/>
  <c r="AS3" i="29" s="1"/>
  <c r="U422" i="26"/>
  <c r="AR3" i="29" s="1"/>
  <c r="T422" i="26"/>
  <c r="AQ3" i="29" s="1"/>
  <c r="S422" i="26"/>
  <c r="AP3" i="29" s="1"/>
  <c r="R422" i="26"/>
  <c r="AO3" i="29" s="1"/>
  <c r="Q422" i="26"/>
  <c r="AN3" i="29" s="1"/>
  <c r="P422" i="26"/>
  <c r="AM3" i="29" s="1"/>
  <c r="O422" i="26"/>
  <c r="AL3" i="29" s="1"/>
  <c r="N422" i="26"/>
  <c r="AK3" i="29" s="1"/>
  <c r="M422" i="26"/>
  <c r="AJ3" i="29" s="1"/>
  <c r="L422" i="26"/>
  <c r="AI3" i="29" s="1"/>
  <c r="K422" i="26"/>
  <c r="AH3" i="29" s="1"/>
  <c r="J422" i="26"/>
  <c r="AG3" i="29" s="1"/>
  <c r="I422" i="26"/>
  <c r="H422"/>
  <c r="AD421"/>
  <c r="BD2" i="29" s="1"/>
  <c r="AC421" i="26"/>
  <c r="AB421"/>
  <c r="AY2" i="29" s="1"/>
  <c r="AA421" i="26"/>
  <c r="AX2" i="29" s="1"/>
  <c r="Z421" i="26"/>
  <c r="AW2" i="29" s="1"/>
  <c r="Y421" i="26"/>
  <c r="AV2" i="29" s="1"/>
  <c r="X421" i="26"/>
  <c r="AU2" i="29" s="1"/>
  <c r="W421" i="26"/>
  <c r="AT2" i="29" s="1"/>
  <c r="V421" i="26"/>
  <c r="AS2" i="29" s="1"/>
  <c r="U421" i="26"/>
  <c r="AR2" i="29" s="1"/>
  <c r="T421" i="26"/>
  <c r="AQ2" i="29" s="1"/>
  <c r="S421" i="26"/>
  <c r="AP2" i="29" s="1"/>
  <c r="R421" i="26"/>
  <c r="AO2" i="29" s="1"/>
  <c r="Q421" i="26"/>
  <c r="AN2" i="29" s="1"/>
  <c r="P421" i="26"/>
  <c r="AM2" i="29" s="1"/>
  <c r="O421" i="26"/>
  <c r="AL2" i="29" s="1"/>
  <c r="N421" i="26"/>
  <c r="AK2" i="29" s="1"/>
  <c r="M421" i="26"/>
  <c r="AJ2" i="29" s="1"/>
  <c r="L421" i="26"/>
  <c r="AI2" i="29" s="1"/>
  <c r="K421" i="26"/>
  <c r="AH2" i="29" s="1"/>
  <c r="J421" i="26"/>
  <c r="AG2" i="29" s="1"/>
  <c r="I421" i="26"/>
  <c r="AF2" i="29" s="1"/>
  <c r="H421" i="26"/>
  <c r="AE2" i="29" s="1"/>
  <c r="A85" i="27"/>
  <c r="A81"/>
  <c r="A77"/>
  <c r="A73"/>
  <c r="A69"/>
  <c r="C86"/>
  <c r="D86" s="1"/>
  <c r="E86" s="1"/>
  <c r="F86" s="1"/>
  <c r="G86" s="1"/>
  <c r="H86" s="1"/>
  <c r="I86" s="1"/>
  <c r="J86" s="1"/>
  <c r="K86" s="1"/>
  <c r="L86" s="1"/>
  <c r="M86" s="1"/>
  <c r="N86" s="1"/>
  <c r="O86" s="1"/>
  <c r="P86" s="1"/>
  <c r="Q86" s="1"/>
  <c r="R86" s="1"/>
  <c r="S86" s="1"/>
  <c r="T86" s="1"/>
  <c r="U86" s="1"/>
  <c r="V86" s="1"/>
  <c r="C85"/>
  <c r="D85" s="1"/>
  <c r="E85" s="1"/>
  <c r="F85" s="1"/>
  <c r="G85" s="1"/>
  <c r="H85" s="1"/>
  <c r="I85" s="1"/>
  <c r="J85" s="1"/>
  <c r="K85" s="1"/>
  <c r="L85" s="1"/>
  <c r="M85" s="1"/>
  <c r="N85" s="1"/>
  <c r="O85" s="1"/>
  <c r="P85" s="1"/>
  <c r="Q85" s="1"/>
  <c r="R85" s="1"/>
  <c r="S85" s="1"/>
  <c r="T85" s="1"/>
  <c r="U85" s="1"/>
  <c r="V85" s="1"/>
  <c r="C82"/>
  <c r="D82" s="1"/>
  <c r="E82" s="1"/>
  <c r="F82" s="1"/>
  <c r="G82" s="1"/>
  <c r="H82" s="1"/>
  <c r="I82" s="1"/>
  <c r="J82" s="1"/>
  <c r="K82" s="1"/>
  <c r="L82" s="1"/>
  <c r="M82" s="1"/>
  <c r="N82" s="1"/>
  <c r="O82" s="1"/>
  <c r="P82" s="1"/>
  <c r="Q82" s="1"/>
  <c r="R82" s="1"/>
  <c r="S82" s="1"/>
  <c r="T82" s="1"/>
  <c r="U82" s="1"/>
  <c r="V82" s="1"/>
  <c r="C81"/>
  <c r="D81" s="1"/>
  <c r="E81" s="1"/>
  <c r="F81" s="1"/>
  <c r="G81" s="1"/>
  <c r="H81" s="1"/>
  <c r="I81" s="1"/>
  <c r="J81" s="1"/>
  <c r="K81" s="1"/>
  <c r="L81" s="1"/>
  <c r="M81" s="1"/>
  <c r="N81" s="1"/>
  <c r="O81" s="1"/>
  <c r="P81" s="1"/>
  <c r="Q81" s="1"/>
  <c r="R81" s="1"/>
  <c r="S81" s="1"/>
  <c r="T81" s="1"/>
  <c r="U81" s="1"/>
  <c r="V81" s="1"/>
  <c r="C78"/>
  <c r="D78" s="1"/>
  <c r="E78" s="1"/>
  <c r="F78" s="1"/>
  <c r="G78" s="1"/>
  <c r="H78" s="1"/>
  <c r="I78" s="1"/>
  <c r="J78" s="1"/>
  <c r="K78" s="1"/>
  <c r="L78" s="1"/>
  <c r="M78" s="1"/>
  <c r="N78" s="1"/>
  <c r="O78" s="1"/>
  <c r="P78" s="1"/>
  <c r="Q78" s="1"/>
  <c r="R78" s="1"/>
  <c r="S78" s="1"/>
  <c r="T78" s="1"/>
  <c r="U78" s="1"/>
  <c r="V78" s="1"/>
  <c r="C77"/>
  <c r="D77" s="1"/>
  <c r="E77" s="1"/>
  <c r="F77" s="1"/>
  <c r="G77" s="1"/>
  <c r="H77" s="1"/>
  <c r="I77" s="1"/>
  <c r="J77" s="1"/>
  <c r="K77" s="1"/>
  <c r="L77" s="1"/>
  <c r="M77" s="1"/>
  <c r="N77" s="1"/>
  <c r="O77" s="1"/>
  <c r="P77" s="1"/>
  <c r="Q77" s="1"/>
  <c r="R77" s="1"/>
  <c r="S77" s="1"/>
  <c r="T77" s="1"/>
  <c r="U77" s="1"/>
  <c r="V77" s="1"/>
  <c r="C74"/>
  <c r="D74" s="1"/>
  <c r="E74" s="1"/>
  <c r="F74" s="1"/>
  <c r="G74" s="1"/>
  <c r="H74" s="1"/>
  <c r="I74" s="1"/>
  <c r="J74" s="1"/>
  <c r="K74" s="1"/>
  <c r="L74" s="1"/>
  <c r="M74" s="1"/>
  <c r="N74" s="1"/>
  <c r="O74" s="1"/>
  <c r="P74" s="1"/>
  <c r="Q74" s="1"/>
  <c r="R74" s="1"/>
  <c r="S74" s="1"/>
  <c r="T74" s="1"/>
  <c r="U74" s="1"/>
  <c r="V74" s="1"/>
  <c r="C73"/>
  <c r="D73" s="1"/>
  <c r="E73" s="1"/>
  <c r="F73" s="1"/>
  <c r="G73" s="1"/>
  <c r="H73" s="1"/>
  <c r="I73" s="1"/>
  <c r="J73" s="1"/>
  <c r="K73" s="1"/>
  <c r="L73" s="1"/>
  <c r="M73" s="1"/>
  <c r="N73" s="1"/>
  <c r="O73" s="1"/>
  <c r="P73" s="1"/>
  <c r="Q73" s="1"/>
  <c r="R73" s="1"/>
  <c r="S73" s="1"/>
  <c r="T73" s="1"/>
  <c r="U73" s="1"/>
  <c r="V73" s="1"/>
  <c r="C70"/>
  <c r="D70" s="1"/>
  <c r="E70" s="1"/>
  <c r="F70" s="1"/>
  <c r="G70" s="1"/>
  <c r="H70" s="1"/>
  <c r="I70" s="1"/>
  <c r="J70" s="1"/>
  <c r="K70" s="1"/>
  <c r="L70" s="1"/>
  <c r="M70" s="1"/>
  <c r="N70" s="1"/>
  <c r="O70" s="1"/>
  <c r="P70" s="1"/>
  <c r="Q70" s="1"/>
  <c r="R70" s="1"/>
  <c r="S70" s="1"/>
  <c r="T70" s="1"/>
  <c r="U70" s="1"/>
  <c r="V70" s="1"/>
  <c r="C69"/>
  <c r="D69" s="1"/>
  <c r="E69" s="1"/>
  <c r="F69" s="1"/>
  <c r="G69" s="1"/>
  <c r="H69" s="1"/>
  <c r="I69" s="1"/>
  <c r="J69" s="1"/>
  <c r="K69" s="1"/>
  <c r="L69" s="1"/>
  <c r="M69" s="1"/>
  <c r="N69" s="1"/>
  <c r="O69" s="1"/>
  <c r="P69" s="1"/>
  <c r="Q69" s="1"/>
  <c r="R69" s="1"/>
  <c r="S69" s="1"/>
  <c r="T69" s="1"/>
  <c r="U69" s="1"/>
  <c r="V69" s="1"/>
  <c r="A65"/>
  <c r="A61"/>
  <c r="A57"/>
  <c r="A53"/>
  <c r="A45"/>
  <c r="A41"/>
  <c r="A37"/>
  <c r="A33"/>
  <c r="A29"/>
  <c r="A25"/>
  <c r="A21"/>
  <c r="A13"/>
  <c r="A9"/>
  <c r="A5"/>
  <c r="C66"/>
  <c r="D66" s="1"/>
  <c r="E66" s="1"/>
  <c r="F66" s="1"/>
  <c r="G66" s="1"/>
  <c r="H66" s="1"/>
  <c r="I66" s="1"/>
  <c r="J66" s="1"/>
  <c r="K66" s="1"/>
  <c r="L66" s="1"/>
  <c r="M66" s="1"/>
  <c r="N66" s="1"/>
  <c r="O66" s="1"/>
  <c r="P66" s="1"/>
  <c r="Q66" s="1"/>
  <c r="R66" s="1"/>
  <c r="S66" s="1"/>
  <c r="T66" s="1"/>
  <c r="U66" s="1"/>
  <c r="V66" s="1"/>
  <c r="C65"/>
  <c r="D65" s="1"/>
  <c r="E65" s="1"/>
  <c r="F65" s="1"/>
  <c r="G65" s="1"/>
  <c r="H65" s="1"/>
  <c r="I65" s="1"/>
  <c r="J65" s="1"/>
  <c r="K65" s="1"/>
  <c r="L65" s="1"/>
  <c r="M65" s="1"/>
  <c r="N65" s="1"/>
  <c r="O65" s="1"/>
  <c r="P65" s="1"/>
  <c r="Q65" s="1"/>
  <c r="R65" s="1"/>
  <c r="S65" s="1"/>
  <c r="T65" s="1"/>
  <c r="U65" s="1"/>
  <c r="V65" s="1"/>
  <c r="C62"/>
  <c r="D62" s="1"/>
  <c r="E62" s="1"/>
  <c r="F62" s="1"/>
  <c r="G62" s="1"/>
  <c r="H62" s="1"/>
  <c r="I62" s="1"/>
  <c r="J62" s="1"/>
  <c r="K62" s="1"/>
  <c r="L62" s="1"/>
  <c r="M62" s="1"/>
  <c r="N62" s="1"/>
  <c r="O62" s="1"/>
  <c r="P62" s="1"/>
  <c r="Q62" s="1"/>
  <c r="R62" s="1"/>
  <c r="S62" s="1"/>
  <c r="T62" s="1"/>
  <c r="U62" s="1"/>
  <c r="V62" s="1"/>
  <c r="C61"/>
  <c r="D61" s="1"/>
  <c r="E61" s="1"/>
  <c r="F61" s="1"/>
  <c r="G61" s="1"/>
  <c r="H61" s="1"/>
  <c r="I61" s="1"/>
  <c r="J61" s="1"/>
  <c r="K61" s="1"/>
  <c r="L61" s="1"/>
  <c r="M61" s="1"/>
  <c r="N61" s="1"/>
  <c r="O61" s="1"/>
  <c r="P61" s="1"/>
  <c r="Q61" s="1"/>
  <c r="R61" s="1"/>
  <c r="S61" s="1"/>
  <c r="T61" s="1"/>
  <c r="U61" s="1"/>
  <c r="V61" s="1"/>
  <c r="C58"/>
  <c r="D58" s="1"/>
  <c r="E58" s="1"/>
  <c r="F58" s="1"/>
  <c r="G58" s="1"/>
  <c r="H58" s="1"/>
  <c r="I58" s="1"/>
  <c r="J58" s="1"/>
  <c r="K58" s="1"/>
  <c r="L58" s="1"/>
  <c r="M58" s="1"/>
  <c r="N58" s="1"/>
  <c r="O58" s="1"/>
  <c r="P58" s="1"/>
  <c r="Q58" s="1"/>
  <c r="R58" s="1"/>
  <c r="S58" s="1"/>
  <c r="T58" s="1"/>
  <c r="U58" s="1"/>
  <c r="V58" s="1"/>
  <c r="C57"/>
  <c r="D57" s="1"/>
  <c r="E57" s="1"/>
  <c r="F57" s="1"/>
  <c r="G57" s="1"/>
  <c r="H57" s="1"/>
  <c r="I57" s="1"/>
  <c r="J57" s="1"/>
  <c r="K57" s="1"/>
  <c r="L57" s="1"/>
  <c r="M57" s="1"/>
  <c r="N57" s="1"/>
  <c r="O57" s="1"/>
  <c r="P57" s="1"/>
  <c r="Q57" s="1"/>
  <c r="R57" s="1"/>
  <c r="S57" s="1"/>
  <c r="T57" s="1"/>
  <c r="U57" s="1"/>
  <c r="V57" s="1"/>
  <c r="C54"/>
  <c r="D54" s="1"/>
  <c r="E54" s="1"/>
  <c r="F54" s="1"/>
  <c r="G54" s="1"/>
  <c r="H54" s="1"/>
  <c r="I54" s="1"/>
  <c r="J54" s="1"/>
  <c r="K54" s="1"/>
  <c r="L54" s="1"/>
  <c r="M54" s="1"/>
  <c r="N54" s="1"/>
  <c r="O54" s="1"/>
  <c r="P54" s="1"/>
  <c r="Q54" s="1"/>
  <c r="R54" s="1"/>
  <c r="S54" s="1"/>
  <c r="T54" s="1"/>
  <c r="U54" s="1"/>
  <c r="V54" s="1"/>
  <c r="C46"/>
  <c r="D46" s="1"/>
  <c r="E46" s="1"/>
  <c r="F46" s="1"/>
  <c r="G46" s="1"/>
  <c r="H46" s="1"/>
  <c r="I46" s="1"/>
  <c r="J46" s="1"/>
  <c r="K46" s="1"/>
  <c r="L46" s="1"/>
  <c r="M46" s="1"/>
  <c r="N46" s="1"/>
  <c r="O46" s="1"/>
  <c r="P46" s="1"/>
  <c r="Q46" s="1"/>
  <c r="R46" s="1"/>
  <c r="S46" s="1"/>
  <c r="T46" s="1"/>
  <c r="U46" s="1"/>
  <c r="V46" s="1"/>
  <c r="C45"/>
  <c r="D45" s="1"/>
  <c r="E45" s="1"/>
  <c r="F45" s="1"/>
  <c r="G45" s="1"/>
  <c r="H45" s="1"/>
  <c r="I45" s="1"/>
  <c r="J45" s="1"/>
  <c r="K45" s="1"/>
  <c r="L45" s="1"/>
  <c r="M45" s="1"/>
  <c r="N45" s="1"/>
  <c r="O45" s="1"/>
  <c r="P45" s="1"/>
  <c r="Q45" s="1"/>
  <c r="R45" s="1"/>
  <c r="S45" s="1"/>
  <c r="T45" s="1"/>
  <c r="U45" s="1"/>
  <c r="V45" s="1"/>
  <c r="C42"/>
  <c r="D42" s="1"/>
  <c r="E42" s="1"/>
  <c r="F42" s="1"/>
  <c r="G42" s="1"/>
  <c r="H42" s="1"/>
  <c r="I42" s="1"/>
  <c r="J42" s="1"/>
  <c r="K42" s="1"/>
  <c r="L42" s="1"/>
  <c r="M42" s="1"/>
  <c r="N42" s="1"/>
  <c r="O42" s="1"/>
  <c r="P42" s="1"/>
  <c r="Q42" s="1"/>
  <c r="R42" s="1"/>
  <c r="S42" s="1"/>
  <c r="T42" s="1"/>
  <c r="U42" s="1"/>
  <c r="V42" s="1"/>
  <c r="C41"/>
  <c r="D41" s="1"/>
  <c r="E41" s="1"/>
  <c r="F41" s="1"/>
  <c r="G41" s="1"/>
  <c r="H41" s="1"/>
  <c r="I41" s="1"/>
  <c r="J41" s="1"/>
  <c r="K41" s="1"/>
  <c r="L41" s="1"/>
  <c r="M41" s="1"/>
  <c r="N41" s="1"/>
  <c r="O41" s="1"/>
  <c r="P41" s="1"/>
  <c r="Q41" s="1"/>
  <c r="R41" s="1"/>
  <c r="S41" s="1"/>
  <c r="T41" s="1"/>
  <c r="U41" s="1"/>
  <c r="V41" s="1"/>
  <c r="C38"/>
  <c r="D38" s="1"/>
  <c r="E38" s="1"/>
  <c r="F38" s="1"/>
  <c r="G38" s="1"/>
  <c r="H38" s="1"/>
  <c r="I38" s="1"/>
  <c r="J38" s="1"/>
  <c r="K38" s="1"/>
  <c r="L38" s="1"/>
  <c r="M38" s="1"/>
  <c r="N38" s="1"/>
  <c r="O38" s="1"/>
  <c r="P38" s="1"/>
  <c r="Q38" s="1"/>
  <c r="R38" s="1"/>
  <c r="S38" s="1"/>
  <c r="T38" s="1"/>
  <c r="U38" s="1"/>
  <c r="V38" s="1"/>
  <c r="C34"/>
  <c r="D34" s="1"/>
  <c r="E34" s="1"/>
  <c r="F34" s="1"/>
  <c r="G34" s="1"/>
  <c r="H34" s="1"/>
  <c r="I34" s="1"/>
  <c r="J34" s="1"/>
  <c r="K34" s="1"/>
  <c r="L34" s="1"/>
  <c r="M34" s="1"/>
  <c r="N34" s="1"/>
  <c r="O34" s="1"/>
  <c r="P34" s="1"/>
  <c r="Q34" s="1"/>
  <c r="R34" s="1"/>
  <c r="S34" s="1"/>
  <c r="T34" s="1"/>
  <c r="U34" s="1"/>
  <c r="V34" s="1"/>
  <c r="C30"/>
  <c r="D30" s="1"/>
  <c r="E30" s="1"/>
  <c r="F30" s="1"/>
  <c r="G30" s="1"/>
  <c r="H30" s="1"/>
  <c r="I30" s="1"/>
  <c r="J30" s="1"/>
  <c r="K30" s="1"/>
  <c r="L30" s="1"/>
  <c r="M30" s="1"/>
  <c r="N30" s="1"/>
  <c r="O30" s="1"/>
  <c r="P30" s="1"/>
  <c r="Q30" s="1"/>
  <c r="R30" s="1"/>
  <c r="S30" s="1"/>
  <c r="T30" s="1"/>
  <c r="U30" s="1"/>
  <c r="V30" s="1"/>
  <c r="C26"/>
  <c r="D26" s="1"/>
  <c r="E26" s="1"/>
  <c r="F26" s="1"/>
  <c r="G26" s="1"/>
  <c r="H26" s="1"/>
  <c r="I26" s="1"/>
  <c r="J26" s="1"/>
  <c r="K26" s="1"/>
  <c r="L26" s="1"/>
  <c r="M26" s="1"/>
  <c r="N26" s="1"/>
  <c r="O26" s="1"/>
  <c r="P26" s="1"/>
  <c r="Q26" s="1"/>
  <c r="R26" s="1"/>
  <c r="S26" s="1"/>
  <c r="T26" s="1"/>
  <c r="U26" s="1"/>
  <c r="V26" s="1"/>
  <c r="C22"/>
  <c r="D22" s="1"/>
  <c r="E22" s="1"/>
  <c r="F22" s="1"/>
  <c r="G22" s="1"/>
  <c r="H22" s="1"/>
  <c r="I22" s="1"/>
  <c r="J22" s="1"/>
  <c r="K22" s="1"/>
  <c r="L22" s="1"/>
  <c r="M22" s="1"/>
  <c r="N22" s="1"/>
  <c r="O22" s="1"/>
  <c r="P22" s="1"/>
  <c r="Q22" s="1"/>
  <c r="R22" s="1"/>
  <c r="S22" s="1"/>
  <c r="T22" s="1"/>
  <c r="U22" s="1"/>
  <c r="V22" s="1"/>
  <c r="C14"/>
  <c r="D14" s="1"/>
  <c r="E14" s="1"/>
  <c r="F14" s="1"/>
  <c r="G14" s="1"/>
  <c r="H14" s="1"/>
  <c r="I14" s="1"/>
  <c r="J14" s="1"/>
  <c r="K14" s="1"/>
  <c r="L14" s="1"/>
  <c r="M14" s="1"/>
  <c r="N14" s="1"/>
  <c r="O14" s="1"/>
  <c r="P14" s="1"/>
  <c r="Q14" s="1"/>
  <c r="R14" s="1"/>
  <c r="S14" s="1"/>
  <c r="T14" s="1"/>
  <c r="U14" s="1"/>
  <c r="V14" s="1"/>
  <c r="C13"/>
  <c r="D13" s="1"/>
  <c r="E13" s="1"/>
  <c r="F13" s="1"/>
  <c r="G13" s="1"/>
  <c r="H13" s="1"/>
  <c r="I13" s="1"/>
  <c r="J13" s="1"/>
  <c r="K13" s="1"/>
  <c r="L13" s="1"/>
  <c r="M13" s="1"/>
  <c r="N13" s="1"/>
  <c r="O13" s="1"/>
  <c r="P13" s="1"/>
  <c r="Q13" s="1"/>
  <c r="R13" s="1"/>
  <c r="S13" s="1"/>
  <c r="T13" s="1"/>
  <c r="U13" s="1"/>
  <c r="V13" s="1"/>
  <c r="C10"/>
  <c r="D10" s="1"/>
  <c r="E10" s="1"/>
  <c r="F10" s="1"/>
  <c r="G10" s="1"/>
  <c r="H10" s="1"/>
  <c r="I10" s="1"/>
  <c r="J10" s="1"/>
  <c r="K10" s="1"/>
  <c r="L10" s="1"/>
  <c r="M10" s="1"/>
  <c r="N10" s="1"/>
  <c r="O10" s="1"/>
  <c r="P10" s="1"/>
  <c r="Q10" s="1"/>
  <c r="R10" s="1"/>
  <c r="S10" s="1"/>
  <c r="T10" s="1"/>
  <c r="U10" s="1"/>
  <c r="V10" s="1"/>
  <c r="C9"/>
  <c r="D9" s="1"/>
  <c r="E9" s="1"/>
  <c r="F9" s="1"/>
  <c r="G9" s="1"/>
  <c r="H9" s="1"/>
  <c r="I9" s="1"/>
  <c r="J9" s="1"/>
  <c r="K9" s="1"/>
  <c r="L9" s="1"/>
  <c r="M9" s="1"/>
  <c r="N9" s="1"/>
  <c r="O9" s="1"/>
  <c r="P9" s="1"/>
  <c r="Q9" s="1"/>
  <c r="R9" s="1"/>
  <c r="S9" s="1"/>
  <c r="T9" s="1"/>
  <c r="U9" s="1"/>
  <c r="V9" s="1"/>
  <c r="C6"/>
  <c r="D6" s="1"/>
  <c r="E6" s="1"/>
  <c r="F6" s="1"/>
  <c r="G6" s="1"/>
  <c r="H6" s="1"/>
  <c r="I6" s="1"/>
  <c r="J6" s="1"/>
  <c r="K6" s="1"/>
  <c r="L6" s="1"/>
  <c r="M6" s="1"/>
  <c r="N6" s="1"/>
  <c r="O6" s="1"/>
  <c r="P6" s="1"/>
  <c r="Q6" s="1"/>
  <c r="R6" s="1"/>
  <c r="S6" s="1"/>
  <c r="T6" s="1"/>
  <c r="U6" s="1"/>
  <c r="V6" s="1"/>
  <c r="C5"/>
  <c r="D5" s="1"/>
  <c r="E5" s="1"/>
  <c r="F5" s="1"/>
  <c r="G5" s="1"/>
  <c r="H5" s="1"/>
  <c r="I5" s="1"/>
  <c r="J5" s="1"/>
  <c r="K5" s="1"/>
  <c r="L5" s="1"/>
  <c r="M5" s="1"/>
  <c r="N5" s="1"/>
  <c r="O5" s="1"/>
  <c r="P5" s="1"/>
  <c r="Q5" s="1"/>
  <c r="R5" s="1"/>
  <c r="S5" s="1"/>
  <c r="T5" s="1"/>
  <c r="U5" s="1"/>
  <c r="V5" s="1"/>
  <c r="C2"/>
  <c r="D2" s="1"/>
  <c r="E2" s="1"/>
  <c r="F2" s="1"/>
  <c r="G2" s="1"/>
  <c r="H2" s="1"/>
  <c r="I2" s="1"/>
  <c r="J2" s="1"/>
  <c r="K2" s="1"/>
  <c r="L2" s="1"/>
  <c r="M2" s="1"/>
  <c r="N2" s="1"/>
  <c r="O2" s="1"/>
  <c r="P2" s="1"/>
  <c r="Q2" s="1"/>
  <c r="R2" s="1"/>
  <c r="S2" s="1"/>
  <c r="T2" s="1"/>
  <c r="U2" s="1"/>
  <c r="V2" s="1"/>
  <c r="C1"/>
  <c r="D1" s="1"/>
  <c r="E1" s="1"/>
  <c r="F1" s="1"/>
  <c r="G1" s="1"/>
  <c r="H1" s="1"/>
  <c r="I1" s="1"/>
  <c r="J1" s="1"/>
  <c r="K1" s="1"/>
  <c r="L1" s="1"/>
  <c r="M1" s="1"/>
  <c r="N1" s="1"/>
  <c r="O1" s="1"/>
  <c r="P1" s="1"/>
  <c r="Q1" s="1"/>
  <c r="R1" s="1"/>
  <c r="S1" s="1"/>
  <c r="T1" s="1"/>
  <c r="U1" s="1"/>
  <c r="V1" s="1"/>
  <c r="A1"/>
  <c r="I420" i="26"/>
  <c r="J420" s="1"/>
  <c r="G422"/>
  <c r="G423" s="1"/>
  <c r="G424" s="1"/>
  <c r="G425" s="1"/>
  <c r="G426" s="1"/>
  <c r="G427" s="1"/>
  <c r="G428" s="1"/>
  <c r="G429" s="1"/>
  <c r="G430" s="1"/>
  <c r="G431" s="1"/>
  <c r="G432" s="1"/>
  <c r="G433" s="1"/>
  <c r="G434" s="1"/>
  <c r="G435" s="1"/>
  <c r="G436" s="1"/>
  <c r="G437" s="1"/>
  <c r="G438" s="1"/>
  <c r="G439" s="1"/>
  <c r="G440" s="1"/>
  <c r="G441" s="1"/>
  <c r="G442" s="1"/>
  <c r="C87" i="27"/>
  <c r="C59"/>
  <c r="B87"/>
  <c r="B55"/>
  <c r="B79"/>
  <c r="CK24" i="29" l="1"/>
  <c r="CK25"/>
  <c r="CK23"/>
  <c r="B47" i="27"/>
  <c r="B59"/>
  <c r="AF5" i="29"/>
  <c r="C3" i="33"/>
  <c r="AH5" i="29"/>
  <c r="E3" i="33"/>
  <c r="AJ5" i="29"/>
  <c r="G3" i="33"/>
  <c r="AL5" i="29"/>
  <c r="I3" i="33"/>
  <c r="AN5" i="29"/>
  <c r="K3" i="33"/>
  <c r="AP5" i="29"/>
  <c r="M3" i="33"/>
  <c r="AR5" i="29"/>
  <c r="O3" i="33"/>
  <c r="AT5" i="29"/>
  <c r="Q3" i="33"/>
  <c r="AV5" i="29"/>
  <c r="S3" i="33"/>
  <c r="AX5" i="29"/>
  <c r="U3" i="33"/>
  <c r="AE8" i="29"/>
  <c r="B8" i="34"/>
  <c r="B8" i="33"/>
  <c r="AG8" i="29"/>
  <c r="D8" i="34"/>
  <c r="D8" i="33"/>
  <c r="AI8" i="29"/>
  <c r="F8" i="34"/>
  <c r="F8" i="33"/>
  <c r="AK8" i="29"/>
  <c r="H8" i="34"/>
  <c r="H8" i="33"/>
  <c r="AM8" i="29"/>
  <c r="J8" i="34"/>
  <c r="J8" i="33"/>
  <c r="AO8" i="29"/>
  <c r="L8" i="34"/>
  <c r="L8" i="33"/>
  <c r="AQ8" i="29"/>
  <c r="N8" i="34"/>
  <c r="N8" i="33"/>
  <c r="AS8" i="29"/>
  <c r="P8" i="34"/>
  <c r="P8" i="33"/>
  <c r="AU8" i="29"/>
  <c r="R8" i="34"/>
  <c r="R8" i="33"/>
  <c r="AW8" i="29"/>
  <c r="T8" i="34"/>
  <c r="T8" i="33"/>
  <c r="AY8" i="29"/>
  <c r="V8" i="34"/>
  <c r="V8" i="33"/>
  <c r="AF10" i="29"/>
  <c r="C13" i="33"/>
  <c r="AH10" i="29"/>
  <c r="E13" i="33"/>
  <c r="AJ10" i="29"/>
  <c r="G13" i="33"/>
  <c r="AL10" i="29"/>
  <c r="I13" i="33"/>
  <c r="AN10" i="29"/>
  <c r="K13" i="33"/>
  <c r="AP10" i="29"/>
  <c r="M13" i="33"/>
  <c r="AR10" i="29"/>
  <c r="O13" i="33"/>
  <c r="AT10" i="29"/>
  <c r="Q13" i="33"/>
  <c r="AV10" i="29"/>
  <c r="S13" i="33"/>
  <c r="AX10" i="29"/>
  <c r="U13" i="33"/>
  <c r="B18" i="34"/>
  <c r="B18" i="33"/>
  <c r="AG11" i="29"/>
  <c r="D18" i="34"/>
  <c r="D18" i="33"/>
  <c r="AI11" i="29"/>
  <c r="F18" i="34"/>
  <c r="F18" i="33"/>
  <c r="AK11" i="29"/>
  <c r="H18" i="34"/>
  <c r="H18" i="33"/>
  <c r="AM11" i="29"/>
  <c r="J18" i="34"/>
  <c r="J18" i="33"/>
  <c r="AO11" i="29"/>
  <c r="L18" i="34"/>
  <c r="L18" i="33"/>
  <c r="AQ11" i="29"/>
  <c r="N18" i="34"/>
  <c r="N18" i="33"/>
  <c r="AS11" i="29"/>
  <c r="P18" i="34"/>
  <c r="P18" i="33"/>
  <c r="AU11" i="29"/>
  <c r="R18" i="34"/>
  <c r="R18" i="33"/>
  <c r="AW11" i="29"/>
  <c r="T18" i="34"/>
  <c r="T18" i="33"/>
  <c r="AY11" i="29"/>
  <c r="V18" i="34"/>
  <c r="V18" i="33"/>
  <c r="AF21" i="29"/>
  <c r="C23" i="34"/>
  <c r="C23" i="33"/>
  <c r="AH21" i="29"/>
  <c r="E23" i="34"/>
  <c r="E23" i="33"/>
  <c r="AJ21" i="29"/>
  <c r="G23" i="34"/>
  <c r="G23" i="33"/>
  <c r="AL21" i="29"/>
  <c r="I23" i="34"/>
  <c r="I23" i="33"/>
  <c r="AN21" i="29"/>
  <c r="K23" i="34"/>
  <c r="K23" i="33"/>
  <c r="AP21" i="29"/>
  <c r="M23" i="34"/>
  <c r="M23" i="33"/>
  <c r="AR21" i="29"/>
  <c r="O23" i="34"/>
  <c r="O23" i="33"/>
  <c r="AT21" i="29"/>
  <c r="Q23" i="34"/>
  <c r="Q23" i="33"/>
  <c r="AV21" i="29"/>
  <c r="S23" i="34"/>
  <c r="S23" i="33"/>
  <c r="AX21" i="29"/>
  <c r="U23" i="34"/>
  <c r="U23" i="33"/>
  <c r="AE5" i="29"/>
  <c r="B3" i="33"/>
  <c r="AG5" i="29"/>
  <c r="D3" i="33"/>
  <c r="AI5" i="29"/>
  <c r="F3" i="33"/>
  <c r="AK5" i="29"/>
  <c r="H3" i="33"/>
  <c r="AM5" i="29"/>
  <c r="J3" i="33"/>
  <c r="AO5" i="29"/>
  <c r="L3" i="33"/>
  <c r="AQ5" i="29"/>
  <c r="N3" i="33"/>
  <c r="AS5" i="29"/>
  <c r="P3" i="33"/>
  <c r="AU5" i="29"/>
  <c r="R3" i="33"/>
  <c r="AW5" i="29"/>
  <c r="T3" i="33"/>
  <c r="AY5" i="29"/>
  <c r="V3" i="33"/>
  <c r="AF8" i="29"/>
  <c r="C8" i="34"/>
  <c r="C8" i="33"/>
  <c r="AH8" i="29"/>
  <c r="E8" i="34"/>
  <c r="E8" i="33"/>
  <c r="AJ8" i="29"/>
  <c r="G8" i="34"/>
  <c r="G8" i="33"/>
  <c r="AL8" i="29"/>
  <c r="I8" i="34"/>
  <c r="I8" i="33"/>
  <c r="AN8" i="29"/>
  <c r="K8" i="34"/>
  <c r="K8" i="33"/>
  <c r="AP8" i="29"/>
  <c r="M8" i="34"/>
  <c r="M8" i="33"/>
  <c r="AR8" i="29"/>
  <c r="O8" i="34"/>
  <c r="O8" i="33"/>
  <c r="AT8" i="29"/>
  <c r="Q8" i="34"/>
  <c r="Q8" i="33"/>
  <c r="AV8" i="29"/>
  <c r="S8" i="34"/>
  <c r="S8" i="33"/>
  <c r="AX8" i="29"/>
  <c r="U8" i="34"/>
  <c r="U8" i="33"/>
  <c r="AE10" i="29"/>
  <c r="B13" i="33"/>
  <c r="AG10" i="29"/>
  <c r="D13" i="33"/>
  <c r="AI10" i="29"/>
  <c r="F13" i="33"/>
  <c r="AK10" i="29"/>
  <c r="H13" i="33"/>
  <c r="AM10" i="29"/>
  <c r="J13" i="33"/>
  <c r="AO10" i="29"/>
  <c r="L13" i="33"/>
  <c r="AQ10" i="29"/>
  <c r="N13" i="33"/>
  <c r="AS10" i="29"/>
  <c r="P13" i="33"/>
  <c r="AU10" i="29"/>
  <c r="R13" i="33"/>
  <c r="AW10" i="29"/>
  <c r="T13" i="33"/>
  <c r="AY10" i="29"/>
  <c r="V13" i="33"/>
  <c r="C18" i="34"/>
  <c r="C18" i="33"/>
  <c r="AH11" i="29"/>
  <c r="E18" i="34"/>
  <c r="E18" i="33"/>
  <c r="AJ11" i="29"/>
  <c r="G18" i="34"/>
  <c r="G18" i="33"/>
  <c r="AL11" i="29"/>
  <c r="I18" i="34"/>
  <c r="I18" i="33"/>
  <c r="AN11" i="29"/>
  <c r="K18" i="34"/>
  <c r="K18" i="33"/>
  <c r="AP11" i="29"/>
  <c r="M18" i="34"/>
  <c r="M18" i="33"/>
  <c r="AR11" i="29"/>
  <c r="O18" i="34"/>
  <c r="O18" i="33"/>
  <c r="AT11" i="29"/>
  <c r="Q18" i="34"/>
  <c r="Q18" i="33"/>
  <c r="AV11" i="29"/>
  <c r="S18" i="34"/>
  <c r="S18" i="33"/>
  <c r="AX11" i="29"/>
  <c r="U18" i="34"/>
  <c r="U18" i="33"/>
  <c r="AE21" i="29"/>
  <c r="B23" i="34"/>
  <c r="B23" i="33"/>
  <c r="AG21" i="29"/>
  <c r="D23" i="34"/>
  <c r="D23" i="33"/>
  <c r="AI21" i="29"/>
  <c r="F23" i="34"/>
  <c r="F23" i="33"/>
  <c r="AK21" i="29"/>
  <c r="H23" i="34"/>
  <c r="H23" i="33"/>
  <c r="AM21" i="29"/>
  <c r="J23" i="34"/>
  <c r="J23" i="33"/>
  <c r="AO21" i="29"/>
  <c r="L23" i="34"/>
  <c r="L23" i="33"/>
  <c r="AQ21" i="29"/>
  <c r="N23" i="34"/>
  <c r="N23" i="33"/>
  <c r="AS21" i="29"/>
  <c r="P23" i="34"/>
  <c r="P23" i="33"/>
  <c r="AU21" i="29"/>
  <c r="R23" i="34"/>
  <c r="R23" i="33"/>
  <c r="AW21" i="29"/>
  <c r="T23" i="34"/>
  <c r="T23" i="33"/>
  <c r="AY21" i="29"/>
  <c r="V23" i="34"/>
  <c r="V23" i="33"/>
  <c r="BC3" i="29"/>
  <c r="CT3"/>
  <c r="BC4"/>
  <c r="CT4"/>
  <c r="BC8"/>
  <c r="CT8"/>
  <c r="BC9"/>
  <c r="CT9"/>
  <c r="BC2"/>
  <c r="CT2"/>
  <c r="BC5"/>
  <c r="CT5"/>
  <c r="BC7"/>
  <c r="CT7"/>
  <c r="BC10"/>
  <c r="CT10"/>
  <c r="BC12"/>
  <c r="CT12"/>
  <c r="BC15"/>
  <c r="CT15"/>
  <c r="BC17"/>
  <c r="CT17"/>
  <c r="BC19"/>
  <c r="CT19"/>
  <c r="BC21"/>
  <c r="CT21"/>
  <c r="BC23"/>
  <c r="CT23"/>
  <c r="BC11"/>
  <c r="CT11"/>
  <c r="BC13"/>
  <c r="CT13"/>
  <c r="BC16"/>
  <c r="CT16"/>
  <c r="BC18"/>
  <c r="CT18"/>
  <c r="BC20"/>
  <c r="CT20"/>
  <c r="BC22"/>
  <c r="CT22"/>
  <c r="B43" i="27"/>
  <c r="B31"/>
  <c r="C27"/>
  <c r="AD2" i="29"/>
  <c r="BF2"/>
  <c r="AD4"/>
  <c r="BF4"/>
  <c r="AD7"/>
  <c r="BF7"/>
  <c r="AD9"/>
  <c r="BF9"/>
  <c r="AD11"/>
  <c r="BF11"/>
  <c r="AD13"/>
  <c r="BF13"/>
  <c r="AD16"/>
  <c r="BF16"/>
  <c r="AD18"/>
  <c r="BF18"/>
  <c r="AD20"/>
  <c r="BF20"/>
  <c r="AD22"/>
  <c r="BF22"/>
  <c r="AE1"/>
  <c r="BG1"/>
  <c r="AG1"/>
  <c r="BI1"/>
  <c r="AI1"/>
  <c r="BK1"/>
  <c r="AK1"/>
  <c r="BM1"/>
  <c r="AM1"/>
  <c r="BO1"/>
  <c r="AO1"/>
  <c r="BQ1"/>
  <c r="AQ1"/>
  <c r="BS1"/>
  <c r="AS1"/>
  <c r="BU1"/>
  <c r="AU1"/>
  <c r="BW1"/>
  <c r="AW1"/>
  <c r="BY1"/>
  <c r="AY1"/>
  <c r="CA1"/>
  <c r="BD1"/>
  <c r="CF1"/>
  <c r="AD3"/>
  <c r="BF3"/>
  <c r="AD5"/>
  <c r="BF5"/>
  <c r="AD8"/>
  <c r="BF8"/>
  <c r="AD10"/>
  <c r="BF10"/>
  <c r="AD12"/>
  <c r="BF12"/>
  <c r="AD15"/>
  <c r="BF15"/>
  <c r="AD17"/>
  <c r="BF17"/>
  <c r="AD19"/>
  <c r="BF19"/>
  <c r="AD21"/>
  <c r="BF21"/>
  <c r="AD23"/>
  <c r="BF23"/>
  <c r="AF1"/>
  <c r="BH1"/>
  <c r="AH1"/>
  <c r="BJ1"/>
  <c r="AJ1"/>
  <c r="BL1"/>
  <c r="AL1"/>
  <c r="BN1"/>
  <c r="AN1"/>
  <c r="BP1"/>
  <c r="AP1"/>
  <c r="BR1"/>
  <c r="AR1"/>
  <c r="BT1"/>
  <c r="AT1"/>
  <c r="BV1"/>
  <c r="AV1"/>
  <c r="BX1"/>
  <c r="AX1"/>
  <c r="BZ1"/>
  <c r="BC1"/>
  <c r="CE1"/>
  <c r="AC468" i="26"/>
  <c r="Z24" i="29" s="1"/>
  <c r="K80" i="27"/>
  <c r="I68"/>
  <c r="K68"/>
  <c r="M68"/>
  <c r="Q64"/>
  <c r="K12" i="29"/>
  <c r="K15"/>
  <c r="K17"/>
  <c r="L76" i="27"/>
  <c r="T60"/>
  <c r="V10" i="29"/>
  <c r="J12"/>
  <c r="L12"/>
  <c r="P15"/>
  <c r="J20"/>
  <c r="F80" i="27"/>
  <c r="V80"/>
  <c r="J72"/>
  <c r="L64"/>
  <c r="R64"/>
  <c r="L60"/>
  <c r="L56"/>
  <c r="R10" i="29"/>
  <c r="V15"/>
  <c r="T19"/>
  <c r="J21"/>
  <c r="L80" i="27"/>
  <c r="T76"/>
  <c r="J64"/>
  <c r="T64"/>
  <c r="J60"/>
  <c r="R60"/>
  <c r="J56"/>
  <c r="R56"/>
  <c r="L10" i="29"/>
  <c r="T10"/>
  <c r="T15"/>
  <c r="V18"/>
  <c r="R19"/>
  <c r="I76" i="27"/>
  <c r="K76"/>
  <c r="Q76"/>
  <c r="M64"/>
  <c r="U60"/>
  <c r="M32"/>
  <c r="U13" i="29"/>
  <c r="X13" s="1"/>
  <c r="U18"/>
  <c r="U20"/>
  <c r="X20" s="1"/>
  <c r="I8" i="27"/>
  <c r="M44"/>
  <c r="I44"/>
  <c r="U36"/>
  <c r="M24"/>
  <c r="M16"/>
  <c r="I5" i="29"/>
  <c r="U16" i="27"/>
  <c r="K4" i="29"/>
  <c r="F76" i="27"/>
  <c r="F15" i="29"/>
  <c r="R21"/>
  <c r="X21" s="1"/>
  <c r="K72" i="27"/>
  <c r="K48"/>
  <c r="S16" i="29"/>
  <c r="X16" s="1"/>
  <c r="I60" i="27"/>
  <c r="I32"/>
  <c r="I24"/>
  <c r="I19" i="29"/>
  <c r="N76" i="27"/>
  <c r="N19" i="29"/>
  <c r="S76" i="27"/>
  <c r="S17" i="29"/>
  <c r="X17" s="1"/>
  <c r="S19"/>
  <c r="N60" i="27"/>
  <c r="N17" i="29"/>
  <c r="N68" i="27"/>
  <c r="P76"/>
  <c r="P64"/>
  <c r="P10" i="29"/>
  <c r="P12"/>
  <c r="P18"/>
  <c r="N56" i="27"/>
  <c r="N10" i="29"/>
  <c r="O12"/>
  <c r="O13"/>
  <c r="H84" i="27"/>
  <c r="H68"/>
  <c r="H56"/>
  <c r="H12" i="29"/>
  <c r="H21"/>
  <c r="O72" i="27"/>
  <c r="O9" i="29"/>
  <c r="D72" i="27"/>
  <c r="O68"/>
  <c r="M80"/>
  <c r="M48"/>
  <c r="M40"/>
  <c r="M16" i="29"/>
  <c r="Q60" i="27"/>
  <c r="Q12" i="29"/>
  <c r="C64" i="27"/>
  <c r="C60"/>
  <c r="C56"/>
  <c r="C4" i="29"/>
  <c r="N84" i="27"/>
  <c r="N80"/>
  <c r="N12" i="29"/>
  <c r="V76" i="27"/>
  <c r="V60"/>
  <c r="V12" i="29"/>
  <c r="U4" i="27"/>
  <c r="U80"/>
  <c r="U72"/>
  <c r="U56"/>
  <c r="U44"/>
  <c r="U40"/>
  <c r="U32"/>
  <c r="U12"/>
  <c r="U8"/>
  <c r="S80"/>
  <c r="S12" i="29"/>
  <c r="D60" i="27"/>
  <c r="D21" i="29"/>
  <c r="D22"/>
  <c r="C83" i="27"/>
  <c r="C47"/>
  <c r="C84"/>
  <c r="C80"/>
  <c r="C72"/>
  <c r="C20" i="29"/>
  <c r="O80" i="27"/>
  <c r="O76"/>
  <c r="O64"/>
  <c r="O60"/>
  <c r="O56"/>
  <c r="O4" i="29"/>
  <c r="G4"/>
  <c r="G16"/>
  <c r="G17"/>
  <c r="F60" i="27"/>
  <c r="F10" i="29"/>
  <c r="F17"/>
  <c r="F84" i="27"/>
  <c r="F72"/>
  <c r="F68"/>
  <c r="F12" i="29"/>
  <c r="H16"/>
  <c r="H76" i="27"/>
  <c r="H72"/>
  <c r="D18" i="29"/>
  <c r="D20"/>
  <c r="G76" i="27"/>
  <c r="G9" i="29"/>
  <c r="G12"/>
  <c r="E16" i="27"/>
  <c r="Q68"/>
  <c r="Q13" i="29"/>
  <c r="P80" i="27"/>
  <c r="P72"/>
  <c r="P60"/>
  <c r="H64"/>
  <c r="H10" i="29"/>
  <c r="B68" i="27"/>
  <c r="T48"/>
  <c r="T12" i="29"/>
  <c r="Q84" i="27"/>
  <c r="Q80"/>
  <c r="Q32"/>
  <c r="Q24"/>
  <c r="Q16"/>
  <c r="Q12"/>
  <c r="Q15" i="29"/>
  <c r="T4" i="27"/>
  <c r="V4"/>
  <c r="L2" i="29"/>
  <c r="G84" i="27"/>
  <c r="G80"/>
  <c r="G72"/>
  <c r="G68"/>
  <c r="G56"/>
  <c r="G11" i="29"/>
  <c r="G13"/>
  <c r="D64" i="27"/>
  <c r="D56"/>
  <c r="D10" i="29"/>
  <c r="D12"/>
  <c r="BA7"/>
  <c r="BA9"/>
  <c r="BA13"/>
  <c r="BA16"/>
  <c r="BA18"/>
  <c r="S68" i="27"/>
  <c r="S56"/>
  <c r="S48"/>
  <c r="S4"/>
  <c r="S4" i="29"/>
  <c r="X4" s="1"/>
  <c r="S9"/>
  <c r="X9" s="1"/>
  <c r="S11"/>
  <c r="X11" s="1"/>
  <c r="E8" i="27"/>
  <c r="M8"/>
  <c r="G4"/>
  <c r="K2" i="29"/>
  <c r="V468" i="26"/>
  <c r="P24" i="29" s="1"/>
  <c r="T2"/>
  <c r="X2" s="1"/>
  <c r="BA3"/>
  <c r="BA4"/>
  <c r="B84" i="27"/>
  <c r="C63"/>
  <c r="C15"/>
  <c r="C35"/>
  <c r="C68"/>
  <c r="C9" i="29"/>
  <c r="C11"/>
  <c r="C12"/>
  <c r="B48" i="27"/>
  <c r="BA20" i="29"/>
  <c r="BA22"/>
  <c r="E40" i="27"/>
  <c r="E32"/>
  <c r="E7" i="29"/>
  <c r="E12"/>
  <c r="E18"/>
  <c r="E19"/>
  <c r="E22"/>
  <c r="F462" i="26"/>
  <c r="AD468"/>
  <c r="AA24" i="29" s="1"/>
  <c r="Z2"/>
  <c r="R84" i="27"/>
  <c r="R76"/>
  <c r="R12" i="29"/>
  <c r="R18"/>
  <c r="F455" i="26"/>
  <c r="F460"/>
  <c r="F464"/>
  <c r="Q72" i="27"/>
  <c r="Q40"/>
  <c r="Q36"/>
  <c r="Q8"/>
  <c r="M76"/>
  <c r="M72"/>
  <c r="M56"/>
  <c r="M36"/>
  <c r="M12"/>
  <c r="I80"/>
  <c r="I64"/>
  <c r="I56"/>
  <c r="I48"/>
  <c r="I40"/>
  <c r="I36"/>
  <c r="I12"/>
  <c r="AZ13" i="29"/>
  <c r="AZ16"/>
  <c r="AZ18"/>
  <c r="AZ20"/>
  <c r="AZ22"/>
  <c r="E80" i="27"/>
  <c r="E76"/>
  <c r="E64"/>
  <c r="E60"/>
  <c r="E56"/>
  <c r="E48"/>
  <c r="E36"/>
  <c r="E12"/>
  <c r="AW24" i="29"/>
  <c r="BD24"/>
  <c r="F466" i="26"/>
  <c r="O4" i="27"/>
  <c r="O11" i="29"/>
  <c r="O22"/>
  <c r="F459" i="26"/>
  <c r="F461"/>
  <c r="F463"/>
  <c r="F465"/>
  <c r="F467"/>
  <c r="AZ2" i="29"/>
  <c r="BA2"/>
  <c r="C7" i="27"/>
  <c r="AF3" i="29"/>
  <c r="B11" i="27"/>
  <c r="AE4" i="29"/>
  <c r="C23" i="27"/>
  <c r="AF7" i="29"/>
  <c r="C31" i="27"/>
  <c r="AF9" i="29"/>
  <c r="AZ9" s="1"/>
  <c r="C39" i="27"/>
  <c r="AF11" i="29"/>
  <c r="BA12"/>
  <c r="BA15"/>
  <c r="AZ17"/>
  <c r="BA17"/>
  <c r="AZ19"/>
  <c r="BA19"/>
  <c r="AZ23"/>
  <c r="BA23"/>
  <c r="B7" i="27"/>
  <c r="AE3" i="29"/>
  <c r="C11" i="27"/>
  <c r="AF4" i="29"/>
  <c r="B23" i="27"/>
  <c r="AE7" i="29"/>
  <c r="B39" i="27"/>
  <c r="AE11" i="29"/>
  <c r="C43" i="27"/>
  <c r="AF12" i="29"/>
  <c r="AZ12" s="1"/>
  <c r="C55" i="27"/>
  <c r="AF15" i="29"/>
  <c r="AZ15" s="1"/>
  <c r="B12" i="27"/>
  <c r="B7" i="29"/>
  <c r="F451" i="26"/>
  <c r="W443"/>
  <c r="O443"/>
  <c r="B15" i="29"/>
  <c r="B17"/>
  <c r="H443" i="26"/>
  <c r="J443"/>
  <c r="L443"/>
  <c r="N443"/>
  <c r="P443"/>
  <c r="R443"/>
  <c r="T443"/>
  <c r="V443"/>
  <c r="X443"/>
  <c r="Z443"/>
  <c r="AB443"/>
  <c r="AD443"/>
  <c r="F427"/>
  <c r="F431"/>
  <c r="F434"/>
  <c r="F436"/>
  <c r="F438"/>
  <c r="F440"/>
  <c r="F442"/>
  <c r="B32" i="27"/>
  <c r="B60"/>
  <c r="B76"/>
  <c r="C36"/>
  <c r="G36"/>
  <c r="K36"/>
  <c r="O36"/>
  <c r="S36"/>
  <c r="C24"/>
  <c r="G24"/>
  <c r="K24"/>
  <c r="O24"/>
  <c r="S24"/>
  <c r="C16"/>
  <c r="G16"/>
  <c r="K16"/>
  <c r="O16"/>
  <c r="S16"/>
  <c r="C8"/>
  <c r="G8"/>
  <c r="K8"/>
  <c r="O8"/>
  <c r="S8"/>
  <c r="E4"/>
  <c r="I4"/>
  <c r="M4"/>
  <c r="Q4"/>
  <c r="B11" i="29"/>
  <c r="F457" i="26"/>
  <c r="F452"/>
  <c r="F454"/>
  <c r="F456"/>
  <c r="F423"/>
  <c r="F424"/>
  <c r="K443"/>
  <c r="M443"/>
  <c r="Q443"/>
  <c r="S443"/>
  <c r="U443"/>
  <c r="Y443"/>
  <c r="AA443"/>
  <c r="AC443"/>
  <c r="N468"/>
  <c r="H24" i="29" s="1"/>
  <c r="D4" i="27"/>
  <c r="F4"/>
  <c r="H4"/>
  <c r="J4"/>
  <c r="L4"/>
  <c r="N4"/>
  <c r="P4"/>
  <c r="R4"/>
  <c r="D2" i="29"/>
  <c r="B8"/>
  <c r="W8" s="1"/>
  <c r="X8"/>
  <c r="B10"/>
  <c r="B40" i="27"/>
  <c r="X23" i="29"/>
  <c r="F453" i="26"/>
  <c r="B3" i="27"/>
  <c r="F429" i="26"/>
  <c r="B15" i="27"/>
  <c r="B27"/>
  <c r="B35"/>
  <c r="I443" i="26"/>
  <c r="F422"/>
  <c r="F426"/>
  <c r="F428"/>
  <c r="F430"/>
  <c r="F432"/>
  <c r="F435"/>
  <c r="F437"/>
  <c r="F439"/>
  <c r="F441"/>
  <c r="B36" i="27"/>
  <c r="B44"/>
  <c r="B56"/>
  <c r="B64"/>
  <c r="B72"/>
  <c r="B80"/>
  <c r="B88"/>
  <c r="D48"/>
  <c r="F48"/>
  <c r="H48"/>
  <c r="J48"/>
  <c r="L48"/>
  <c r="N48"/>
  <c r="P48"/>
  <c r="R48"/>
  <c r="D40"/>
  <c r="F40"/>
  <c r="H40"/>
  <c r="J40"/>
  <c r="L40"/>
  <c r="N40"/>
  <c r="P40"/>
  <c r="R40"/>
  <c r="T40"/>
  <c r="V40"/>
  <c r="D32"/>
  <c r="F32"/>
  <c r="H32"/>
  <c r="J32"/>
  <c r="L32"/>
  <c r="N32"/>
  <c r="P32"/>
  <c r="R32"/>
  <c r="T32"/>
  <c r="V32"/>
  <c r="P24"/>
  <c r="R24"/>
  <c r="T24"/>
  <c r="V24"/>
  <c r="F3" i="29"/>
  <c r="H3"/>
  <c r="J3"/>
  <c r="L3"/>
  <c r="N3"/>
  <c r="P3"/>
  <c r="R3"/>
  <c r="T3"/>
  <c r="V3"/>
  <c r="F5"/>
  <c r="H5"/>
  <c r="J5"/>
  <c r="L5"/>
  <c r="N5"/>
  <c r="P5"/>
  <c r="R5"/>
  <c r="T5"/>
  <c r="V5"/>
  <c r="D9"/>
  <c r="F448" i="26"/>
  <c r="F421"/>
  <c r="F447"/>
  <c r="F449"/>
  <c r="B8" i="27"/>
  <c r="B16"/>
  <c r="L468" i="26"/>
  <c r="F24" i="29" s="1"/>
  <c r="P468" i="26"/>
  <c r="J24" i="29" s="1"/>
  <c r="T468" i="26"/>
  <c r="N24" i="29" s="1"/>
  <c r="X468" i="26"/>
  <c r="R24" i="29" s="1"/>
  <c r="AB468" i="26"/>
  <c r="V24" i="29" s="1"/>
  <c r="D24" i="27"/>
  <c r="F24"/>
  <c r="H24"/>
  <c r="J24"/>
  <c r="L24"/>
  <c r="N24"/>
  <c r="D16"/>
  <c r="D12"/>
  <c r="F12"/>
  <c r="H12"/>
  <c r="J12"/>
  <c r="L12"/>
  <c r="N12"/>
  <c r="P12"/>
  <c r="R12"/>
  <c r="T12"/>
  <c r="V12"/>
  <c r="D8"/>
  <c r="X7" i="29"/>
  <c r="X22"/>
  <c r="C4" i="27"/>
  <c r="I468" i="26"/>
  <c r="C24" i="29" s="1"/>
  <c r="K468" i="26"/>
  <c r="E24" i="29" s="1"/>
  <c r="M468" i="26"/>
  <c r="G24" i="29" s="1"/>
  <c r="O468" i="26"/>
  <c r="I24" i="29" s="1"/>
  <c r="Q468" i="26"/>
  <c r="K24" i="29" s="1"/>
  <c r="S468" i="26"/>
  <c r="M24" i="29" s="1"/>
  <c r="U468" i="26"/>
  <c r="O24" i="29" s="1"/>
  <c r="W468" i="26"/>
  <c r="Q24" i="29" s="1"/>
  <c r="Y468" i="26"/>
  <c r="S24" i="29" s="1"/>
  <c r="AA468" i="26"/>
  <c r="U24" i="29" s="1"/>
  <c r="F446" i="26"/>
  <c r="B2" i="29"/>
  <c r="W23"/>
  <c r="H468" i="26"/>
  <c r="B24" i="29" s="1"/>
  <c r="C3" i="27"/>
  <c r="K420" i="26"/>
  <c r="L420" s="1"/>
  <c r="D87" i="27"/>
  <c r="D39"/>
  <c r="D59"/>
  <c r="D55"/>
  <c r="D47"/>
  <c r="D43"/>
  <c r="D35"/>
  <c r="D31"/>
  <c r="D27"/>
  <c r="D23"/>
  <c r="D15"/>
  <c r="D11"/>
  <c r="D7"/>
  <c r="D63"/>
  <c r="E87"/>
  <c r="E39"/>
  <c r="E59"/>
  <c r="E55"/>
  <c r="E47"/>
  <c r="E43"/>
  <c r="E35"/>
  <c r="E31"/>
  <c r="E27"/>
  <c r="E23"/>
  <c r="E15"/>
  <c r="E11"/>
  <c r="E7"/>
  <c r="E63"/>
  <c r="B67"/>
  <c r="B75"/>
  <c r="B83"/>
  <c r="D67"/>
  <c r="F67"/>
  <c r="D71"/>
  <c r="F71"/>
  <c r="D75"/>
  <c r="F75"/>
  <c r="D79"/>
  <c r="F79"/>
  <c r="B63"/>
  <c r="B71"/>
  <c r="C67"/>
  <c r="E67"/>
  <c r="C71"/>
  <c r="E71"/>
  <c r="C75"/>
  <c r="E75"/>
  <c r="C79"/>
  <c r="E79"/>
  <c r="BA10" i="29" l="1"/>
  <c r="W19"/>
  <c r="BA5"/>
  <c r="AM24"/>
  <c r="BA11"/>
  <c r="AZ7"/>
  <c r="AZ3"/>
  <c r="BB3" s="1"/>
  <c r="BA21"/>
  <c r="AU24"/>
  <c r="AQ24"/>
  <c r="AI24"/>
  <c r="AP24"/>
  <c r="AZ11"/>
  <c r="BB11" s="1"/>
  <c r="BB7"/>
  <c r="BA8"/>
  <c r="AX24"/>
  <c r="W21"/>
  <c r="Y21" s="1"/>
  <c r="AV24"/>
  <c r="AR24"/>
  <c r="AN24"/>
  <c r="AJ24"/>
  <c r="W13"/>
  <c r="Y13" s="1"/>
  <c r="BC24"/>
  <c r="AZ10"/>
  <c r="AZ8"/>
  <c r="AY24"/>
  <c r="AS24"/>
  <c r="AO24"/>
  <c r="AK24"/>
  <c r="AG24"/>
  <c r="AZ5"/>
  <c r="BB5" s="1"/>
  <c r="AZ21"/>
  <c r="BB21" s="1"/>
  <c r="AT24"/>
  <c r="AL24"/>
  <c r="AH24"/>
  <c r="M92" i="27"/>
  <c r="M29" i="34" s="1"/>
  <c r="R92" i="27"/>
  <c r="R29" i="33" s="1"/>
  <c r="C92" i="27"/>
  <c r="C29" i="33" s="1"/>
  <c r="C91" i="27"/>
  <c r="C28" i="33" s="1"/>
  <c r="U92" i="27"/>
  <c r="U29" i="33" s="1"/>
  <c r="N92" i="27"/>
  <c r="N29" i="33" s="1"/>
  <c r="H92" i="27"/>
  <c r="H29" i="33" s="1"/>
  <c r="I92" i="27"/>
  <c r="I29" i="33" s="1"/>
  <c r="T92" i="27"/>
  <c r="T29" i="33" s="1"/>
  <c r="J92" i="27"/>
  <c r="J29" i="33" s="1"/>
  <c r="E92" i="27"/>
  <c r="E29" i="33" s="1"/>
  <c r="G92" i="27"/>
  <c r="G29" i="33" s="1"/>
  <c r="Q92" i="27"/>
  <c r="Q29" i="33" s="1"/>
  <c r="F92" i="27"/>
  <c r="F29" i="33" s="1"/>
  <c r="O92" i="27"/>
  <c r="O29" i="33" s="1"/>
  <c r="V92" i="27"/>
  <c r="V29" i="33" s="1"/>
  <c r="D92" i="27"/>
  <c r="D29" i="33" s="1"/>
  <c r="P92" i="27"/>
  <c r="P29" i="33" s="1"/>
  <c r="S92" i="27"/>
  <c r="S29" i="34" s="1"/>
  <c r="K92" i="27"/>
  <c r="K29" i="33" s="1"/>
  <c r="L92" i="27"/>
  <c r="L29" i="34" s="1"/>
  <c r="B92" i="27"/>
  <c r="W23" i="33"/>
  <c r="W13"/>
  <c r="W3"/>
  <c r="W18"/>
  <c r="W8"/>
  <c r="W23" i="34"/>
  <c r="W18"/>
  <c r="W8"/>
  <c r="B91" i="27"/>
  <c r="CT24" i="29"/>
  <c r="CJ2" a="1"/>
  <c r="CJ2" s="1"/>
  <c r="BB9"/>
  <c r="X19"/>
  <c r="Y19" s="1"/>
  <c r="BB16"/>
  <c r="CH2" a="1"/>
  <c r="BB22"/>
  <c r="BB13"/>
  <c r="X15"/>
  <c r="X10"/>
  <c r="X18"/>
  <c r="BB18"/>
  <c r="BB20"/>
  <c r="W15"/>
  <c r="W7"/>
  <c r="Y7" s="1"/>
  <c r="W18"/>
  <c r="W16"/>
  <c r="Y16" s="1"/>
  <c r="W9"/>
  <c r="Y9" s="1"/>
  <c r="W20"/>
  <c r="Y20" s="1"/>
  <c r="W22"/>
  <c r="Y22" s="1"/>
  <c r="W4"/>
  <c r="Y4" s="1"/>
  <c r="X12"/>
  <c r="W12"/>
  <c r="W11"/>
  <c r="Y11" s="1"/>
  <c r="W10"/>
  <c r="W17"/>
  <c r="Y17" s="1"/>
  <c r="Y23"/>
  <c r="W2"/>
  <c r="Y2" s="1"/>
  <c r="AF24"/>
  <c r="BB2"/>
  <c r="BA24"/>
  <c r="BB23"/>
  <c r="BB19"/>
  <c r="BB17"/>
  <c r="BB15"/>
  <c r="BB12"/>
  <c r="AZ4"/>
  <c r="BB4" s="1"/>
  <c r="AE24"/>
  <c r="Y8"/>
  <c r="W3"/>
  <c r="F468" i="26"/>
  <c r="W5" i="29"/>
  <c r="X5"/>
  <c r="F443" i="26"/>
  <c r="X3" i="29"/>
  <c r="E83" i="27"/>
  <c r="E3"/>
  <c r="D83"/>
  <c r="D3"/>
  <c r="M420" i="26"/>
  <c r="F87" i="27"/>
  <c r="F39"/>
  <c r="F59"/>
  <c r="F55"/>
  <c r="F47"/>
  <c r="F43"/>
  <c r="F35"/>
  <c r="F31"/>
  <c r="F27"/>
  <c r="F23"/>
  <c r="F15"/>
  <c r="F11"/>
  <c r="F7"/>
  <c r="F63"/>
  <c r="BB10" i="29" l="1"/>
  <c r="Y18"/>
  <c r="H29" i="34"/>
  <c r="BB8" i="29"/>
  <c r="C29" i="34"/>
  <c r="O29"/>
  <c r="E29"/>
  <c r="D29"/>
  <c r="Q29"/>
  <c r="T29"/>
  <c r="U29"/>
  <c r="M29" i="33"/>
  <c r="R29" i="34"/>
  <c r="L29" i="33"/>
  <c r="S29"/>
  <c r="J29" i="34"/>
  <c r="N29"/>
  <c r="I29"/>
  <c r="C28"/>
  <c r="P29"/>
  <c r="F29"/>
  <c r="K29"/>
  <c r="V29"/>
  <c r="G29"/>
  <c r="D91" i="27"/>
  <c r="D28" i="33" s="1"/>
  <c r="E91" i="27"/>
  <c r="E28" i="33" s="1"/>
  <c r="B29" i="34"/>
  <c r="B29" i="33"/>
  <c r="B28" i="34"/>
  <c r="B28" i="33"/>
  <c r="CJ20" i="29"/>
  <c r="CJ11"/>
  <c r="CI2" a="1"/>
  <c r="CI2" s="1"/>
  <c r="CJ4"/>
  <c r="CJ18"/>
  <c r="CJ17"/>
  <c r="CJ12"/>
  <c r="CJ10"/>
  <c r="CJ19"/>
  <c r="CJ3"/>
  <c r="CJ9"/>
  <c r="CJ8"/>
  <c r="CJ16"/>
  <c r="CJ6"/>
  <c r="CJ14"/>
  <c r="CJ22"/>
  <c r="CJ15"/>
  <c r="CJ7"/>
  <c r="CJ21"/>
  <c r="CJ13"/>
  <c r="CJ5"/>
  <c r="CH2"/>
  <c r="CH19"/>
  <c r="CH15"/>
  <c r="CH11"/>
  <c r="CH7"/>
  <c r="CH3"/>
  <c r="CH20"/>
  <c r="CH16"/>
  <c r="CH12"/>
  <c r="CH8"/>
  <c r="CH4"/>
  <c r="CH21"/>
  <c r="CH17"/>
  <c r="CH13"/>
  <c r="CH9"/>
  <c r="CH5"/>
  <c r="CH22"/>
  <c r="CH18"/>
  <c r="CH14"/>
  <c r="CH10"/>
  <c r="CH6"/>
  <c r="Y15"/>
  <c r="Y10"/>
  <c r="Y12"/>
  <c r="Y3"/>
  <c r="Y5"/>
  <c r="W24"/>
  <c r="AZ24"/>
  <c r="X24"/>
  <c r="F83" i="27"/>
  <c r="F3"/>
  <c r="G87"/>
  <c r="G39"/>
  <c r="G59"/>
  <c r="G55"/>
  <c r="G47"/>
  <c r="G43"/>
  <c r="G35"/>
  <c r="G31"/>
  <c r="G27"/>
  <c r="G23"/>
  <c r="G15"/>
  <c r="G11"/>
  <c r="G7"/>
  <c r="G63"/>
  <c r="N420" i="26"/>
  <c r="G67" i="27"/>
  <c r="G71"/>
  <c r="G75"/>
  <c r="G79"/>
  <c r="BB24" i="29" l="1"/>
  <c r="W29" i="33"/>
  <c r="E28" i="34"/>
  <c r="W29"/>
  <c r="D28"/>
  <c r="F91" i="27"/>
  <c r="F28" i="34" s="1"/>
  <c r="CJ23" i="29"/>
  <c r="CJ24"/>
  <c r="CJ25"/>
  <c r="CI6"/>
  <c r="CI9"/>
  <c r="CI8"/>
  <c r="CI22"/>
  <c r="CI11"/>
  <c r="CI16"/>
  <c r="CI14"/>
  <c r="CI17"/>
  <c r="CI19"/>
  <c r="CI3"/>
  <c r="CI4"/>
  <c r="CI12"/>
  <c r="CI20"/>
  <c r="CI10"/>
  <c r="CI18"/>
  <c r="CI21"/>
  <c r="CI13"/>
  <c r="CI5"/>
  <c r="CI15"/>
  <c r="CI7"/>
  <c r="Y24"/>
  <c r="G83" i="27"/>
  <c r="G3"/>
  <c r="O420" i="26"/>
  <c r="H87" i="27"/>
  <c r="H39"/>
  <c r="H59"/>
  <c r="H55"/>
  <c r="H47"/>
  <c r="H43"/>
  <c r="H35"/>
  <c r="H31"/>
  <c r="H27"/>
  <c r="H23"/>
  <c r="H15"/>
  <c r="H11"/>
  <c r="H7"/>
  <c r="H63"/>
  <c r="H67"/>
  <c r="H71"/>
  <c r="H75"/>
  <c r="H79"/>
  <c r="F28" i="33" l="1"/>
  <c r="G91" i="27"/>
  <c r="CI23" i="29"/>
  <c r="CI24"/>
  <c r="CI25"/>
  <c r="H83" i="27"/>
  <c r="H3"/>
  <c r="I87"/>
  <c r="I39"/>
  <c r="I59"/>
  <c r="I55"/>
  <c r="I47"/>
  <c r="I43"/>
  <c r="I35"/>
  <c r="I31"/>
  <c r="I27"/>
  <c r="I23"/>
  <c r="I15"/>
  <c r="I11"/>
  <c r="I7"/>
  <c r="I63"/>
  <c r="P420" i="26"/>
  <c r="I67" i="27"/>
  <c r="I71"/>
  <c r="I75"/>
  <c r="I79"/>
  <c r="H91" l="1"/>
  <c r="H28" i="34" s="1"/>
  <c r="G28"/>
  <c r="G28" i="33"/>
  <c r="I83" i="27"/>
  <c r="I3"/>
  <c r="Q420" i="26"/>
  <c r="J87" i="27"/>
  <c r="J39"/>
  <c r="J59"/>
  <c r="J55"/>
  <c r="J47"/>
  <c r="J43"/>
  <c r="J35"/>
  <c r="J31"/>
  <c r="J27"/>
  <c r="J23"/>
  <c r="J15"/>
  <c r="J11"/>
  <c r="J7"/>
  <c r="J63"/>
  <c r="J67"/>
  <c r="J71"/>
  <c r="J75"/>
  <c r="J79"/>
  <c r="H28" i="33" l="1"/>
  <c r="I91" i="27"/>
  <c r="I28" i="34" s="1"/>
  <c r="J83" i="27"/>
  <c r="J3"/>
  <c r="K87"/>
  <c r="K39"/>
  <c r="K59"/>
  <c r="K55"/>
  <c r="K47"/>
  <c r="K43"/>
  <c r="K35"/>
  <c r="K31"/>
  <c r="K27"/>
  <c r="K23"/>
  <c r="K15"/>
  <c r="K11"/>
  <c r="K7"/>
  <c r="K63"/>
  <c r="R420" i="26"/>
  <c r="K67" i="27"/>
  <c r="K71"/>
  <c r="K75"/>
  <c r="K79"/>
  <c r="I28" i="33" l="1"/>
  <c r="J91" i="27"/>
  <c r="J28" i="34" s="1"/>
  <c r="K83" i="27"/>
  <c r="K3"/>
  <c r="S420" i="26"/>
  <c r="L87" i="27"/>
  <c r="L39"/>
  <c r="L59"/>
  <c r="L55"/>
  <c r="L47"/>
  <c r="L43"/>
  <c r="L35"/>
  <c r="L31"/>
  <c r="L27"/>
  <c r="L23"/>
  <c r="L15"/>
  <c r="L11"/>
  <c r="L7"/>
  <c r="L63"/>
  <c r="L67"/>
  <c r="L71"/>
  <c r="L75"/>
  <c r="L79"/>
  <c r="J28" i="33" l="1"/>
  <c r="K91" i="27"/>
  <c r="K28" i="34" s="1"/>
  <c r="L83" i="27"/>
  <c r="L3"/>
  <c r="M87"/>
  <c r="M39"/>
  <c r="M59"/>
  <c r="M55"/>
  <c r="M47"/>
  <c r="M43"/>
  <c r="M35"/>
  <c r="M31"/>
  <c r="M27"/>
  <c r="M23"/>
  <c r="M15"/>
  <c r="M11"/>
  <c r="M7"/>
  <c r="M63"/>
  <c r="T420" i="26"/>
  <c r="M67" i="27"/>
  <c r="M71"/>
  <c r="M75"/>
  <c r="M79"/>
  <c r="K28" i="33" l="1"/>
  <c r="L91" i="27"/>
  <c r="L28" i="34" s="1"/>
  <c r="M83" i="27"/>
  <c r="M3"/>
  <c r="U420" i="26"/>
  <c r="N87" i="27"/>
  <c r="N39"/>
  <c r="N59"/>
  <c r="N55"/>
  <c r="N47"/>
  <c r="N43"/>
  <c r="N35"/>
  <c r="N31"/>
  <c r="N27"/>
  <c r="N23"/>
  <c r="N15"/>
  <c r="N11"/>
  <c r="N7"/>
  <c r="N63"/>
  <c r="N67"/>
  <c r="N71"/>
  <c r="N75"/>
  <c r="N79"/>
  <c r="L28" i="33" l="1"/>
  <c r="M91" i="27"/>
  <c r="M28" i="34" s="1"/>
  <c r="N83" i="27"/>
  <c r="N3"/>
  <c r="O87"/>
  <c r="O39"/>
  <c r="O59"/>
  <c r="O55"/>
  <c r="O47"/>
  <c r="O43"/>
  <c r="O35"/>
  <c r="O31"/>
  <c r="O27"/>
  <c r="O23"/>
  <c r="O15"/>
  <c r="O11"/>
  <c r="O7"/>
  <c r="O63"/>
  <c r="V420" i="26"/>
  <c r="O67" i="27"/>
  <c r="O71"/>
  <c r="O75"/>
  <c r="O79"/>
  <c r="M28" i="33" l="1"/>
  <c r="N91" i="27"/>
  <c r="N28" i="34" s="1"/>
  <c r="O83" i="27"/>
  <c r="O3"/>
  <c r="W420" i="26"/>
  <c r="P87" i="27"/>
  <c r="P39"/>
  <c r="P59"/>
  <c r="P55"/>
  <c r="P47"/>
  <c r="P43"/>
  <c r="P35"/>
  <c r="P31"/>
  <c r="P27"/>
  <c r="P23"/>
  <c r="P15"/>
  <c r="P11"/>
  <c r="P7"/>
  <c r="P63"/>
  <c r="P67"/>
  <c r="P71"/>
  <c r="P75"/>
  <c r="P79"/>
  <c r="N28" i="33" l="1"/>
  <c r="O91" i="27"/>
  <c r="O28" i="34" s="1"/>
  <c r="P83" i="27"/>
  <c r="P3"/>
  <c r="Q87"/>
  <c r="Q39"/>
  <c r="Q59"/>
  <c r="Q55"/>
  <c r="Q47"/>
  <c r="Q43"/>
  <c r="Q35"/>
  <c r="Q31"/>
  <c r="Q27"/>
  <c r="Q23"/>
  <c r="Q15"/>
  <c r="Q11"/>
  <c r="Q7"/>
  <c r="Q63"/>
  <c r="X420" i="26"/>
  <c r="Q67" i="27"/>
  <c r="Q71"/>
  <c r="Q75"/>
  <c r="Q79"/>
  <c r="O28" i="33" l="1"/>
  <c r="P91" i="27"/>
  <c r="P28" i="34" s="1"/>
  <c r="Q83" i="27"/>
  <c r="Q3"/>
  <c r="Y420" i="26"/>
  <c r="R87" i="27"/>
  <c r="R39"/>
  <c r="R59"/>
  <c r="R55"/>
  <c r="R47"/>
  <c r="R43"/>
  <c r="R35"/>
  <c r="R31"/>
  <c r="R27"/>
  <c r="R23"/>
  <c r="R15"/>
  <c r="R11"/>
  <c r="R7"/>
  <c r="R63"/>
  <c r="R67"/>
  <c r="R71"/>
  <c r="R75"/>
  <c r="R79"/>
  <c r="P28" i="33" l="1"/>
  <c r="Q91" i="27"/>
  <c r="Q28" i="34" s="1"/>
  <c r="R83" i="27"/>
  <c r="R3"/>
  <c r="S87"/>
  <c r="S39"/>
  <c r="S59"/>
  <c r="S55"/>
  <c r="S47"/>
  <c r="S43"/>
  <c r="S35"/>
  <c r="S31"/>
  <c r="S27"/>
  <c r="S23"/>
  <c r="S15"/>
  <c r="S11"/>
  <c r="S7"/>
  <c r="S63"/>
  <c r="Z420" i="26"/>
  <c r="S67" i="27"/>
  <c r="S71"/>
  <c r="S75"/>
  <c r="S79"/>
  <c r="Q28" i="33" l="1"/>
  <c r="R91" i="27"/>
  <c r="R28" i="34" s="1"/>
  <c r="S83" i="27"/>
  <c r="S3"/>
  <c r="AA420" i="26"/>
  <c r="T87" i="27"/>
  <c r="T39"/>
  <c r="T59"/>
  <c r="T55"/>
  <c r="T47"/>
  <c r="T43"/>
  <c r="T35"/>
  <c r="T31"/>
  <c r="T27"/>
  <c r="T23"/>
  <c r="T15"/>
  <c r="T11"/>
  <c r="T7"/>
  <c r="T63"/>
  <c r="T67"/>
  <c r="T71"/>
  <c r="T75"/>
  <c r="T79"/>
  <c r="R28" i="33" l="1"/>
  <c r="S91" i="27"/>
  <c r="S28" i="34" s="1"/>
  <c r="T83" i="27"/>
  <c r="T3"/>
  <c r="U87"/>
  <c r="U39"/>
  <c r="U59"/>
  <c r="U55"/>
  <c r="U47"/>
  <c r="U43"/>
  <c r="U35"/>
  <c r="U31"/>
  <c r="U27"/>
  <c r="U23"/>
  <c r="U15"/>
  <c r="U11"/>
  <c r="U7"/>
  <c r="U63"/>
  <c r="AB420" i="26"/>
  <c r="U67" i="27"/>
  <c r="U71"/>
  <c r="U75"/>
  <c r="U79"/>
  <c r="S28" i="33" l="1"/>
  <c r="T91" i="27"/>
  <c r="T28" i="34" s="1"/>
  <c r="U83" i="27"/>
  <c r="U3"/>
  <c r="V87"/>
  <c r="V39"/>
  <c r="W39" s="1"/>
  <c r="V59"/>
  <c r="W59" s="1"/>
  <c r="V55"/>
  <c r="W55" s="1"/>
  <c r="V47"/>
  <c r="W47" s="1"/>
  <c r="V43"/>
  <c r="W43" s="1"/>
  <c r="V35"/>
  <c r="W35" s="1"/>
  <c r="V31"/>
  <c r="W31" s="1"/>
  <c r="V27"/>
  <c r="W27" s="1"/>
  <c r="V23"/>
  <c r="W23" s="1"/>
  <c r="V15"/>
  <c r="W15" s="1"/>
  <c r="V11"/>
  <c r="W11" s="1"/>
  <c r="V7"/>
  <c r="W7" s="1"/>
  <c r="V63"/>
  <c r="W63" s="1"/>
  <c r="V67"/>
  <c r="W67" s="1"/>
  <c r="V71"/>
  <c r="W71" s="1"/>
  <c r="V75"/>
  <c r="W75" s="1"/>
  <c r="V79"/>
  <c r="W79" s="1"/>
  <c r="T28" i="33" l="1"/>
  <c r="U91" i="27"/>
  <c r="U28" i="34" s="1"/>
  <c r="W87" i="27"/>
  <c r="V83"/>
  <c r="W83" s="1"/>
  <c r="V3"/>
  <c r="W3" s="1"/>
  <c r="U28" i="33" l="1"/>
  <c r="V91" i="27"/>
  <c r="V28" i="34" l="1"/>
  <c r="W28" s="1"/>
  <c r="V28" i="33"/>
  <c r="W28" s="1"/>
  <c r="W91" i="27"/>
  <c r="W93" s="1"/>
</calcChain>
</file>

<file path=xl/comments1.xml><?xml version="1.0" encoding="utf-8"?>
<comments xmlns="http://schemas.openxmlformats.org/spreadsheetml/2006/main">
  <authors>
    <author>naina</author>
    <author>SOM</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 ref="AM2" authorId="1">
      <text>
        <r>
          <rPr>
            <sz val="8"/>
            <color indexed="81"/>
            <rFont val="Tahoma"/>
            <family val="2"/>
          </rPr>
          <t xml:space="preserve">Analysis and management of data and information using statistics, excel, STATA, software/computer tools, GIS/LCA, and other tools.  </t>
        </r>
      </text>
    </comment>
    <comment ref="AN2" authorId="1">
      <text>
        <r>
          <rPr>
            <sz val="8"/>
            <color indexed="81"/>
            <rFont val="Tahoma"/>
            <family val="2"/>
          </rPr>
          <t>Social sciences, qualitative analysis, knowledge of political economy, sociology</t>
        </r>
      </text>
    </comment>
    <comment ref="AO2" authorId="1">
      <text>
        <r>
          <rPr>
            <sz val="8"/>
            <color indexed="81"/>
            <rFont val="Tahoma"/>
            <family val="2"/>
          </rPr>
          <t>Integration of various disciplines of knowledge and data</t>
        </r>
      </text>
    </comment>
    <comment ref="AP2" authorId="1">
      <text>
        <r>
          <rPr>
            <sz val="8"/>
            <color indexed="81"/>
            <rFont val="Tahoma"/>
            <family val="2"/>
          </rPr>
          <t>Expertise in a science or discipline related to the environment such as ecology, water resources, and energy. Includes research design and methods.</t>
        </r>
      </text>
    </comment>
    <comment ref="H127" authorId="1">
      <text>
        <r>
          <rPr>
            <b/>
            <sz val="8"/>
            <color indexed="81"/>
            <rFont val="Tahoma"/>
            <family val="2"/>
          </rPr>
          <t>SOM:</t>
        </r>
        <r>
          <rPr>
            <sz val="8"/>
            <color indexed="81"/>
            <rFont val="Tahoma"/>
            <family val="2"/>
          </rPr>
          <t xml:space="preserve">
lots to do with country/international Env Strat (not much on corpor)</t>
        </r>
      </text>
    </comment>
  </commentList>
</comments>
</file>

<file path=xl/comments2.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3.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4.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5.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6.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7.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8.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9.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10.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11.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12.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13.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14.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15.xml><?xml version="1.0" encoding="utf-8"?>
<comments xmlns="http://schemas.openxmlformats.org/spreadsheetml/2006/main">
  <authors>
    <author>naina</author>
  </authors>
  <commentList>
    <comment ref="D2" authorId="0">
      <text>
        <r>
          <rPr>
            <b/>
            <sz val="9"/>
            <color indexed="81"/>
            <rFont val="Tahoma"/>
            <family val="2"/>
          </rPr>
          <t>naina: G for Graduate or U for Undergraduate Level Course</t>
        </r>
        <r>
          <rPr>
            <sz val="9"/>
            <color indexed="81"/>
            <rFont val="Tahoma"/>
            <family val="2"/>
          </rPr>
          <t xml:space="preserve">
</t>
        </r>
      </text>
    </comment>
    <comment ref="AC2" authorId="0">
      <text>
        <r>
          <rPr>
            <b/>
            <sz val="9"/>
            <color indexed="81"/>
            <rFont val="Tahoma"/>
            <family val="2"/>
          </rPr>
          <t>naina:</t>
        </r>
        <r>
          <rPr>
            <sz val="9"/>
            <color indexed="81"/>
            <rFont val="Tahoma"/>
            <family val="2"/>
          </rPr>
          <t xml:space="preserve">
Examples of tools include: GIS, remote sensing, statistics, accounting, economic modeling, and LCA.</t>
        </r>
      </text>
    </comment>
  </commentList>
</comments>
</file>

<file path=xl/comments16.xml><?xml version="1.0" encoding="utf-8"?>
<comments xmlns="http://schemas.openxmlformats.org/spreadsheetml/2006/main">
  <authors>
    <author>SOM</author>
    <author>StatLab</author>
  </authors>
  <commentList>
    <comment ref="H1" authorId="0">
      <text>
        <r>
          <rPr>
            <sz val="12"/>
            <color indexed="81"/>
            <rFont val="Tahoma"/>
            <family val="2"/>
          </rPr>
          <t xml:space="preserve">Selected skills that directly matched skills used in the analysis of FES Survey </t>
        </r>
      </text>
    </comment>
    <comment ref="I1" authorId="0">
      <text>
        <r>
          <rPr>
            <sz val="12"/>
            <color indexed="81"/>
            <rFont val="Tahoma"/>
            <family val="2"/>
          </rPr>
          <t xml:space="preserve">Selected skills that directly matched skills used in the analysis of FES Survey </t>
        </r>
      </text>
    </comment>
    <comment ref="B23" authorId="1">
      <text>
        <r>
          <rPr>
            <sz val="10"/>
            <color indexed="81"/>
            <rFont val="Tahoma"/>
            <family val="2"/>
            <charset val="204"/>
          </rPr>
          <t xml:space="preserve">Analysis and management of data and information using statistics, excel, STATA, software/computer tools, GIS/LCA, and other tools.  </t>
        </r>
      </text>
    </comment>
    <comment ref="B26" authorId="1">
      <text>
        <r>
          <rPr>
            <sz val="10"/>
            <color indexed="81"/>
            <rFont val="Tahoma"/>
            <family val="2"/>
            <charset val="204"/>
          </rPr>
          <t>Social sciences, qualitative analysis, knowledge of political economy, sociology</t>
        </r>
      </text>
    </comment>
    <comment ref="B27" authorId="1">
      <text>
        <r>
          <rPr>
            <sz val="10"/>
            <color indexed="81"/>
            <rFont val="Tahoma"/>
            <family val="2"/>
            <charset val="204"/>
          </rPr>
          <t>Integration of various disciplines of knowledge and data</t>
        </r>
      </text>
    </comment>
    <comment ref="B28" authorId="1">
      <text>
        <r>
          <rPr>
            <sz val="10"/>
            <color indexed="81"/>
            <rFont val="Tahoma"/>
            <family val="2"/>
          </rPr>
          <t>Expertise in a science or discipline related to the environment such as ecology, water resources, and energy. Includes research design and methods.</t>
        </r>
      </text>
    </comment>
    <comment ref="B29" authorId="1">
      <text>
        <r>
          <rPr>
            <sz val="10"/>
            <color indexed="81"/>
            <rFont val="Tahoma"/>
            <family val="2"/>
          </rPr>
          <t>Understanding cleantech including green chemistry, engineering, architecture, alternative energy sources etc.</t>
        </r>
      </text>
    </comment>
    <comment ref="B30" authorId="1">
      <text>
        <r>
          <rPr>
            <sz val="10"/>
            <color indexed="81"/>
            <rFont val="Tahoma"/>
            <family val="2"/>
          </rPr>
          <t xml:space="preserve">Understanding local and global institutions, cultures, and policies., interaction between different sectors: government, NGOs, business. </t>
        </r>
      </text>
    </comment>
    <comment ref="B32" authorId="1">
      <text>
        <r>
          <rPr>
            <sz val="10"/>
            <color indexed="81"/>
            <rFont val="Tahoma"/>
            <family val="2"/>
          </rPr>
          <t>Managing timelines, projects, processes, operations, supply chains</t>
        </r>
      </text>
    </comment>
    <comment ref="B36" authorId="1">
      <text>
        <r>
          <rPr>
            <sz val="10"/>
            <color indexed="81"/>
            <rFont val="Tahoma"/>
            <family val="2"/>
          </rPr>
          <t>Fundraising, creating a budget, investment analysis,  financial accounting</t>
        </r>
      </text>
    </comment>
    <comment ref="B37" authorId="1">
      <text>
        <r>
          <rPr>
            <sz val="10"/>
            <color indexed="81"/>
            <rFont val="Tahoma"/>
            <family val="2"/>
          </rPr>
          <t>Long term planning, strategic management, competitive strategy</t>
        </r>
      </text>
    </comment>
    <comment ref="B38" authorId="1">
      <text>
        <r>
          <rPr>
            <sz val="10"/>
            <color indexed="81"/>
            <rFont val="Tahoma"/>
            <family val="2"/>
          </rPr>
          <t>Business plan development and execution, self marketing, launching an idea into action</t>
        </r>
      </text>
    </comment>
    <comment ref="B39" authorId="1">
      <text>
        <r>
          <rPr>
            <sz val="10"/>
            <color indexed="81"/>
            <rFont val="Tahoma"/>
            <family val="2"/>
          </rPr>
          <t xml:space="preserve">Working effectively with and managing stakeholders, customers, other internal and external groups. Human resources management. Effecting organizational progress, change management. </t>
        </r>
      </text>
    </comment>
    <comment ref="B43" authorId="1">
      <text>
        <r>
          <rPr>
            <sz val="10"/>
            <color indexed="81"/>
            <rFont val="Tahoma"/>
            <family val="2"/>
          </rPr>
          <t xml:space="preserve">Leadership, authenticity, self reflection, people skills. Working internally with teams, diversity, multicultural awareness, flexibility, conflict resolution, negotiation. 
</t>
        </r>
      </text>
    </comment>
    <comment ref="B48" authorId="1">
      <text>
        <r>
          <rPr>
            <sz val="10"/>
            <color indexed="81"/>
            <rFont val="Tahoma"/>
            <family val="2"/>
          </rPr>
          <t xml:space="preserve">Verbal and written communication, presentation, translating complex ideas into an understandable form, coaching/teaching. Persuasive ability and influence. </t>
        </r>
      </text>
    </comment>
    <comment ref="B52" authorId="1">
      <text>
        <r>
          <rPr>
            <sz val="10"/>
            <color indexed="81"/>
            <rFont val="Tahoma"/>
            <family val="2"/>
          </rPr>
          <t>Analytical skills. Root cause analysis, problem identification, problem solving</t>
        </r>
      </text>
    </comment>
  </commentList>
</comments>
</file>

<file path=xl/sharedStrings.xml><?xml version="1.0" encoding="utf-8"?>
<sst xmlns="http://schemas.openxmlformats.org/spreadsheetml/2006/main" count="13737" uniqueCount="2416">
  <si>
    <t>Social Entrepreneurship and Environmental Ventures</t>
  </si>
  <si>
    <t>Environmental Finance</t>
  </si>
  <si>
    <t>Green Design &amp; Building</t>
  </si>
  <si>
    <t>ENVIRONMENT-SUSTAINABILITY AREA OF INTEREST</t>
  </si>
  <si>
    <r>
      <t xml:space="preserve">RELEVANT TOOL FOR BUSINESS-ENVIRONMENT LEADERS                     </t>
    </r>
    <r>
      <rPr>
        <sz val="8"/>
        <color indexed="8"/>
        <rFont val="Calibri"/>
        <family val="2"/>
      </rPr>
      <t>(0-5)</t>
    </r>
  </si>
  <si>
    <t>PROFESSOR(S)</t>
  </si>
  <si>
    <t>COURSE TITLE</t>
  </si>
  <si>
    <t>COURSE #</t>
  </si>
  <si>
    <t>CROSS-LISTED COURSE #</t>
  </si>
  <si>
    <t>DESCRIPTION</t>
  </si>
  <si>
    <t>TERM</t>
  </si>
  <si>
    <t>CREDITS</t>
  </si>
  <si>
    <t>URL</t>
  </si>
  <si>
    <t>GRAD OR UNDERGRAD</t>
  </si>
  <si>
    <t>NOTES</t>
  </si>
  <si>
    <t>Corporate Environmental Strategy</t>
  </si>
  <si>
    <t>Climate Change</t>
  </si>
  <si>
    <t>CSR and Triple Bottom Line</t>
  </si>
  <si>
    <t>Energy</t>
  </si>
  <si>
    <t>Environmental Health &amp; Safety (EH&amp;S)</t>
  </si>
  <si>
    <t>Industrial Ecology</t>
  </si>
  <si>
    <t>Natural Resources Management</t>
  </si>
  <si>
    <t>International Development</t>
  </si>
  <si>
    <t>Air</t>
  </si>
  <si>
    <t>Water</t>
  </si>
  <si>
    <t>Forests</t>
  </si>
  <si>
    <t>Soils</t>
  </si>
  <si>
    <t>Ecosystems</t>
  </si>
  <si>
    <t>TOOL-BASED COURSE</t>
  </si>
  <si>
    <t>ADVANCED COURSE</t>
  </si>
  <si>
    <t>Environmental Economics</t>
  </si>
  <si>
    <t>Environmental Policy &amp; Law</t>
  </si>
  <si>
    <t>Environmental Justice &amp; Ethics</t>
  </si>
  <si>
    <t>Environmental Chemistry</t>
  </si>
  <si>
    <t>Pollution</t>
  </si>
  <si>
    <t>Anisfeld</t>
  </si>
  <si>
    <t>F&amp;ES 66008b</t>
  </si>
  <si>
    <t>Organic Pollutants in the Environment</t>
  </si>
  <si>
    <t>EVST/FES 307</t>
  </si>
  <si>
    <t>F&amp;ES 61016b</t>
  </si>
  <si>
    <t>Water Resource Management</t>
  </si>
  <si>
    <t>Ashton</t>
  </si>
  <si>
    <t>F&amp;ES 52013b</t>
  </si>
  <si>
    <t xml:space="preserve">Principles in Applied Ecology: The Practice of Silviculture </t>
  </si>
  <si>
    <t>F&amp;ES 50119b</t>
  </si>
  <si>
    <t xml:space="preserve">Field Trips in Forest Resource Management and Silviculture </t>
  </si>
  <si>
    <t>Benoit</t>
  </si>
  <si>
    <t>F&amp;ES 90116b</t>
  </si>
  <si>
    <t>Caribbean Coastal Development: Cesium and CZM</t>
  </si>
  <si>
    <t>F&amp;ES 60109b</t>
  </si>
  <si>
    <t>Aquatic Chemistry</t>
  </si>
  <si>
    <t>ENAS 640 EVST/F&amp;ES 344</t>
  </si>
  <si>
    <t>Berlyn</t>
  </si>
  <si>
    <t>F&amp;ES 52008b</t>
  </si>
  <si>
    <t>Physiology of Trees and Forests</t>
  </si>
  <si>
    <t>F&amp;ES 50107b</t>
  </si>
  <si>
    <t>Research Methods in Anatomy and Physiology of Trees</t>
  </si>
  <si>
    <t>Borak</t>
  </si>
  <si>
    <t>Applied Risk Assessment I</t>
  </si>
  <si>
    <t>EHS 511</t>
  </si>
  <si>
    <t>Bradford, Raymond</t>
  </si>
  <si>
    <t>F&amp;ES 32007b</t>
  </si>
  <si>
    <t>Ecosystems Pattern and Process</t>
  </si>
  <si>
    <t>Brennan-Galvin</t>
  </si>
  <si>
    <t>F&amp;ES 86024b</t>
  </si>
  <si>
    <t>Transportation and Urban Land Use Planning: Shaping the Twenty-First-Century City</t>
  </si>
  <si>
    <t>Bryk, Kennedy</t>
  </si>
  <si>
    <t xml:space="preserve">Environmental Protection Clinic </t>
  </si>
  <si>
    <t>LAW 20316</t>
  </si>
  <si>
    <t>Burke, Gentry</t>
  </si>
  <si>
    <t>Business and the Environment Clinic</t>
  </si>
  <si>
    <t>Burroughs</t>
  </si>
  <si>
    <t>F&amp;ES 65014b</t>
  </si>
  <si>
    <t xml:space="preserve">Coastal Ecosystem Governance </t>
  </si>
  <si>
    <t>Camp</t>
  </si>
  <si>
    <t>F&amp;ES 50002b</t>
  </si>
  <si>
    <t>Fire: Science &amp; Policy</t>
  </si>
  <si>
    <t>Camp, Tyrrell</t>
  </si>
  <si>
    <t>F&amp;ES 50020a</t>
  </si>
  <si>
    <t>Invasive Species: Ecology, Policy, &amp; Management</t>
  </si>
  <si>
    <t>Carpenter</t>
  </si>
  <si>
    <t>F&amp;ES 83073b</t>
  </si>
  <si>
    <t>Households, Communities, Gender (for Development and Conservation)</t>
  </si>
  <si>
    <t>ANTH 582</t>
  </si>
  <si>
    <t>F&amp;ES 80157b</t>
  </si>
  <si>
    <t>Social Science of Development and Conservation: Advanced Readings</t>
  </si>
  <si>
    <t>ANTH 598</t>
  </si>
  <si>
    <t>Cashore</t>
  </si>
  <si>
    <t>F&amp;ES 80079b</t>
  </si>
  <si>
    <t>Institutions of the Environment</t>
  </si>
  <si>
    <t>Chaturvedi</t>
  </si>
  <si>
    <t>F&amp;ES 90015b</t>
  </si>
  <si>
    <t>Trade, Innovation and Agriculture Technology in South Asia</t>
  </si>
  <si>
    <t>INTS 332/575</t>
  </si>
  <si>
    <t>Chertow</t>
  </si>
  <si>
    <t>F&amp;ES 90108b</t>
  </si>
  <si>
    <t>Advanced Industrial Ecology Seminar: Business Strategy and Industrial Ecology</t>
  </si>
  <si>
    <t>Chertow, Graedel</t>
  </si>
  <si>
    <t>F&amp;ES 96007b</t>
  </si>
  <si>
    <t>Clark</t>
  </si>
  <si>
    <t>F&amp;ES 83049b</t>
  </si>
  <si>
    <t xml:space="preserve">Society and Natural Resources </t>
  </si>
  <si>
    <t>1, 2, or 3</t>
  </si>
  <si>
    <t>F&amp;ES 33012a</t>
  </si>
  <si>
    <t>Species and Ecosystem Conservation: An Interdisciplinary Approach</t>
  </si>
  <si>
    <t>Doolittle</t>
  </si>
  <si>
    <t>F&amp;ES 83065b</t>
  </si>
  <si>
    <t>Topics in Environmental Justice</t>
  </si>
  <si>
    <t>F&amp;ES 70117b</t>
  </si>
  <si>
    <t>Advanced Social Science Research Methods and Practice</t>
  </si>
  <si>
    <t>EVST 410</t>
  </si>
  <si>
    <t>Dove</t>
  </si>
  <si>
    <t>F&amp;ES 80176a</t>
  </si>
  <si>
    <t>ANTH 572b</t>
  </si>
  <si>
    <t>Eckelman</t>
  </si>
  <si>
    <t>F&amp;ES 96018b</t>
  </si>
  <si>
    <t>Green Engineering and Sustainable Design</t>
  </si>
  <si>
    <t>ENVE 360           ENAS 360</t>
  </si>
  <si>
    <t>F&amp;ES 90009b</t>
  </si>
  <si>
    <t>Life Cycle Assessment Practicum</t>
  </si>
  <si>
    <t>Esty</t>
  </si>
  <si>
    <t>F&amp;ES 85033b</t>
  </si>
  <si>
    <t>LAW 21033</t>
  </si>
  <si>
    <t>Felson</t>
  </si>
  <si>
    <t>F&amp;ES 90122b</t>
  </si>
  <si>
    <t>Ecological Urbanism</t>
  </si>
  <si>
    <t>ARCH 4226b</t>
  </si>
  <si>
    <t>Ferrucci</t>
  </si>
  <si>
    <t>F&amp;ES 50023b</t>
  </si>
  <si>
    <t xml:space="preserve">Forest Management Operations for Professional Foresters </t>
  </si>
  <si>
    <t>2 or 3</t>
  </si>
  <si>
    <t>Geballe</t>
  </si>
  <si>
    <t>F&amp;ES 80045b</t>
  </si>
  <si>
    <t>Environment and Political Action</t>
  </si>
  <si>
    <t>Gentry</t>
  </si>
  <si>
    <t>F&amp;ES 80027b</t>
  </si>
  <si>
    <t xml:space="preserve">Strategies for Land Conservation </t>
  </si>
  <si>
    <t>Gentry, Ashton</t>
  </si>
  <si>
    <t>F&amp;ES  80116b</t>
  </si>
  <si>
    <t>Emerging Markets for Ecosystem Services - Optimizing Drinking Water Management: Forests or Treatment Plants?</t>
  </si>
  <si>
    <t>Gollin</t>
  </si>
  <si>
    <t>Environment &amp; Development: An Economic Approach</t>
  </si>
  <si>
    <t>Gregoire</t>
  </si>
  <si>
    <t>F&amp;ES  77108b</t>
  </si>
  <si>
    <t xml:space="preserve">Regression Modeling of Ecological &amp; Environmental Data </t>
  </si>
  <si>
    <t>Grim, Tucker</t>
  </si>
  <si>
    <t>F&amp;ES 80071b</t>
  </si>
  <si>
    <t>World Religions and Ecology:  Asian Religions</t>
  </si>
  <si>
    <t>RLST 280</t>
  </si>
  <si>
    <t>Hernandez/Gentry</t>
  </si>
  <si>
    <t>F&amp;ES 80067b</t>
  </si>
  <si>
    <t>Seminar on Land Use Planning</t>
  </si>
  <si>
    <t>Kellert</t>
  </si>
  <si>
    <t>F&amp;ES 80051b</t>
  </si>
  <si>
    <t>Kelly, Michelangeli</t>
  </si>
  <si>
    <t>F&amp;ES 30010b</t>
  </si>
  <si>
    <t>Tropical Field Botany</t>
  </si>
  <si>
    <t>Kotchen</t>
  </si>
  <si>
    <t>F&amp;ES 80189b</t>
  </si>
  <si>
    <t>Green Markets:  Can We Buy and Sell Our Way Out of the Environmental Crisis?</t>
  </si>
  <si>
    <t>Leaderer</t>
  </si>
  <si>
    <t>F&amp;ES 96014b</t>
  </si>
  <si>
    <t>Assessing Exposures to Environmental Stressors</t>
  </si>
  <si>
    <t>EHS 508</t>
  </si>
  <si>
    <t>Lee R.,Geballe</t>
  </si>
  <si>
    <t>Environmental Diplomacy Practicum</t>
  </si>
  <si>
    <t>Lee X.</t>
  </si>
  <si>
    <t>F&amp;ES 60129b</t>
  </si>
  <si>
    <t>Boundary Layer Meteorology</t>
  </si>
  <si>
    <t>F&amp;ES 61005b</t>
  </si>
  <si>
    <t>Climate and Life</t>
  </si>
  <si>
    <t>Lye, Robinson</t>
  </si>
  <si>
    <t>F&amp;ES 80041b</t>
  </si>
  <si>
    <t>Lyons</t>
  </si>
  <si>
    <t>F&amp;ES 80015b</t>
  </si>
  <si>
    <t>Mendelsohn</t>
  </si>
  <si>
    <t>F&amp;ES 80103b</t>
  </si>
  <si>
    <t>Valuing the Environment</t>
  </si>
  <si>
    <t>Montagnini</t>
  </si>
  <si>
    <t>F&amp;ES 60028b</t>
  </si>
  <si>
    <t>Seminar in Soil Conservation and Management</t>
  </si>
  <si>
    <t>F&amp;ES 50104b</t>
  </si>
  <si>
    <t>Seminar in Ecological Restoration</t>
  </si>
  <si>
    <t>Nolon</t>
  </si>
  <si>
    <t>F&amp;ES 80039b</t>
  </si>
  <si>
    <t>Land Use Planning &amp; Practice:  Climate Change, Green Development, and Sustainability</t>
  </si>
  <si>
    <t>Northrop</t>
  </si>
  <si>
    <t>F&amp;ES 80028b</t>
  </si>
  <si>
    <t>Understanding Environmental Campaigns and Policymaking:  Strategies and Tactics</t>
  </si>
  <si>
    <t>Oliver</t>
  </si>
  <si>
    <t>F&amp;ES 50011b</t>
  </si>
  <si>
    <t>Managing Resources</t>
  </si>
  <si>
    <t>F&amp;ES 80008b</t>
  </si>
  <si>
    <t>Seminar on Leadership in Natural Resources and the Environment</t>
  </si>
  <si>
    <t>Raymond, Saiers</t>
  </si>
  <si>
    <t>F&amp;ES 60022b</t>
  </si>
  <si>
    <t>Watershed Cycles and Processes</t>
  </si>
  <si>
    <t>Reuning-Scherer</t>
  </si>
  <si>
    <t>F&amp;ES 77113b</t>
  </si>
  <si>
    <t xml:space="preserve">Multivariate Statistical Analysis in the Environmental Sciences </t>
  </si>
  <si>
    <t>STAT 363/660</t>
  </si>
  <si>
    <t>Schor</t>
  </si>
  <si>
    <t>F&amp;ES 90025b</t>
  </si>
  <si>
    <t>Consumption &amp; Sustainability</t>
  </si>
  <si>
    <t>Smith, Ashton M, Seto, Lee X</t>
  </si>
  <si>
    <t>F&amp;ES 77001b</t>
  </si>
  <si>
    <t>Remote Sensing: Observing the Earth from Space</t>
  </si>
  <si>
    <t>Tomlin</t>
  </si>
  <si>
    <t>F&amp;ES 77010b</t>
  </si>
  <si>
    <t xml:space="preserve">Modeling Geographic Space </t>
  </si>
  <si>
    <t>Vandebroek</t>
  </si>
  <si>
    <t>F&amp;ES 30005b</t>
  </si>
  <si>
    <t>Ethnobotany</t>
  </si>
  <si>
    <t>Vytlacil</t>
  </si>
  <si>
    <t>F&amp;ES 77004b</t>
  </si>
  <si>
    <t>Econometrics</t>
  </si>
  <si>
    <t>ECON 136b</t>
  </si>
  <si>
    <t>F&amp;ES 62017a</t>
  </si>
  <si>
    <t>Coastal Ecosystems: Natural Processes &amp; Anthropogenic Impacts*</t>
  </si>
  <si>
    <t>FES 50115a</t>
  </si>
  <si>
    <t>Rapid Assessments in Forest Conservation</t>
  </si>
  <si>
    <t>FES 50118a</t>
  </si>
  <si>
    <t xml:space="preserve">Seminar in Advanced Silviculture </t>
  </si>
  <si>
    <t>Ashton, McKenna</t>
  </si>
  <si>
    <t>FES 50114a</t>
  </si>
  <si>
    <t xml:space="preserve">Management Plans for Protected Areas </t>
  </si>
  <si>
    <t xml:space="preserve">Benoit </t>
  </si>
  <si>
    <t>FES 61110a</t>
  </si>
  <si>
    <t>Biogeochemistry &amp; Pollution</t>
  </si>
  <si>
    <t xml:space="preserve">Benoit, Decker, Smith </t>
  </si>
  <si>
    <t>FES 60015a</t>
  </si>
  <si>
    <t>Munson Series: Ocean Acidification, A New Challenge for Researchers and Policymakers</t>
  </si>
  <si>
    <t>F&amp;ES 52006a</t>
  </si>
  <si>
    <t>Structure, Function, and Development of Trees and Other Vascular Plants</t>
  </si>
  <si>
    <t>Borak, Fields</t>
  </si>
  <si>
    <t>F&amp;ES 96005a</t>
  </si>
  <si>
    <t>Introduction to Toxicology</t>
  </si>
  <si>
    <t>EHS 503</t>
  </si>
  <si>
    <t>F&amp;ES 86059a</t>
  </si>
  <si>
    <t>Cities and Sustainability in the Developing World</t>
  </si>
  <si>
    <t>Brewer</t>
  </si>
  <si>
    <t>F&amp;ES 90021a</t>
  </si>
  <si>
    <t>Management &amp; the Environment: Issues &amp; Topics</t>
  </si>
  <si>
    <t>MGT 684</t>
  </si>
  <si>
    <t>F&amp;ES 52016a</t>
  </si>
  <si>
    <t>Forest Dynamics: Growth &amp; Development of Forest Stands</t>
  </si>
  <si>
    <t xml:space="preserve">Carpenter </t>
  </si>
  <si>
    <t>F&amp;ES 83056a</t>
  </si>
  <si>
    <t>Social Science of Development and Conservation</t>
  </si>
  <si>
    <t>ANTH 597a</t>
  </si>
  <si>
    <t>F&amp;ES  80061a</t>
  </si>
  <si>
    <t>Anthropology of the Global Economy for Development &amp; Conservation</t>
  </si>
  <si>
    <t>ANTH 561a</t>
  </si>
  <si>
    <t>F&amp;ES 85023a</t>
  </si>
  <si>
    <t>The New Corporate Social Responsibility: Public Problems, Private Solutions, and Strategic Responses</t>
  </si>
  <si>
    <t>F&amp;ES 85068a</t>
  </si>
  <si>
    <t>International Environmental Policy and Governance</t>
  </si>
  <si>
    <t>EVST245/ FES 245</t>
  </si>
  <si>
    <t>F&amp;ES 96019a</t>
  </si>
  <si>
    <t>Greening Business Operations</t>
  </si>
  <si>
    <t>MGT 564</t>
  </si>
  <si>
    <t>F&amp;ES 85036a</t>
  </si>
  <si>
    <t>Cromwell/Burke</t>
  </si>
  <si>
    <t>F&amp;ES 80019</t>
  </si>
  <si>
    <t>MGT 618</t>
  </si>
  <si>
    <t xml:space="preserve">Decker </t>
  </si>
  <si>
    <t>F&amp;ES 32121a</t>
  </si>
  <si>
    <t>Biological Oceanography</t>
  </si>
  <si>
    <t>EEB275/575/EVST400</t>
  </si>
  <si>
    <t>Diuk-Wasser</t>
  </si>
  <si>
    <t>FES 90004a</t>
  </si>
  <si>
    <t>Ecology and Epidemiology of Vector-Borne and Zoonotic Diseases</t>
  </si>
  <si>
    <t>F&amp;ES 70003a</t>
  </si>
  <si>
    <t>Social Science Qualitative Research Methods</t>
  </si>
  <si>
    <t>F&amp;ES 83050a</t>
  </si>
  <si>
    <t>ANTH 581a</t>
  </si>
  <si>
    <t>Draghi</t>
  </si>
  <si>
    <t>F&amp;ES 40004a</t>
  </si>
  <si>
    <t>Archetypes and the Environment</t>
  </si>
  <si>
    <t>Ernstberger</t>
  </si>
  <si>
    <t>F&amp;ES 60027a</t>
  </si>
  <si>
    <t>Environmental Chemical Analysis</t>
  </si>
  <si>
    <t>Esty, Ramsey</t>
  </si>
  <si>
    <t>F&amp;ES 96112a</t>
  </si>
  <si>
    <t>Mgmt &amp; Strategic Advantage</t>
  </si>
  <si>
    <t>Garvin</t>
  </si>
  <si>
    <t>F&amp;ES 86048a</t>
  </si>
  <si>
    <t xml:space="preserve">Introduction to Planning and Development </t>
  </si>
  <si>
    <t>ARCH 903a</t>
  </si>
  <si>
    <t>Geballe, Yohe, Robinson</t>
  </si>
  <si>
    <t>F&amp;ES 80021a</t>
  </si>
  <si>
    <t>International Organizations and Conferences</t>
  </si>
  <si>
    <t>F&amp;ES 85030a</t>
  </si>
  <si>
    <t xml:space="preserve">Private Investment and the Environment </t>
  </si>
  <si>
    <t>MGT 685a</t>
  </si>
  <si>
    <t>F&amp;ES 80085a</t>
  </si>
  <si>
    <t>Agriculture &amp; the Environment</t>
  </si>
  <si>
    <t>F&amp;ES 77006a</t>
  </si>
  <si>
    <t xml:space="preserve">Sampling Methodology and Practice </t>
  </si>
  <si>
    <t>Grim</t>
  </si>
  <si>
    <t>F&amp;ES 80044a</t>
  </si>
  <si>
    <t>Indigenous Religions and Ecology</t>
  </si>
  <si>
    <t>Guneralp, Seto</t>
  </si>
  <si>
    <t>F&amp;ES 77016a</t>
  </si>
  <si>
    <t>Systems Modeling of the Environment</t>
  </si>
  <si>
    <t>Irland</t>
  </si>
  <si>
    <t>F&amp;ES 50021a</t>
  </si>
  <si>
    <t>Financial Analysis for Land Management</t>
  </si>
  <si>
    <t>F&amp;ES 90001a</t>
  </si>
  <si>
    <t xml:space="preserve">Professional Ethics: Orientation to the Field </t>
  </si>
  <si>
    <t>Koomey</t>
  </si>
  <si>
    <t xml:space="preserve">FES 80030a </t>
  </si>
  <si>
    <t>Forecasting Energy Futures: Pitfalls and Prospects</t>
  </si>
  <si>
    <t>F&amp;ES 86025a</t>
  </si>
  <si>
    <t xml:space="preserve">Energy Systems Analysis </t>
  </si>
  <si>
    <t>MGT 563a</t>
  </si>
  <si>
    <t>F&amp;ES 70002a</t>
  </si>
  <si>
    <t>Research Methods</t>
  </si>
  <si>
    <t>Lee, X.</t>
  </si>
  <si>
    <t>F&amp;ES D0004a</t>
  </si>
  <si>
    <t>Preparation for Research</t>
  </si>
  <si>
    <t xml:space="preserve">Leuprecht </t>
  </si>
  <si>
    <t>F&amp;ES 80087a</t>
  </si>
  <si>
    <t>Environmental Security, Demographic Change, and Non-Conventional Threats</t>
  </si>
  <si>
    <t>INRL 594a</t>
  </si>
  <si>
    <t>MacBroom</t>
  </si>
  <si>
    <t>F&amp;ES 61024a</t>
  </si>
  <si>
    <t xml:space="preserve">River Processes and Restoration </t>
  </si>
  <si>
    <t>Mansur</t>
  </si>
  <si>
    <t>F&amp;ES 80186a</t>
  </si>
  <si>
    <t>MGT 820a</t>
  </si>
  <si>
    <t>F&amp;ES 94110a</t>
  </si>
  <si>
    <t>Public and Private Management of the Environment</t>
  </si>
  <si>
    <t>MGT 528a</t>
  </si>
  <si>
    <t>Marshall/Camp</t>
  </si>
  <si>
    <t>F&amp;ES 50025a</t>
  </si>
  <si>
    <t>Natural History &amp; Taxonomy of Trees</t>
  </si>
  <si>
    <t>Mendelsohn/Kotchen</t>
  </si>
  <si>
    <t>F&amp;ES 84040a</t>
  </si>
  <si>
    <t>Economics of the Environment</t>
  </si>
  <si>
    <t>Mitch</t>
  </si>
  <si>
    <t>F&amp;ES 60012a</t>
  </si>
  <si>
    <t xml:space="preserve">Water Quality Control </t>
  </si>
  <si>
    <t>CENG/ENVE 377</t>
  </si>
  <si>
    <t>F&amp;ES 32006a</t>
  </si>
  <si>
    <t>Tropical Forest Ecology.  The Basis for Conservation &amp; Management</t>
  </si>
  <si>
    <t>Montagnini, Bradford</t>
  </si>
  <si>
    <t>F&amp;ES 62013a</t>
  </si>
  <si>
    <t xml:space="preserve">Introduction to Soil Science </t>
  </si>
  <si>
    <t>Nelson</t>
  </si>
  <si>
    <t>F&amp;ES 80032a</t>
  </si>
  <si>
    <t xml:space="preserve">History of the Environment and Ecological Science </t>
  </si>
  <si>
    <t>F&amp;ES 52012a</t>
  </si>
  <si>
    <t>Global Resources and the Environment</t>
  </si>
  <si>
    <t>Rae</t>
  </si>
  <si>
    <t>F&amp;ES 80075a</t>
  </si>
  <si>
    <t>Capitalism: Success, Crisis, and Reform</t>
  </si>
  <si>
    <t>F&amp;ES 77009a</t>
  </si>
  <si>
    <t xml:space="preserve">Introduction to Statistics in the Environmental Sciences </t>
  </si>
  <si>
    <t>Schmitz</t>
  </si>
  <si>
    <t>Biodiversity Conservation</t>
  </si>
  <si>
    <t>Schmitz, Seto, Graedel, Hebert</t>
  </si>
  <si>
    <t>F&amp;ES 90024a</t>
  </si>
  <si>
    <t>Seto</t>
  </si>
  <si>
    <t>F&amp;ES 77015a</t>
  </si>
  <si>
    <t>Remote Sensing of Land-Cover and Land-Use Change</t>
  </si>
  <si>
    <t>Shansky</t>
  </si>
  <si>
    <t>F&amp;ES 80029a</t>
  </si>
  <si>
    <t xml:space="preserve">Local Environmental Law and Land-Use Practices </t>
  </si>
  <si>
    <t>Sivaramakrishnan, Perdue, Scott</t>
  </si>
  <si>
    <t>F&amp;ES 80054a</t>
  </si>
  <si>
    <t>Agrarian Societies: Culture, Society, History and Development</t>
  </si>
  <si>
    <t>HIST 965/PLSC 779/ANTH 541a</t>
  </si>
  <si>
    <t>Stevenson</t>
  </si>
  <si>
    <t>F&amp;ES 30009b</t>
  </si>
  <si>
    <t>Biogeography &amp; Conservation</t>
  </si>
  <si>
    <t>Strebeigh</t>
  </si>
  <si>
    <t>F&amp;ES 40002a</t>
  </si>
  <si>
    <t xml:space="preserve">Environmental Writing* </t>
  </si>
  <si>
    <t>F&amp;ES 77011a</t>
  </si>
  <si>
    <t xml:space="preserve">Modeling Geographic Objects </t>
  </si>
  <si>
    <t>Turekian</t>
  </si>
  <si>
    <t>F&amp;ES 61001a</t>
  </si>
  <si>
    <t xml:space="preserve">Marine, Atmospheric and Surﬁcial Geochemistry </t>
  </si>
  <si>
    <t>G&amp;G 657/457a</t>
  </si>
  <si>
    <t>Vance</t>
  </si>
  <si>
    <t>F&amp;ES 40006a</t>
  </si>
  <si>
    <t>G</t>
  </si>
  <si>
    <t>x</t>
  </si>
  <si>
    <t>F</t>
  </si>
  <si>
    <t>Disaster, Degradation, Dystopia: Social Science Approaches to Perturbation and Change</t>
  </si>
  <si>
    <t xml:space="preserve">Environmental Law and Policy                                                                       </t>
  </si>
  <si>
    <t>Comparative Environmental Law in Global Legal Systems</t>
  </si>
  <si>
    <t>Natural Resource Policy Practicum</t>
  </si>
  <si>
    <t>S</t>
  </si>
  <si>
    <t>Foundations of Natural Resource Policy &amp; Management</t>
  </si>
  <si>
    <t>Entrepreneurial Business Planning</t>
  </si>
  <si>
    <t>Society and Environment: Introduction to Theory and Method</t>
  </si>
  <si>
    <t xml:space="preserve">Energy Markets Strategy </t>
  </si>
  <si>
    <t xml:space="preserve">Linkages of Sustainability </t>
  </si>
  <si>
    <t>Prof. Communications Skills for Non-Native Speakers of English</t>
  </si>
  <si>
    <t>Rae, Douglas
Bagley, Constance</t>
  </si>
  <si>
    <t>MGT413</t>
  </si>
  <si>
    <t>State &amp; Society</t>
  </si>
  <si>
    <t>Kahn, Lisa
Baron, James</t>
  </si>
  <si>
    <t>MGT420</t>
  </si>
  <si>
    <t>Employee</t>
  </si>
  <si>
    <t>Nalebuff, Barry
Canales , Rodrigo</t>
  </si>
  <si>
    <t>MGT421</t>
  </si>
  <si>
    <t>Innovator</t>
  </si>
  <si>
    <t>Swersey, Arthur
Kim, Sang-Hyun</t>
  </si>
  <si>
    <t>MGT422</t>
  </si>
  <si>
    <t>Operations Engine</t>
  </si>
  <si>
    <t>Schott, Peter</t>
  </si>
  <si>
    <t>MGT425</t>
  </si>
  <si>
    <t>The Global Macroeconomy</t>
  </si>
  <si>
    <t>MGT430</t>
  </si>
  <si>
    <t>Integrated Leadership Perspective</t>
  </si>
  <si>
    <t>Campbell, Arthur; Nalebuff, Barry</t>
  </si>
  <si>
    <t>MGT525</t>
  </si>
  <si>
    <t>Competitive Strategy</t>
  </si>
  <si>
    <t>Strategy</t>
  </si>
  <si>
    <t>Mobarak, Mushfiq</t>
  </si>
  <si>
    <t>MGT526</t>
  </si>
  <si>
    <t>Doing Business in the Developing World</t>
  </si>
  <si>
    <t>Oster, Sharon</t>
  </si>
  <si>
    <t>MGT527</t>
  </si>
  <si>
    <t>Strategic Management of Nonprofit Organizations</t>
  </si>
  <si>
    <t>Brooks, Heidi</t>
  </si>
  <si>
    <t>MGT531</t>
  </si>
  <si>
    <t>Interpersonal Dynamics</t>
  </si>
  <si>
    <t>Leadership &amp; OB</t>
  </si>
  <si>
    <t>Cain, Daylian</t>
  </si>
  <si>
    <t>MGT532</t>
  </si>
  <si>
    <t>Business Ethics Meets Behavioral Economics</t>
  </si>
  <si>
    <t>Brescoll, Tori</t>
  </si>
  <si>
    <t>MGT534</t>
  </si>
  <si>
    <t>Managing a Modern Workforce</t>
  </si>
  <si>
    <t>Dawson, Erica</t>
  </si>
  <si>
    <t>MGT536</t>
  </si>
  <si>
    <t>Judgment &amp; Negotiation</t>
  </si>
  <si>
    <t>Choi, James</t>
  </si>
  <si>
    <t>Corporate Finance</t>
  </si>
  <si>
    <t>Finance</t>
  </si>
  <si>
    <t>Ingersoll, Jonathan</t>
  </si>
  <si>
    <t>MGT545</t>
  </si>
  <si>
    <t>Financial Engineering</t>
  </si>
  <si>
    <t>Cremers, Martijn</t>
  </si>
  <si>
    <t>MGT547</t>
  </si>
  <si>
    <t>Fixed Income Security Analysis</t>
  </si>
  <si>
    <t>Mayzlin, Dina</t>
  </si>
  <si>
    <t>MGT551</t>
  </si>
  <si>
    <t>High-Tech Marketing</t>
  </si>
  <si>
    <t>MGT554</t>
  </si>
  <si>
    <t>Social Media Management</t>
  </si>
  <si>
    <t>Sen, Subrata</t>
  </si>
  <si>
    <t>MGT557</t>
  </si>
  <si>
    <t>Product Planning &amp; Development</t>
  </si>
  <si>
    <t>Simmons, Joseph</t>
  </si>
  <si>
    <t>MGT562</t>
  </si>
  <si>
    <t>Behavioral Perspectives on Management</t>
  </si>
  <si>
    <t>Garten, Jeffrey</t>
  </si>
  <si>
    <t>MGT584</t>
  </si>
  <si>
    <t>Leading a Global Company</t>
  </si>
  <si>
    <t>MGT585</t>
  </si>
  <si>
    <t>Washington and Wall Street: Markets, Policy, and Politics</t>
  </si>
  <si>
    <t>Judson, Bruce</t>
  </si>
  <si>
    <t>MGT595</t>
  </si>
  <si>
    <t>Entrepreneurship and Management Clinic</t>
  </si>
  <si>
    <t>Entreprenuership &amp; Private Equity
General Management</t>
  </si>
  <si>
    <t>Sonnenfeld, Jeffrey</t>
  </si>
  <si>
    <t>MGT623</t>
  </si>
  <si>
    <t>Strategic Leadership Across Sectors</t>
  </si>
  <si>
    <t>Kahn, Lisa</t>
  </si>
  <si>
    <t>MGT624</t>
  </si>
  <si>
    <t>Competitive Strategy and the Internal Organization of the Firm</t>
  </si>
  <si>
    <t>Economics</t>
  </si>
  <si>
    <t>Cromwell, David</t>
  </si>
  <si>
    <t>MGT635</t>
  </si>
  <si>
    <t>Venture Capital &amp; Private Equity Investments  </t>
  </si>
  <si>
    <t>Entrepreneurship &amp; Private Equity
Finance</t>
  </si>
  <si>
    <t>Ayres, Ian</t>
  </si>
  <si>
    <t>MGT646</t>
  </si>
  <si>
    <t>Quantitative Corporate Finance</t>
  </si>
  <si>
    <t>Business &amp; the Law</t>
  </si>
  <si>
    <t>Goetzmann, William</t>
  </si>
  <si>
    <t>MGT649</t>
  </si>
  <si>
    <t>Financial History</t>
  </si>
  <si>
    <t>Dhar, Ravi</t>
  </si>
  <si>
    <t>MGT650</t>
  </si>
  <si>
    <t>YCCI Independent Research Project</t>
  </si>
  <si>
    <t>Marketing</t>
  </si>
  <si>
    <t>MGT662</t>
  </si>
  <si>
    <t>Intellectual Property</t>
  </si>
  <si>
    <t>Schwartz, Alan
Fraidin, Stephen</t>
  </si>
  <si>
    <t>MGT664</t>
  </si>
  <si>
    <t>Law &amp; Economics of Corporate Control</t>
  </si>
  <si>
    <t>Business &amp; the Environment</t>
  </si>
  <si>
    <t>Brennan-Galvin, Ellen</t>
  </si>
  <si>
    <t>MGT683</t>
  </si>
  <si>
    <t>Transportation &amp; the Urban Future</t>
  </si>
  <si>
    <t>MGT695</t>
  </si>
  <si>
    <t>Nonprofit Organizations Clinic</t>
  </si>
  <si>
    <t>Business &amp; the Law
Nonprofit</t>
  </si>
  <si>
    <t>Forman, Howard</t>
  </si>
  <si>
    <t>MGT698</t>
  </si>
  <si>
    <t>Healthcare Policy, Finance, and Economics</t>
  </si>
  <si>
    <t>Economics
Healthcare
Public Management</t>
  </si>
  <si>
    <t>MGT699</t>
  </si>
  <si>
    <t>Healthcare Leadership Seminar</t>
  </si>
  <si>
    <t>Healthcare</t>
  </si>
  <si>
    <t>Li, Lode</t>
  </si>
  <si>
    <t>MGT808</t>
  </si>
  <si>
    <t>Management Decision-Making with Spreadsheets</t>
  </si>
  <si>
    <t>Economics
Finance
Operations</t>
  </si>
  <si>
    <t>Zhang, Frank</t>
  </si>
  <si>
    <t>MGT811</t>
  </si>
  <si>
    <t>Taxes, Business &amp; Strategy</t>
  </si>
  <si>
    <t>Accounting
Business &amp; the Law
Economics</t>
  </si>
  <si>
    <t>MGT812</t>
  </si>
  <si>
    <t>Financial Statement Analysis</t>
  </si>
  <si>
    <t>Accounting
General Management
Strategy</t>
  </si>
  <si>
    <t>Thomas, Jacob</t>
  </si>
  <si>
    <t>MGT813</t>
  </si>
  <si>
    <t>Advanced Financial Statement Analysis</t>
  </si>
  <si>
    <t>Accounting
Finance</t>
  </si>
  <si>
    <t>Antle, Rick</t>
  </si>
  <si>
    <t>MGT814</t>
  </si>
  <si>
    <t>Financial Statements of Nonprofit Organizations</t>
  </si>
  <si>
    <t>Accounting
Nonprofit</t>
  </si>
  <si>
    <t>MGT818</t>
  </si>
  <si>
    <t>Financial Reporting II</t>
  </si>
  <si>
    <t>Accounting
Finance
Strategy</t>
  </si>
  <si>
    <t>Feinstein, Jonathan</t>
  </si>
  <si>
    <t>MGT821</t>
  </si>
  <si>
    <t>Public Sector Economics</t>
  </si>
  <si>
    <t>Economics
Public Management</t>
  </si>
  <si>
    <t>Takahashi, Dean
Ammon, Peter</t>
  </si>
  <si>
    <t>Endowment Management</t>
  </si>
  <si>
    <t>MGT828</t>
  </si>
  <si>
    <t>Creativity &amp; Innovation</t>
  </si>
  <si>
    <t>Entrepreneurship &amp; Private Equity
General Management
Leadership &amp; OB
Strategy</t>
  </si>
  <si>
    <t>MGT829</t>
  </si>
  <si>
    <t>Statistical Modeling</t>
  </si>
  <si>
    <t>Sonnenfeld, Jeffrey
Kolditz, Tom</t>
  </si>
  <si>
    <t>MGT832</t>
  </si>
  <si>
    <t>Crisis and Courage: Leading Through Adversity</t>
  </si>
  <si>
    <t>Manson, Mark</t>
  </si>
  <si>
    <t>MGT834</t>
  </si>
  <si>
    <t>Current Events</t>
  </si>
  <si>
    <t>Ethical Business Management
Finance
General Management
Politics</t>
  </si>
  <si>
    <t>MGT837</t>
  </si>
  <si>
    <t>Coaching Skills for Managers</t>
  </si>
  <si>
    <t>MGT840</t>
  </si>
  <si>
    <t>Corporate Governance &amp; Finance</t>
  </si>
  <si>
    <t>Business &amp; the Law
Ethical Business Management
Finance</t>
  </si>
  <si>
    <t>MGT844</t>
  </si>
  <si>
    <t>Fixed Income Basics</t>
  </si>
  <si>
    <t>Sheldon, Tony</t>
  </si>
  <si>
    <t>MGT846</t>
  </si>
  <si>
    <t>Microfinance and Economic Development</t>
  </si>
  <si>
    <t>Economics
Ethical Business Management
Finance
International</t>
  </si>
  <si>
    <t>Millstein, Ira</t>
  </si>
  <si>
    <t>MGT847</t>
  </si>
  <si>
    <t>Corporate Governance: How It Failed Us and How the Crisis Will Change It</t>
  </si>
  <si>
    <t>Ethical Business Management</t>
  </si>
  <si>
    <t>Shin, Jiwoong</t>
  </si>
  <si>
    <t>MGT851</t>
  </si>
  <si>
    <t>Listening to the Customer</t>
  </si>
  <si>
    <t>MGT852</t>
  </si>
  <si>
    <t>Strategic Market Measurement</t>
  </si>
  <si>
    <t>MGT856</t>
  </si>
  <si>
    <t>Managing Marketing Programs</t>
  </si>
  <si>
    <t>Meyers, Jack</t>
  </si>
  <si>
    <t>MGT861</t>
  </si>
  <si>
    <t>Philanthropic Foundations</t>
  </si>
  <si>
    <t>Nonprofit</t>
  </si>
  <si>
    <t>Koppell, Jonathan</t>
  </si>
  <si>
    <t>MGT864</t>
  </si>
  <si>
    <t>CSR: Social Venture Management</t>
  </si>
  <si>
    <t>Ethical Business Management
General Management
Politics</t>
  </si>
  <si>
    <t>MGT865</t>
  </si>
  <si>
    <t>Global &amp; Social Enterprise: Brazil</t>
  </si>
  <si>
    <t>General Management</t>
  </si>
  <si>
    <t>MGT871</t>
  </si>
  <si>
    <t>Financial Reporting</t>
  </si>
  <si>
    <t>Accounting
Finance
Nonprofit</t>
  </si>
  <si>
    <t>Kim, Sang-Hyun</t>
  </si>
  <si>
    <t>MGT875</t>
  </si>
  <si>
    <t>Service Operations Management</t>
  </si>
  <si>
    <t>Operations</t>
  </si>
  <si>
    <t>MGT877</t>
  </si>
  <si>
    <t>Simulation Modeling</t>
  </si>
  <si>
    <t>Long, Elisa</t>
  </si>
  <si>
    <t>MGT879</t>
  </si>
  <si>
    <t>Healthcare Operations</t>
  </si>
  <si>
    <t>Healthcare
Operations</t>
  </si>
  <si>
    <t>Harries, Garth</t>
  </si>
  <si>
    <t>MGT884</t>
  </si>
  <si>
    <t>Managing Education Reform</t>
  </si>
  <si>
    <t>General Management
Nonprofit
Public Management</t>
  </si>
  <si>
    <t>MGT887</t>
  </si>
  <si>
    <t>Negotiation</t>
  </si>
  <si>
    <t>General Management
Leadership &amp; OB
Strategy</t>
  </si>
  <si>
    <t>Gray, Kevin</t>
  </si>
  <si>
    <t>MGT898</t>
  </si>
  <si>
    <t>Principles of Commercial Real Estate</t>
  </si>
  <si>
    <t>Entrepreneurship &amp; Private Equity
Finance
International
Real Estate</t>
  </si>
  <si>
    <t>Gaddis, John</t>
  </si>
  <si>
    <t>MGT984</t>
  </si>
  <si>
    <t>Studies in Grand Strategy I</t>
  </si>
  <si>
    <t>Politics</t>
  </si>
  <si>
    <t>SOM Core Course</t>
  </si>
  <si>
    <t>Nonprofit, Strategy</t>
  </si>
  <si>
    <t>Ethical Business Management, General Management, Leadership &amp; OB</t>
  </si>
  <si>
    <t>General Management, Leadership &amp; OB</t>
  </si>
  <si>
    <t>Marketing, Nonprofit</t>
  </si>
  <si>
    <t>Marketing, Strategy</t>
  </si>
  <si>
    <t>International, Leadership &amp; OB, Politics</t>
  </si>
  <si>
    <t>Politics, Public Management</t>
  </si>
  <si>
    <t>PRE-REQ</t>
  </si>
  <si>
    <t>JD COMMENTS 1</t>
  </si>
  <si>
    <t>JD COMMENTS 2</t>
  </si>
  <si>
    <t>X</t>
  </si>
  <si>
    <t>AL</t>
  </si>
  <si>
    <t>NA</t>
  </si>
  <si>
    <t>BC</t>
  </si>
  <si>
    <t>Community and Economic Development</t>
  </si>
  <si>
    <t>Land Transactions</t>
  </si>
  <si>
    <t>Land Use</t>
  </si>
  <si>
    <t>Green Energy Policy</t>
  </si>
  <si>
    <t>Climate Change Law, Theory and Practice</t>
  </si>
  <si>
    <t>Law of Climate Change</t>
  </si>
  <si>
    <t>Law 20023</t>
  </si>
  <si>
    <t>Law 20024</t>
  </si>
  <si>
    <t>Law 20415</t>
  </si>
  <si>
    <t>Law 20435</t>
  </si>
  <si>
    <t>Law 20526</t>
  </si>
  <si>
    <t>Law 20548</t>
  </si>
  <si>
    <t>Law 25166</t>
  </si>
  <si>
    <t>F&amp;ES 90003a</t>
  </si>
  <si>
    <t>FS</t>
  </si>
  <si>
    <t>F&amp;ES 80034a,b</t>
  </si>
  <si>
    <t>F&amp;ES 80046a,b</t>
  </si>
  <si>
    <t>Golden</t>
  </si>
  <si>
    <t>1,2,3</t>
  </si>
  <si>
    <t>Permission of instructor required</t>
  </si>
  <si>
    <t>Golden, Hudspeth, Muckenfuss, Nadel, Solomon, Stone</t>
  </si>
  <si>
    <t>3</t>
  </si>
  <si>
    <t>Johnstone</t>
  </si>
  <si>
    <t>This course will cover legal aspects of land transactions, including mortgages and other means of real estate finance, mortgage insurance, the mortgage market, real estate broker agreements, real estate contracts of sale, construction agreements, the recording acts, title insurance, and Torrens Registration.</t>
  </si>
  <si>
    <t>Ellickson</t>
  </si>
  <si>
    <t>Attention will be given not only to zoning but also to such advanced topics as planning theory, environmental impact reports, homeowner associations, state land-use controls, and mechanisms for financing the urban infrastructure.</t>
  </si>
  <si>
    <t>Community and Economic Development required</t>
  </si>
  <si>
    <t>Advanced Community and Economic Development - registrar</t>
  </si>
  <si>
    <t xml:space="preserve">Behavioral and Institutional Economics </t>
  </si>
  <si>
    <t>Law 20083</t>
  </si>
  <si>
    <t>Shiller</t>
  </si>
  <si>
    <t>Law 20219</t>
  </si>
  <si>
    <t>Business Organizations</t>
  </si>
  <si>
    <t>4</t>
  </si>
  <si>
    <t>hareholders' economic interests are examined from the perspective of limited liability and dividend standards, expectations of liquidity or transferability of shares, and the use of debt capital as a mode of financing corporate activity. Shareholders' limited participation rights in corporate decision making will be examined from the perspective of state and federal rules governing shareholder voting and the disclosure of corporate information and the notion of managerial expertise (e.g., as evidenced by judicial application of the "business judgment rule"). The latter part of the course will focus on directors' and officers' fiduciary obligations to shareholders, examining the operation of these duties in a variety of settings and transactions.</t>
  </si>
  <si>
    <t>Brooks, Macey</t>
  </si>
  <si>
    <t>Weisbach</t>
  </si>
  <si>
    <t>1</t>
  </si>
  <si>
    <t>Corruption, Economic Development, and Democracy</t>
  </si>
  <si>
    <t>Law 20098</t>
  </si>
  <si>
    <t>Rose-Ackerman</t>
  </si>
  <si>
    <t>2,3</t>
  </si>
  <si>
    <t>A seminar on the link between political and bureaucratic institutions, on the one hand, and economic development, on the other. A particular focus will be the impact of corruption on development and the establishment of democratic government.</t>
  </si>
  <si>
    <t>Engineering and Ownership of Life</t>
  </si>
  <si>
    <t>Kevles</t>
  </si>
  <si>
    <t>This seminar explores the history of intellectual property protection in living matter. Focusing on the United States in world context, it examines arrangements for IP protection outside the patent system as well as within it. Topics covered include law, agribusiness, medicine, and biotechnology.</t>
  </si>
  <si>
    <t>Law 20332</t>
  </si>
  <si>
    <t>2</t>
  </si>
  <si>
    <t>MGT 688/Law 20490</t>
  </si>
  <si>
    <t>Law 20051</t>
  </si>
  <si>
    <t xml:space="preserve">Simon, Davis, Lindsay </t>
  </si>
  <si>
    <t>Urban Legal History: New Haven</t>
  </si>
  <si>
    <t>Law 20264</t>
  </si>
  <si>
    <t>This seminar will explore this question by focusing on the physical development of New Haven from 1638 to the present. Readings and class sessions will address, among other topics, the initial Nine Squares layout and colonial land allotments; the dynamics of land subdivision and private development (such as the Hillhouse Subdivision); land assembly by Yale and others; the street network, the Green, and other public lands; such public works as the Farmington Canal, the planting of elm trees, and the interstate highways; and evolving controls on building quality and land use.</t>
  </si>
  <si>
    <t>Law 21234</t>
  </si>
  <si>
    <t>Topics include negotiated acquisitions, hostile takeovers, hedge fund participation in proxy contests and firm strategy, state and federal regulation of acquisitions activity, and corporate governance issues. Readings range from current cases to scholarly articles. The theoretical and legal treatments will be tested in the analysis of three recent deals, each of which will be presented by an actual participant in the deal.</t>
  </si>
  <si>
    <t>Kysar</t>
  </si>
  <si>
    <t>[The] Law of Climate Change (21566). 3 units. This course will explore legal and policy developments pertaining to climate change and the regulation of greenhouse gas emissions. Approaches considered will range in scale (state, regional, national, international), temporal scope (incremental measures, multi-decade emissions goals, constitutional amendments), policy orientation (voluntary initiatives, disclosures rules, subsidization, tort litigation, command-and-control regulation, cap-and-trade schemes, emissions taxes), regulatory target (industry and manufacturing, commercial and retail firms, financial and insurance companies, consumers and workers), and regulatory objective (stabilization of greenhouse gas concentrations, reduction of emissions levels or intensity, energy security, optimal balancing of costs and benefits, adaption to unavoidable impacts).</t>
  </si>
  <si>
    <t>CDE 523b</t>
  </si>
  <si>
    <t>Measurement Issues in Chronic Disease Epidemiology</t>
  </si>
  <si>
    <t>Mayne</t>
  </si>
  <si>
    <t xml:space="preserve">G </t>
  </si>
  <si>
    <t>The first part of the course covers the use and limitations of currently available techniques for measuring exposure to a number of etiologic factors such as diet, alcohol, tobacco, physical activity, psychological stress, and environmental/occupational exposures.</t>
  </si>
  <si>
    <t>CDE 543a/EMD 543a</t>
  </si>
  <si>
    <t>Humphries</t>
  </si>
  <si>
    <t>Global Aspects of Food and Nutrition</t>
  </si>
  <si>
    <t>The course covers nutritional assessment tools; the cultural, economic, agricultural, and policy context within which malnutrition exists; and approaches to reducing malnutrition.</t>
  </si>
  <si>
    <t>CDE 591b</t>
  </si>
  <si>
    <t>Gupta</t>
  </si>
  <si>
    <t>Epidemiology and Control of Disease in Low- and Middle-Income Countries</t>
  </si>
  <si>
    <t>EHS 502a/CDE 502a</t>
  </si>
  <si>
    <t>Yeckel</t>
  </si>
  <si>
    <t>Physiology for Public Health</t>
  </si>
  <si>
    <t>The objective of this course is to provide a comprehensive working knowledge of the primary physiologic and metabolic systems that respond to environmental stressors.</t>
  </si>
  <si>
    <t>Sparer</t>
  </si>
  <si>
    <t>Introduction to Industrial Hygiene </t>
  </si>
  <si>
    <t>EHS 505b</t>
  </si>
  <si>
    <t>Students are introduced to the practice of industrial hygiene: the recognition, evaluation, and control of health hazards in the workplace. A systematic approach to identifying hazards in the workplace is presented, and students are asked to exercise these techniques in at least one industrial worksite. Topics include regulation of health and safety in the workplace, air sampling and interpretation of sampling results, and approaches to reducing place exposures</t>
  </si>
  <si>
    <t>Students use the basic concepts and tools presented in Principles of Epidemiology (CDE 508) to describe the major causes of morbidity and mortality in developing countries (including both infectious and chronic diseases, maternal and reproductive health concerns, and environmental developments), how these have changed as the Global South goes through the epidemiological transition, and the different interventions that have been implemented to address these issues.</t>
  </si>
  <si>
    <t>Zheng</t>
  </si>
  <si>
    <t>EHS 507a</t>
  </si>
  <si>
    <t>Environmental Epidemiology </t>
  </si>
  <si>
    <t>EHS 510a</t>
  </si>
  <si>
    <t>Contemporary Issues in Environmental Health</t>
  </si>
  <si>
    <t>McCarty, Stowe</t>
  </si>
  <si>
    <t>Students use these tools to study current topics, including air and water pollution, climate change, energy and biofuels, occupational health, children’s health, environmental justice, and pesticide use, among other topics.</t>
  </si>
  <si>
    <t>Zhang</t>
  </si>
  <si>
    <t>EHS 525a</t>
  </si>
  <si>
    <t>Seminar in Environmental Health</t>
  </si>
  <si>
    <t>Zhu</t>
  </si>
  <si>
    <t>EHS 545b</t>
  </si>
  <si>
    <t>Introduction to Environmental Genetics </t>
  </si>
  <si>
    <t>This course aims at understanding the role of interactions between genetic susceptibility and environmental exposures in human disease development. The molecular basis of human genetics and genetic variations are described. Biological responses to environmental exposures are also discussed, as well as biomarkers for detecting environmental exposures, biological effects, and genetic susceptibility. Human cancer and asthma are used as two examples to illustrate genetic approaches to environmental disease. Finally, the role of gene environment interaction in human disease is addressed in the context of human evolutionary history.</t>
  </si>
  <si>
    <t>EHS 575a and b</t>
  </si>
  <si>
    <t>Mobo, Russi</t>
  </si>
  <si>
    <t>Introduction to Occupational and Environmental Medicine</t>
  </si>
  <si>
    <t>year long</t>
  </si>
  <si>
    <t>EMD 572a</t>
  </si>
  <si>
    <t>Students learn how human risk for these diseases can be described and predicted by understanding the ecology of vectors and reservoirs and the factors allowing for maintenance and transmission of pathogens.</t>
  </si>
  <si>
    <t>Aksoy, Weiss</t>
  </si>
  <si>
    <t>Vector Biology</t>
  </si>
  <si>
    <t>EMD 550b/682b</t>
  </si>
  <si>
    <t>Insects transmit many emerging and re-emerging human and agriculture-related diseases. These insect-borne diseases have a directly negative impact on public health especially in the developing world, and can cause further indirect devastation by significantly reducing agricultural productivity and nutrient availability and exacerbate poverty and deepen disparities.</t>
  </si>
  <si>
    <t>EHS 585b</t>
  </si>
  <si>
    <t>The Environment and Human Health </t>
  </si>
  <si>
    <t>Bell</t>
  </si>
  <si>
    <t>EHS 580b</t>
  </si>
  <si>
    <t>EMD/CDE 508a and BIS 505a.</t>
  </si>
  <si>
    <t>Environmental Hormones and Human Health</t>
  </si>
  <si>
    <t>Quantitative Foundations of Microeconomics</t>
  </si>
  <si>
    <t>Koker</t>
  </si>
  <si>
    <t>Econ 108a/108b</t>
  </si>
  <si>
    <t>U</t>
  </si>
  <si>
    <t>ntroductory microeconomics with a special emphasis on quantitative methods and examples. Intended for students with limited or no experience with calculus.</t>
  </si>
  <si>
    <t>An Introduction to Microeconomic Analysis</t>
  </si>
  <si>
    <t>Koker, Gamble, Simons</t>
  </si>
  <si>
    <t>0-1</t>
  </si>
  <si>
    <t>Lecture-style version of Econ 115:   An introduction to the basic tools of microeconomics to provide a rigorous framework for understanding how individuals, firms, markets, and governments allocate scarce resources. The design and evaluation of public policy.</t>
  </si>
  <si>
    <t>Econ 110a</t>
  </si>
  <si>
    <t xml:space="preserve">F </t>
  </si>
  <si>
    <t>Econ 111b</t>
  </si>
  <si>
    <t>An Introduction to Macroeconomic Analysis</t>
  </si>
  <si>
    <t>Benediktsdottir, Alonso</t>
  </si>
  <si>
    <t>Lecture-style version of Econ 116: An introduction that stresses how the macroeconomy works, including the determination of output, unemployment, inflation, interest rates, and exchange rates. Economic theory is applied to current events.</t>
  </si>
  <si>
    <t>Introductory Microeconomics</t>
  </si>
  <si>
    <t>Econ 115a/115b</t>
  </si>
  <si>
    <t>Berry, Guinanne</t>
  </si>
  <si>
    <t>An introduction to the basic tools of microeconomics to provide a rigorous framework for understanding how individuals, firms, markets, and governments allocate scarce resources. The design and evaluation of public policy.</t>
  </si>
  <si>
    <t>Econ 116a/116b</t>
  </si>
  <si>
    <t>Introductory Macroeconomics</t>
  </si>
  <si>
    <t>Fair, Smith</t>
  </si>
  <si>
    <t>An introduction that stresses how the macroeconomy works, including the determination of output, unemployment, inflation, interest rates, and exchange rates. Economic theory is applied to current events.</t>
  </si>
  <si>
    <t>Econ 121a/121b</t>
  </si>
  <si>
    <t xml:space="preserve">Samuelson, Bergemann </t>
  </si>
  <si>
    <t>Intermediate Microeconomics</t>
  </si>
  <si>
    <t>The theory of resource allocation and its applications. Topics include the theory of choice, consumer and firm behavior, production, price determination in different market structures, welfare, and market failure.</t>
  </si>
  <si>
    <t>Micro-economics course</t>
  </si>
  <si>
    <t>Econ 122a/122b</t>
  </si>
  <si>
    <t xml:space="preserve">Nordhaus, Bruegemann </t>
  </si>
  <si>
    <t>Intermediate Macroeconomics</t>
  </si>
  <si>
    <t>Contemporary theories of employment, finance, money, business fluctuations, and economic growth. Their implications for monetary and fiscal policy. Emphasis on empirical studies, financial and monetary crises, and recent policies and problems.</t>
  </si>
  <si>
    <t>2 introductory economics classes and math</t>
  </si>
  <si>
    <t>Gerardi</t>
  </si>
  <si>
    <t xml:space="preserve">Econ 125a </t>
  </si>
  <si>
    <t>Microeconomic Theory</t>
  </si>
  <si>
    <t>Similar to ECON 121a or b but with a more intensive treatment of consumer and producer theory, and covering additional topics including choice under uncertainty, game theory, contracting under hidden actions or hidden information, externalities and public goods, and general equilibrium theory.</t>
  </si>
  <si>
    <t>Econ 126b</t>
  </si>
  <si>
    <t>Macroeconomic Theory</t>
  </si>
  <si>
    <t>Moscarini</t>
  </si>
  <si>
    <t>Similar to ECON 122a or b but with a more intensive treatment of the mathematical foundations of macroeconomic modeling, and with rigorous study of additional topics.</t>
  </si>
  <si>
    <t>Econ 131a</t>
  </si>
  <si>
    <t>Econometrics and Data Analysis I</t>
  </si>
  <si>
    <t>Not listed</t>
  </si>
  <si>
    <t>Basic probability theory and statistics, distribution theory, estimation and inference, bivariate regression, introduction to multivariate regression, introduction to statistical computing.</t>
  </si>
  <si>
    <t>Econ 131b</t>
  </si>
  <si>
    <t>Econometrics and Data Analysis II</t>
  </si>
  <si>
    <t>Otsu</t>
  </si>
  <si>
    <t>Econ 132a</t>
  </si>
  <si>
    <t>Continuation of ECON 131a or b (formerly 161a or b), with a focus on multivariate regression. Topics include statistical inference, choice of functional form, heteroskedasticity, serial correlation, two-stage least squares, qualitative choice models, time series models, and forecasting. Emphasis on statistical computing and the mechanics of how to conduct and present empirical research.</t>
  </si>
  <si>
    <t>Altonji</t>
  </si>
  <si>
    <t>Econ 132b</t>
  </si>
  <si>
    <t>Econ and math</t>
  </si>
  <si>
    <t>Chen</t>
  </si>
  <si>
    <t>Econ 135a</t>
  </si>
  <si>
    <t>Introduction to Probability and Statistics</t>
  </si>
  <si>
    <t>Foundations of mathematical statistics: probability theory, distribution theory, parameter estimation, hypothesis testing, regression, and computer programming.</t>
  </si>
  <si>
    <t>Econ 170a</t>
  </si>
  <si>
    <t>Health Economics and Public Policy</t>
  </si>
  <si>
    <t>Forman</t>
  </si>
  <si>
    <t>An application of economic principles to the study of the U.S. health care system. Emphasis on basic principles about the structure of the U.S. system, current problems, proposed solutions, and the context of health policy making and politics.</t>
  </si>
  <si>
    <t>Econ 200b</t>
  </si>
  <si>
    <t>Shcherbakov</t>
  </si>
  <si>
    <t>Firms, Markets and Competition</t>
  </si>
  <si>
    <t>Analysis of imperfectly competitive markets, focusing on the interactions among firm behavior, market structure, and market outcomes. Topics include oligopoly, collusion, predation, firm entry, advertising, and price discrimination as well as public policy implications of market behavior.</t>
  </si>
  <si>
    <t>Econ 251a</t>
  </si>
  <si>
    <t>Financial Theory</t>
  </si>
  <si>
    <t>Geanakoplos</t>
  </si>
  <si>
    <t>Capital asset pricing model, arbitrage pricing theory, option pricing, social security, operation of security exchanges, investment banks, securitization, mortgage derivatives, interest rate derivatives, hedge funds, financial crises, agency theory, and financial incentives.</t>
  </si>
  <si>
    <t>Econ 252b</t>
  </si>
  <si>
    <t>Financial Markets</t>
  </si>
  <si>
    <t>An overview of the ideas, methods, and institutions that permit human society to manage risks and foster enterprise. A detailed description of practices today as well as an analysis of prospects for the future. An introduction to risk management and behavioral finance principles to provide understanding of the functioning of our securities, insurance, and banking industries.</t>
  </si>
  <si>
    <t>Washington</t>
  </si>
  <si>
    <t>Econ 275b</t>
  </si>
  <si>
    <t>Public Economics</t>
  </si>
  <si>
    <t>The role of government in the economy and in our economic lives. Reasons for government intervention in the market economy and the impact of government expenditure programs and taxation systems on welfare and behavior. Tools of microeconomics applied to issues such as government response to global warming, the impact of redistribution and social insurance on individual behavior, school choice, social security vs. private retirement savings accounts, and government vs. private health insurance.</t>
  </si>
  <si>
    <t>Karlan</t>
  </si>
  <si>
    <t>Econ 325a</t>
  </si>
  <si>
    <t>Economics of Developing Countries</t>
  </si>
  <si>
    <t>Analysis of current problems of developing countries. Emphasis on the role of economic theory in informing public policies to achieve improvements in poverty and inequality, and on empirical analysis to understand markets and responses to poverty. Topics include microfinance, education, health, agriculture, intrahousehold allocations, gender, and corruption.</t>
  </si>
  <si>
    <t>African Poverty and Western Aid</t>
  </si>
  <si>
    <t>Econ 327b</t>
  </si>
  <si>
    <t>Blattman</t>
  </si>
  <si>
    <t>Assessment of reasons for Africa's persistent poverty and violence. Theories of an African renaissance led by Western aid versus the inevitability of repeating the mistakes of the past. The politics and economics of poverty, aid, and growth in Africa.</t>
  </si>
  <si>
    <t>Econ 330a</t>
  </si>
  <si>
    <t>Economics of Natural Resources</t>
  </si>
  <si>
    <t>Microeconomic theory brought to bear on current issues in natural resource policy. Topics include regulation of pollution, hazardous waste management, depletion of the world?s forests and fisheries, wilderness and wildlife preservation, and energy planning.</t>
  </si>
  <si>
    <t xml:space="preserve">Nordhaus </t>
  </si>
  <si>
    <t>Econ 331b</t>
  </si>
  <si>
    <t>The Economics of Energy and Climate Change</t>
  </si>
  <si>
    <t>The essentials of energy and environmental economics, with applications. Analysis of core topics in public goods, intertemporal choice, uncertainty, decision theory, and exhaustible resources. Applications include energy security, nuclear power, the relationship between nuclear power and nuclear proliferation, and climate change.</t>
  </si>
  <si>
    <t>Atkin</t>
  </si>
  <si>
    <t>Econ 403b</t>
  </si>
  <si>
    <t>Trade and Development</t>
  </si>
  <si>
    <t>For some developing countries, international trade has brought about rapid growth and large-scale reductions in poverty. Meanwhile for other developing countries, international trade has simply increased inequality and brought little growth. This course will draw on both theoretical models and empirical evidence to better understand the reasons for these very different experiences.</t>
  </si>
  <si>
    <t>Intermediate econ</t>
  </si>
  <si>
    <t>Intermediate econ + econometrics</t>
  </si>
  <si>
    <t>Qian</t>
  </si>
  <si>
    <t>Econ 404b</t>
  </si>
  <si>
    <t>Economics of Population</t>
  </si>
  <si>
    <t>This course investigates issues such as the causes and consequences of declining fertility rates, gender discrimination, disease, famine and wars in the context of developing countries as well as historically in countries that are developed today. The class will use economic methods and students will be expected to solve simple models and replicate empirical studies using STATA. Readings will mainly be based on journal articles, while textbooks are mainly used as a reference. The course will be graded on problem sets and two in-class exams.</t>
  </si>
  <si>
    <t>Intermediate econ + statistics</t>
  </si>
  <si>
    <t>Econ 450a</t>
  </si>
  <si>
    <t>Investment Analysis</t>
  </si>
  <si>
    <t>Swensen, Takahashi</t>
  </si>
  <si>
    <t>Examination of investment management in theory and practice. Discussion of asset allocation, investment strategy, and manager selection from the perspective of an institutional investor. Focus on the degree of market efficiency and opportunity for generating attractive returns.</t>
  </si>
  <si>
    <t>Schmertzler</t>
  </si>
  <si>
    <t>Econ 456a</t>
  </si>
  <si>
    <t>Private Equity Investing</t>
  </si>
  <si>
    <t>A case-oriented study of principal issues and investment types found in substantial private equity portfolios. Topics include enterprise valuation, value creation, business economics, negotiation, and legal structure, based on primary source materials and original cases.</t>
  </si>
  <si>
    <t>Econ 459b</t>
  </si>
  <si>
    <t>Dang</t>
  </si>
  <si>
    <t>Selected themes in corporate finance. Topics include financial instruments and financing patterns, the valuation of assets, capital structure decisions, taxes, financial contracting, costs of debt and equity finance, internal and external finance, venture capital and private equity finance, and security design.</t>
  </si>
  <si>
    <t>Econ 462b</t>
  </si>
  <si>
    <t>The Economics of Human Capital in Latin America</t>
  </si>
  <si>
    <t>McKee</t>
  </si>
  <si>
    <t>This course provides an overview of issues related to human capital in Latin America.  Specific topics include determinants of health and education, evaluation of human capital development policies, and the role of human capital in a variety of economic contexts including the labor market, immigration, child investment, intra-household bargaining, inequality, and poverty.</t>
  </si>
  <si>
    <t>Econ 463a</t>
  </si>
  <si>
    <t>Economic Problems of Latin America</t>
  </si>
  <si>
    <t>Study of historical and current challenges in economic policy faced by Latin America. Topics include privatizations and regulatory reform, competition and trade policies, exchange rate regimes, and governance. Evaluation of reforms, emphasizing their impact on growth, poverty reduction, and the improvement of the distribution of income.</t>
  </si>
  <si>
    <t>Zedillo</t>
  </si>
  <si>
    <t>Econ 465a</t>
  </si>
  <si>
    <t>Debating Globalization</t>
  </si>
  <si>
    <t>Facets of contemporary economic globalization, including trade, investment, and migration. Challenges and threats of globalization: inclusion and inequality, emerging global players, global governance, climate change, and nuclear weapons proliferation.</t>
  </si>
  <si>
    <t>Econ 469b</t>
  </si>
  <si>
    <t>Miller</t>
  </si>
  <si>
    <t>Social Networks</t>
  </si>
  <si>
    <t>Introduction to the study of social networks. Methods draw heavily on game theory, but also incorporate approaches from other disciplines, including sociology, mathematics, and computer science. Important applications include risk sharing and microfinance; job searching; the spread of information, fads, and diseases; supply chains; collusion; and local public goods.</t>
  </si>
  <si>
    <t>Econ 472a</t>
  </si>
  <si>
    <t>Econ 351b (formerly 156b)</t>
  </si>
  <si>
    <t>ECON 351b or 159a.</t>
  </si>
  <si>
    <t>Mathematical Economics: Game Theory</t>
  </si>
  <si>
    <t>Horner</t>
  </si>
  <si>
    <t>Introduction to game theory and choice under uncertainty. Analysis of the role of information and uncertainty for individual choice behavior, as well as application to the decision theory under uncertainty. Analysis of strategic interaction among economic agents, leading to the theory of auctions and mechanism design.</t>
  </si>
  <si>
    <t>Intermediate econ + math</t>
  </si>
  <si>
    <t>Theories of Political Economy</t>
  </si>
  <si>
    <t>This seminar/course is an introduction to recent theories of political economy. We will use gametheoretic models to study the effects of different constitutional structures on the behavior of voters and politicians and the performance of government. We will also analyze collective decisions in small committees and juries. Our goal is to understand how different voting rules aggregate the information and the preferences of the agents.</t>
  </si>
  <si>
    <t>Econ 473b</t>
  </si>
  <si>
    <t>Roemer</t>
  </si>
  <si>
    <t>Equality</t>
  </si>
  <si>
    <t>Egalitarian theories of justice and their critics. Readings in philosophy are paired with analytic methods from economics. Topics include Rawlsian justice, utilitarianism, the veil of ignorance, Dworkin's resource egalitarianism, Roemer's equality of opportunity, Marxian exploitation, and Nozickian procedural justice. Some discussion of American economic inequality, Nordic social democracy, and the politics of inequality.</t>
  </si>
  <si>
    <t>Ramirez</t>
  </si>
  <si>
    <t>Econ 476a</t>
  </si>
  <si>
    <t>Topics in International Economics</t>
  </si>
  <si>
    <t>Recent developments in international economics. Trade policy and market structure; the economics of trading blocs such as the EEC and NAFTA; the economic consequences of continued U.S. external deficits; globalization and inequality; exchange rates, interest rates, and volatility; speculative capital flows and exchange rate policies; and financial crises and the prospects for the European Monetary Union.</t>
  </si>
  <si>
    <t>Econ 478a</t>
  </si>
  <si>
    <t>Srinivasan</t>
  </si>
  <si>
    <t>Economic Development of India and Southeast Asia</t>
  </si>
  <si>
    <t>Colonial antecedents of low levels of economic and social development in India and, more broadly, in other South Asian countries. Failings and achievements of the state-directed and inward-oriented development strategy of the first four decades after independence from colonial rule. Developments since India and the region initiated systemic economic reforms and reintegrated their economies with the world economy, allowing market forces to play a large role in economic decisions. Comparison of the performance of India and China since 1980.</t>
  </si>
  <si>
    <t>Econ 479a</t>
  </si>
  <si>
    <t>Hamada</t>
  </si>
  <si>
    <t>Economic Development of Japan</t>
  </si>
  <si>
    <t>apan's economic development, with attention to the period of tremendous success in the 1960s and the recession of the 1990s. The nature of incentive mechanisms; institutions behind the history of modern and contemporary Japan.</t>
  </si>
  <si>
    <t>Special Investigations</t>
  </si>
  <si>
    <t>Alan Gerber</t>
  </si>
  <si>
    <t>Statistics</t>
  </si>
  <si>
    <t>Alessandro Gomez</t>
  </si>
  <si>
    <t>Energy, Engines, &amp; Environment</t>
  </si>
  <si>
    <t>Alexandre Debs</t>
  </si>
  <si>
    <t>DomesticPolitics&amp;IntlConflicts</t>
  </si>
  <si>
    <t>PoliticalEconInstitutnDvlpmnt</t>
  </si>
  <si>
    <t>Allison Kingsley</t>
  </si>
  <si>
    <t>Internationl Political Economy</t>
  </si>
  <si>
    <t>Andre Taylor</t>
  </si>
  <si>
    <t>SpecInvest:LithiumIonbatteries</t>
  </si>
  <si>
    <t>Summer Session</t>
  </si>
  <si>
    <t>Annalisa Zinn</t>
  </si>
  <si>
    <t>Dvlpmt Intrntnl Human Rights</t>
  </si>
  <si>
    <t>Bruce Ackerman</t>
  </si>
  <si>
    <t>ConstitutionPhilosophyHist&amp;Law</t>
  </si>
  <si>
    <t>Bruce Russett</t>
  </si>
  <si>
    <t>Classics of World Politics</t>
  </si>
  <si>
    <t>International Relations Wrkshp</t>
  </si>
  <si>
    <t>Casiano Hacker Cordon</t>
  </si>
  <si>
    <t>Crime &amp; Punishment</t>
  </si>
  <si>
    <t>Daniel Prober</t>
  </si>
  <si>
    <t>Science of Modern Technology</t>
  </si>
  <si>
    <t>Energy, Technology and Society</t>
  </si>
  <si>
    <t>Daniel Rosner</t>
  </si>
  <si>
    <t>EnergyMass&amp;MomentumProcesses</t>
  </si>
  <si>
    <t>David Simon</t>
  </si>
  <si>
    <t>Government&amp; Politics in Africa</t>
  </si>
  <si>
    <t>PoliticsOfDevelopmentAssistnce</t>
  </si>
  <si>
    <t>DirRdg:Post-Conflict Aid</t>
  </si>
  <si>
    <t>David Siroky</t>
  </si>
  <si>
    <t>Intn'l DimensionsInternalConfl</t>
  </si>
  <si>
    <t>David Smith</t>
  </si>
  <si>
    <t>Issues in Bioethics</t>
  </si>
  <si>
    <t>Douglas Rae</t>
  </si>
  <si>
    <t>Capitalism:SuccessCrisisReform</t>
  </si>
  <si>
    <t>Ebonya Washington</t>
  </si>
  <si>
    <t>Political Economy</t>
  </si>
  <si>
    <t>Edmund Yeh</t>
  </si>
  <si>
    <t>Communication Networks</t>
  </si>
  <si>
    <t>Digital Communication Systems</t>
  </si>
  <si>
    <t>Edward Kaplan</t>
  </si>
  <si>
    <t>Policy Modeling</t>
  </si>
  <si>
    <t>Eleanor Powell</t>
  </si>
  <si>
    <t>Parties &amp; Leaders in Congress</t>
  </si>
  <si>
    <t>Elihu Rubin</t>
  </si>
  <si>
    <t>Infrastructure:Politics&amp;Design</t>
  </si>
  <si>
    <t>Elisabeth Wood</t>
  </si>
  <si>
    <t>CollectiveAction&amp;SocialMovmnts</t>
  </si>
  <si>
    <t>Comparative Politics I</t>
  </si>
  <si>
    <t>Eric Dufresne
Enrique De La Cruz
Thierry Emonet
Paul Forscher
Christine Jacobs-Wagner
Michael Levene
Simon Mochrie
Corey O'Hern
Lynne Regan
Anna Rhoades
Corey Wilson</t>
  </si>
  <si>
    <t>Mthds&amp;LgcInterdisciplinryRsrch</t>
  </si>
  <si>
    <t>Varieties of Capitalism</t>
  </si>
  <si>
    <t>Dynamics of Evolving Systems</t>
  </si>
  <si>
    <t>Jacob Hacker</t>
  </si>
  <si>
    <t>The Politics of Public Policy</t>
  </si>
  <si>
    <t>James Scott</t>
  </si>
  <si>
    <t>Rivers: Nature and Politics</t>
  </si>
  <si>
    <t>James Wallis</t>
  </si>
  <si>
    <t>IntroHydrology&amp;WaterResources</t>
  </si>
  <si>
    <t>Jean Krasno</t>
  </si>
  <si>
    <t>The UN &amp; Internationl Security</t>
  </si>
  <si>
    <t>Jennifer Steen</t>
  </si>
  <si>
    <t>Political Regulation</t>
  </si>
  <si>
    <t>Jeremy Blum</t>
  </si>
  <si>
    <t>Biotechnology&amp;theDevelopngWrld</t>
  </si>
  <si>
    <t>Jeremy Seekings</t>
  </si>
  <si>
    <t>WelfarePolcy:DevlpingCountries</t>
  </si>
  <si>
    <t>Jordan Peccia</t>
  </si>
  <si>
    <t>IntroEnvironmentalEngineering</t>
  </si>
  <si>
    <t>Joseph LaPalombara</t>
  </si>
  <si>
    <t>GlobalFirms&amp;NationalGovernmnts</t>
  </si>
  <si>
    <t>Joseph Pignatello</t>
  </si>
  <si>
    <t>EnvironmentlTransportProcesses</t>
  </si>
  <si>
    <t>Kalyanakrishnan Sivaramakrishnan
Peter Perdue
James Scott</t>
  </si>
  <si>
    <t>Agrarian Societies</t>
  </si>
  <si>
    <t>Keith Darden</t>
  </si>
  <si>
    <t>Int'lRelationsFieldSeminar</t>
  </si>
  <si>
    <t>Nationalism and Identity</t>
  </si>
  <si>
    <t>Luis Eduardo Zavala</t>
  </si>
  <si>
    <t>Intrnatl HumanRights&amp;Politics</t>
  </si>
  <si>
    <t>Matthew Eckelman</t>
  </si>
  <si>
    <t>GreenEngneerng&amp;SustainblDesign</t>
  </si>
  <si>
    <t>Menachem Elimelech</t>
  </si>
  <si>
    <t>Envir PhysioChemical Processes</t>
  </si>
  <si>
    <t>Mercedes Carreras</t>
  </si>
  <si>
    <t>Professional Ethics</t>
  </si>
  <si>
    <t>Michael Choma</t>
  </si>
  <si>
    <t>Special Investigations:Dr</t>
  </si>
  <si>
    <t>Michael Fotos</t>
  </si>
  <si>
    <t>Democracy and Sustainability</t>
  </si>
  <si>
    <t>Minjoo Lee</t>
  </si>
  <si>
    <t>Photovoltaic Energy</t>
  </si>
  <si>
    <t>SpecInvest:WideEgInGaP PV</t>
  </si>
  <si>
    <t>Electronic Materials</t>
  </si>
  <si>
    <t>Nuno Monteiro</t>
  </si>
  <si>
    <t>International Relations Theory</t>
  </si>
  <si>
    <t>Paul Fleury</t>
  </si>
  <si>
    <t>Energy Technology and Society</t>
  </si>
  <si>
    <t>Ronald Smith
Alessandro Gomez
Peter Kindlmann</t>
  </si>
  <si>
    <t>Wind Energy</t>
  </si>
  <si>
    <t>Sekhar Tatikonda</t>
  </si>
  <si>
    <t>Stephen Latham</t>
  </si>
  <si>
    <t>Bioethics Politics &amp; Economics</t>
  </si>
  <si>
    <t>Susan Rose-Ackerman</t>
  </si>
  <si>
    <t>CorruptionEconDevel&amp;Democracy</t>
  </si>
  <si>
    <t>Political Economy: Environment</t>
  </si>
  <si>
    <t>Tariq Thachil</t>
  </si>
  <si>
    <t>Development in South Asia</t>
  </si>
  <si>
    <t>Thomas Pogge
Markus Labude</t>
  </si>
  <si>
    <t>Ethics &amp; International Affairs</t>
  </si>
  <si>
    <t>Tso-Ping Ma</t>
  </si>
  <si>
    <t>SemicondSiliconDevices&amp;Tchnlgy</t>
  </si>
  <si>
    <t>Udo Schwarz</t>
  </si>
  <si>
    <t>Intro to Materials Science</t>
  </si>
  <si>
    <t>Victor Henrich</t>
  </si>
  <si>
    <t>The Technological World</t>
  </si>
  <si>
    <t>Yehia Khalil</t>
  </si>
  <si>
    <t>Environmental Risk Assessment</t>
  </si>
  <si>
    <t>Advanced Community and Economic Development</t>
  </si>
  <si>
    <t>Susan Farricielli</t>
  </si>
  <si>
    <t>Michelle Addington</t>
  </si>
  <si>
    <t>Elihu Rubin
Andrei Harwell</t>
  </si>
  <si>
    <t>Dolores Hayden</t>
  </si>
  <si>
    <t>Materials in Architecture</t>
  </si>
  <si>
    <t>Science and technology of basic building materials studied together with historic and current design applications. Skills and processes required to create, shape, and connect materials experienced through hands-on projects. Technical notebooks, drawings, design and build exercises, and projects required.
Enrollment limited to 20.</t>
  </si>
  <si>
    <t>Environment, Energy, Building</t>
  </si>
  <si>
    <t>An introduction to energy and environmental issues faced by the discipline of architecture. Global environmental issues, basic principles of energy generation and energy use, and fundamental climatic precursors and patterns. The complexity of developing solutions that address a wide range of local and global concerns.
Recommended preparation: college-level physics.</t>
  </si>
  <si>
    <t>Civic Art: Intro Urban Design</t>
  </si>
  <si>
    <t xml:space="preserve">Introduction to the history, analysis, and design of the urban landscape. Principles, processes, and contemporary theories of urban design; relationships between individual buildings, groups of buildings, and their larger physical and cultural contexts. </t>
  </si>
  <si>
    <t>Suburbs &amp;the Culture of Sprawl</t>
  </si>
  <si>
    <t>The shifting meanings of city, suburb, and countryside in the United States since 1921. Definition of sprawl as uncontrolled growth on metropolitan fringes, leading to the decline of older inner-city neighborhoods and small town centers. Readings from history, geography, architecture, and literature.</t>
  </si>
  <si>
    <t xml:space="preserve">S </t>
  </si>
  <si>
    <t>Arch 162</t>
  </si>
  <si>
    <t>Arch 163</t>
  </si>
  <si>
    <t>Arch 345</t>
  </si>
  <si>
    <t>Arch 350</t>
  </si>
  <si>
    <t>SCIENCE AREA (IF ANY)</t>
  </si>
  <si>
    <t>Farricielli, Susan</t>
  </si>
  <si>
    <t>Rubin, Elihu; Harwell, Andrei</t>
  </si>
  <si>
    <t>Hayden</t>
  </si>
  <si>
    <t>Behavioral Decision Making II</t>
  </si>
  <si>
    <t>Dhar, Novemsky, Simmons</t>
  </si>
  <si>
    <t>PSYC 554</t>
  </si>
  <si>
    <t>MGMT754</t>
  </si>
  <si>
    <t>This seminar examines research on the psychology of decision making, focusing on judgment. Although the normative issue of how decisions should be made is relevant, the descriptive issue of how decisions are made is the main focus of the course. Topics of discussion include judgment heuristics and biases, confidence and calibration, issues of well-being including predictions and experiences, regret and counterfactuals, and other topics. The goal of the seminar is threefold: to foster a critical appreciation of existing knowledge in behavioral decision theory, to develop the students' skills in identifying and testing interesting research ideas, and to explore research opportunities for adding to that knowledge.</t>
  </si>
  <si>
    <t>Brownell</t>
  </si>
  <si>
    <t>Food and Nutrition Research and Policy</t>
  </si>
  <si>
    <t>PSYC 395</t>
  </si>
  <si>
    <t>Economic, legal, political, and scientific aspects of nutrition and food policy. Design of innovative policy proposals.</t>
  </si>
  <si>
    <t>Health Psychology in the Arab World and Africa</t>
  </si>
  <si>
    <t>Labidi</t>
  </si>
  <si>
    <t>PSYC 138</t>
  </si>
  <si>
    <t>Exploration of attitudes toward health in the Arab world and Africa, with a focus on psychological and psychoanalytic perspectives. The postcolonial political and economic context; tensions between traditional and Western-oriented approaches to health care and to questions of poverty and governance. Special attention to women's health issues.</t>
  </si>
  <si>
    <t>Animal Communication and Human Language</t>
  </si>
  <si>
    <t>Andersen, Stephen</t>
  </si>
  <si>
    <t>PSYC 149</t>
  </si>
  <si>
    <t>Examination of animal communication systems found in nature, including those of honeybees, frogs, birds, and primates. Comparison of these systems with human language. Evaluation of efforts to find or induce specifically linguistic abilities in a variety of animals leading to conclusions about animals' cognitive capacities.</t>
  </si>
  <si>
    <t>MGMT758</t>
  </si>
  <si>
    <t>Foundations of Behavioral Economics</t>
  </si>
  <si>
    <t>Frederick, Read</t>
  </si>
  <si>
    <t>In this class, we explore foundational topics in behavioral economics, and discuss the dominant prescriptive models (which propose what decision makers should do) and descriptive models (which aim to describe what decision makers actually do). We incorporate perspectives from economics, psychology, philosophy, decision theory, and finance, and engage long-standing debates about rational choice.</t>
  </si>
  <si>
    <t>The Psychology, Biology, and Politics of Food</t>
  </si>
  <si>
    <t>PSYC 123</t>
  </si>
  <si>
    <t>Topics include taste preferences, food aversions, the regulation of hunger and satiety, food as comfort and friendship, eating as social ritual, and social norms of blame for food problems; the politics of food, including issues such as sustainable agriculture, organic farming, genetically modified foods, nutrition policy, and the influence of food and agriculture industries; food problems such as malnutrition, eating disorders, and the global obesity epidemic; the impact of food advertising aimed at children, poverty and food, and how each individual's eating is affected by the modern environment.</t>
  </si>
  <si>
    <t>Behavioral Decision Making I</t>
  </si>
  <si>
    <t>MGMT753</t>
  </si>
  <si>
    <t>The purpose of this seminar is to provide Ph.D.-level coverage of the psychology of decision making. Although the normative issue of how decisions should be made is relevant, the descriptive issue of how decisions are made is the main focus of the course. In addition to examining prior decision research, the goal of this seminar is to improve your ability to identify interesting research questions and develop effective experiments for testing them. In</t>
  </si>
  <si>
    <t>PSYC 553</t>
  </si>
  <si>
    <t>What we eat and why</t>
  </si>
  <si>
    <t>PSYC 611b</t>
  </si>
  <si>
    <t xml:space="preserve">Brownell </t>
  </si>
  <si>
    <t>This course covers a range of topics pertaining to food, nutrition, and behavior. The goal is for students to learn about the broad array of forces that affect what humans eat, the impact of modern food conditions, and the actions that might be taken to improve the nutrition landscape. This involves an understanding of many factors, including the business of modern agriculture, food industry practices, human biology, the law, politics, and globalization. Students receive considerable writing and speaking experience in this class and engage in unique endeavors (e.g., writing and submitting OpEds, dissecting public policy, planning how technology advances can be harnessed to improve human nutrition).</t>
  </si>
  <si>
    <t>G&amp;G 100</t>
  </si>
  <si>
    <t>Bercovici, Robinson</t>
  </si>
  <si>
    <t>Natural events and their impact on humanity and the built environment. Earthquakes, volcanoes, tsunamis, landslides, coastal flooding, tornadoes, hurricanes, and meteoritic impacts. Hazard mitigation strategies. Consequences of global warming.</t>
  </si>
  <si>
    <t>Natural Disasters</t>
  </si>
  <si>
    <t>Introductory Geoscience</t>
  </si>
  <si>
    <t>Rye</t>
  </si>
  <si>
    <t>G&amp;G 110</t>
  </si>
  <si>
    <t>An introduction to the processes that shape Earth's environment through the interactions of rocks, soils, the atmosphere, and the hydrosphere. Field trips and practical sessions in the properties of natural materials. Topics include evolution of landscapes; hydrologic and tectonic cycles; extreme geologic events such as earthquakes, floods, volcanism, and landslides; society's economic dependence on natural materials such as soils, minerals, and fossil fuels; and human influences on the natural environment.</t>
  </si>
  <si>
    <t>G&amp;G 140</t>
  </si>
  <si>
    <t>Atmosphere, Ocean, and Environmental Change</t>
  </si>
  <si>
    <t>Smith, Ronald</t>
  </si>
  <si>
    <t>Physical processes that control Earth's atmosphere, ocean, and climate. Quantitative methods for constructing energy and water budgets. Topics include clouds, rain, severe storms, regional climate, the ozone layer, air pollution, ocean currents and productivity, the seasons, El Niño, the history of Earth's climate, global warming, energy, and water resources. Must be taken concurrently with EVST 202La.</t>
  </si>
  <si>
    <t>Quantitative introduction to the dynamics of Earth's interior and surface manifestations such as plate tectonics, earthquakes, and volcanoes. Emphasis on understanding various geological phenomena through the framework of mantle convection in the cooling Earth. Discussion of how Earth?s internal processes affect human environments in both the short and the long term. Weekly lab sessions familiarize students with the spatial and temporal scales of geological processes through brief field excursions.</t>
  </si>
  <si>
    <t>Mantle Dynamics, Earthquakes, and Volcanoes</t>
  </si>
  <si>
    <t>G&amp;G 201</t>
  </si>
  <si>
    <t>Korenaga</t>
  </si>
  <si>
    <t>Hickey</t>
  </si>
  <si>
    <t>Stratigraphy</t>
  </si>
  <si>
    <t>G&amp;G 230</t>
  </si>
  <si>
    <t>The nature and classification of sedimentary rock bodies; principles in determining their ages by fossils and other means; interpretation of depositional environments; the historical record of the dynamic response of sediments to mountain building, to changes in sea level and climate, and to the evolution of Earth's biota. Laboratory sessions include one overnight weekend field trip and one Saturday field trip.</t>
  </si>
  <si>
    <t>EVST 125</t>
  </si>
  <si>
    <t>Earth's Changing Climate</t>
  </si>
  <si>
    <t>Wettlaufer, Pagani</t>
  </si>
  <si>
    <t>Investigation of the science of contemporary climate change or 'global warming.' Historical and contemporary methods used by scientists to draw conclusions concerning Earth's complex climate system and human influences on it, and to predict future climates. Risk assessment, response options.</t>
  </si>
  <si>
    <t>Sustainability and Institutions: Innovation and Transformation</t>
  </si>
  <si>
    <t>EVST 170</t>
  </si>
  <si>
    <t>Newman</t>
  </si>
  <si>
    <t>Sustainable development as it relates to institutional change, decision-making processes, and systems thinking. The origins, theory, and grounding principles of sustainable development. The application of those principles, using Yale University as the case example.</t>
  </si>
  <si>
    <t>Park</t>
  </si>
  <si>
    <t>Earth System Science</t>
  </si>
  <si>
    <t>EVST 200</t>
  </si>
  <si>
    <t>A survey of geoscience. Interaction of lithosphere, hydrosphere, atmosphere, and Earth's deep interior; natural controls on environment and climate in past, present, and future; rocks, minerals, glaciers, earthquakes, and volcanoes; natural hazards and natural resources.</t>
  </si>
  <si>
    <t>Nature and Globalization</t>
  </si>
  <si>
    <t>EVST 250</t>
  </si>
  <si>
    <t>Hebert</t>
  </si>
  <si>
    <t>Examination of contemporary human relations to nature. Origins and consequences of the predominant ways humans interact with and conceive of the environment. Case studies explore histories, theories, and experiences of resource production and consumption, development and conservation, environmental management and governance, and climate change and ecological risk.</t>
  </si>
  <si>
    <t>ANTH 245</t>
  </si>
  <si>
    <t>EVST 255</t>
  </si>
  <si>
    <t>Environmental Politics and Law</t>
  </si>
  <si>
    <t>Wargo</t>
  </si>
  <si>
    <t>Exploration of the politics, policy, and law associated with attempts to manage environmental quality and natural resources. Themes of democracy, liberty, power, property, equality, causation, and risk. Case histories include air quality, water quality and quantity, pesticides and toxic substances, land use, agriculture and food, parks and protected areas, and energy.</t>
  </si>
  <si>
    <t>PLSC215/F&amp;ES255</t>
  </si>
  <si>
    <t>EVST 275</t>
  </si>
  <si>
    <t>EVST 305</t>
  </si>
  <si>
    <t>Topics in Environmental Science</t>
  </si>
  <si>
    <t>The natural world explored from the perspectives of the atmosphere, biosphere, hydrosphere, and geosphere. Applications to current environmental issues such as pollution, global warming, biodiversity change, disease, and sustainable energy production. Development of critical thinking and research skills. Prerequisites: college-level biology, college-level chemistry or mathematics, and EVST 201a, or with permission of instructor.</t>
  </si>
  <si>
    <t>Prudic, Gilbert, Lin, Park, Vecitis</t>
  </si>
  <si>
    <t>Sabin</t>
  </si>
  <si>
    <t>U.S. Global Resource Frontiers</t>
  </si>
  <si>
    <t>EVST 31</t>
  </si>
  <si>
    <t>The history and consequences of the demand for raw materials in the United States during the late nineteenth and twentieth centuries. Development of key commodities such as bananas, rubber, and oil; the emergence of ecotourism; and recent efforts to police the global supply chain.</t>
  </si>
  <si>
    <t>HIST132J</t>
  </si>
  <si>
    <t>EVST 355</t>
  </si>
  <si>
    <t>Political Economy of Environmental Policy</t>
  </si>
  <si>
    <t>Tensions between economic analyses and political realities of environmental problems. Roles of the legislature, the executive, and the courts; federalism and the democratic potential of participatory policy making. Focus on the United States, with selected international cases.</t>
  </si>
  <si>
    <t>Intro micro</t>
  </si>
  <si>
    <t xml:space="preserve">EVST 362 /EMD548/ARCG362/G&amp;G362/G&amp;G562/ARCG762 </t>
  </si>
  <si>
    <t>EVST 415</t>
  </si>
  <si>
    <t>Biotechnology and the Developing World</t>
  </si>
  <si>
    <t>Blum</t>
  </si>
  <si>
    <t>BENG405/ENAS805</t>
  </si>
  <si>
    <t>Introduction to Environmental History</t>
  </si>
  <si>
    <t xml:space="preserve">Survey of interactions between people and natural environments in North America from pre-colonial times to the present, including ecological, political, cultural, and economic dimensions.  Includes rise of modern conservation and environmental movements, and development of public policy. </t>
  </si>
  <si>
    <t>EVST 120a</t>
  </si>
  <si>
    <t>HIST 120a</t>
  </si>
  <si>
    <t>Smith</t>
  </si>
  <si>
    <t>Physical processes that control Earth's atmosphere, ocean, and climate. Quantitative methods for constructing energy and water budgets.  Topics include clouds, rain, severe storms, regional climate, the ozone layer, air pollution, ocean currents and productivity, El Niño, the history of Earth’s climate, global warming, energy and water resources.  Must be taken concurrently with EVST 202La.</t>
  </si>
  <si>
    <t>G&amp;G 201a</t>
  </si>
  <si>
    <t>EVST 201a</t>
  </si>
  <si>
    <t>Environmental Anthropology: From Historic Origins to Current Debates</t>
  </si>
  <si>
    <t>EVST 345a</t>
  </si>
  <si>
    <t>History of the anthropological study of the environment organized around themes, including the aature-culture dichotomy, ecology and social organization, methodological debates, the politics of the environment, and knowing the environment. </t>
  </si>
  <si>
    <t>Urban Ecology in New Haven</t>
  </si>
  <si>
    <t>EVST 012</t>
  </si>
  <si>
    <t>Methods from ecosystem ecology, landscape ecology, and industrial ecology applied to questions of how cities work and how they can be more sustainable. Guest speakers, community projects, and field trips in New Haven. Application of theory to New Haven and to cities around the world.</t>
  </si>
  <si>
    <t>Only for freshmen</t>
  </si>
  <si>
    <t>?</t>
  </si>
  <si>
    <t>Energy, Engines, and Environment</t>
  </si>
  <si>
    <t>Gomez</t>
  </si>
  <si>
    <t>EVST 105</t>
  </si>
  <si>
    <t>MENG101/ENAS101/ENVE101</t>
  </si>
  <si>
    <t>Energy sustainability and global warming; thermodynamic fundamentals; engines (combustion technologies, fossil-fuel pollution, carbon capture and sequestration). Wind, solar, biomass, and other renewable energy sources. Designed for non-science majors and for freshmen and sophomores in science and engineering.</t>
  </si>
  <si>
    <t>Scientific and Environmental Writing</t>
  </si>
  <si>
    <t>Zimmer</t>
  </si>
  <si>
    <t>EVST 215</t>
  </si>
  <si>
    <t>An intensive workshop in writing about science and the environment for a broad audience. Translating complex subjects into elegant prose, conducting interviews, handling controversies, researching articles, and finding one's voice. Readings include exemplary works ranging from newspaper articles to book excerpts.</t>
  </si>
  <si>
    <t>EVST 260/MCDB660</t>
  </si>
  <si>
    <t>Both</t>
  </si>
  <si>
    <t>EVST 270/RLST875/RLST263/REL810</t>
  </si>
  <si>
    <t xml:space="preserve">EVST 272/INRL680/INTS330/EP&amp;E370/PLSC727/MGT697/PLSC270 </t>
  </si>
  <si>
    <t>EVST 285</t>
  </si>
  <si>
    <t>Political Ecology: Nature, Culture, and Power</t>
  </si>
  <si>
    <t>Study of the relationship between society and the environment. Global processes of environmental conservation, development, and conflicts over natural resource use; political-economic contexts of environmental change; ways in which understandings of nature are discursively bound up with notions of culture and identity.</t>
  </si>
  <si>
    <t>F&amp;ES285</t>
  </si>
  <si>
    <t>EVST 290</t>
  </si>
  <si>
    <t>Geographic Information Systems</t>
  </si>
  <si>
    <t>A practical introduction to the nature and use of geographic information systems (GIS) in environmental science and management. Applied techniques for the acquisition, creation, storage, management, visualization, animation, transformation, analysis, and synthesis of cartographic data in digital form.</t>
  </si>
  <si>
    <t>F&amp;ES290</t>
  </si>
  <si>
    <t>Robinson</t>
  </si>
  <si>
    <t>International Environmental Law</t>
  </si>
  <si>
    <t>EVST 320</t>
  </si>
  <si>
    <t>Examination of how nations negotiate, establish, and implement international environmental law and how the United Nations and other international agencies function. Simulated negotiations; discussion of diplomatic negotiations regarding climate change that occur during the term.</t>
  </si>
  <si>
    <t>F&amp;ES320</t>
  </si>
  <si>
    <t>Nature Writing in the English-Speaking World</t>
  </si>
  <si>
    <t>EVST 325</t>
  </si>
  <si>
    <t>Peterson</t>
  </si>
  <si>
    <t>Natural history and environmental writing in the English-speaking world from the late eighteenth century to the present. Readings include Gilbert White's Natural History of Selborne, Thoreau's Walden, and Darwin's Voyage of the Beagle, as well as recent work by writers from Canada, the United States, India, Australia, and South Africa.</t>
  </si>
  <si>
    <t>3?</t>
  </si>
  <si>
    <t>ENGL248</t>
  </si>
  <si>
    <t>Smith, Raymond</t>
  </si>
  <si>
    <t>Ecosystem Analysis</t>
  </si>
  <si>
    <t>EVST 330</t>
  </si>
  <si>
    <t>An outdoor overview of the study of ecosystems. How the structure of ecosystems develops (e.g., biodiversity) and how ecosystems function (e.g., process nutrients or pollutants). The impact of global changes, such as climate change and eutrophication, on ecosystem structure and function. Field-based group and independent projects focused on New England ecosystems.</t>
  </si>
  <si>
    <t xml:space="preserve"> E&amp;EB 220a or permission of instructor.</t>
  </si>
  <si>
    <t>E&amp;EB330/F&amp;ES30127/E&amp;EB630/F&amp;ES330</t>
  </si>
  <si>
    <t>Saiers</t>
  </si>
  <si>
    <t>Water Resources and Environmental Change</t>
  </si>
  <si>
    <t>EVST 367</t>
  </si>
  <si>
    <t>The effects of variations in the hydrologic cycle on the global distribution of freshwater. The role of environmental change in regulating freshwater supply and quality. The influences of agriculture, industry, mining, urbanization, climate change, and energy-production alternatives on freshwater resources in the United States and abroad.</t>
  </si>
  <si>
    <t>F&amp;ES367</t>
  </si>
  <si>
    <t>Energy, Climate, Law, and Policy</t>
  </si>
  <si>
    <t>EVST 398</t>
  </si>
  <si>
    <t>Overview of the legal norms governing patterns of energy use and associated adverse effects on climate stability, environmental quality, and human health. Focus on U.S. law and policy, with some consideration of relevant international treaties. Special attention to building efficiency and to land-use regulation and urban growth, particularly coastal prospecting and development.</t>
  </si>
  <si>
    <t>Exploration of a range of coastal and pelagic ecosystems. Relationships between biological systems in the ocean and the physical processes that control the stratification and movements of water. Anthropogenic impacts on oceans, such as the effects of fishing, aquaculture, and global warming. Includes three optional Friday field trips.</t>
  </si>
  <si>
    <t>Asian Environments &amp; Frontiers</t>
  </si>
  <si>
    <t>Perdue</t>
  </si>
  <si>
    <t>EVST 420</t>
  </si>
  <si>
    <t>In this seminar, we will discuss the impact of Asian farmers, merchants, and states on the natural world. The main focus is on imperial China in the early modern and modern periods, but there will be some discussion of Japan, Southeast Asia, and Inner Asia. The basic themes include frontier conquest, land clearance, water conservancy, urban footprints, and relations between agrarian and nonagrarian peoples.</t>
  </si>
  <si>
    <t>HIST313J</t>
  </si>
  <si>
    <t>EVST 424</t>
  </si>
  <si>
    <t>Scott</t>
  </si>
  <si>
    <t>The natural history of rivers and river systems and the politics surrounding the efforts of states to manage and engineer them.</t>
  </si>
  <si>
    <t>PLSC420/ANTH406</t>
  </si>
  <si>
    <t>EVST 473</t>
  </si>
  <si>
    <t>Weiss</t>
  </si>
  <si>
    <t>Civilizations and Collapse</t>
  </si>
  <si>
    <t>Collapse documented in the archaeological and early historical records of the Old and New Worlds, including Mesopotamia, Mesoamerica, the Andes, and Europe. Analysis of politicoeconomic vulnerabilities, resiliencies, and adaptations in face of abrupt climate change; anthropogenic environmental degradation; resource depletion; "barbarian" incursions; and class conflict.</t>
  </si>
  <si>
    <t>NELC588/ARCG773/ANTH473/ARCG473/ANTH773/NELC188</t>
  </si>
  <si>
    <t>Intro Social Policy Analysis</t>
  </si>
  <si>
    <t>SOCY 147</t>
  </si>
  <si>
    <t>Boorman</t>
  </si>
  <si>
    <t>Introduction to how policy is carried out - both nationwide and on a smaller scale - using the tools of markets, networks, bureaucracy, and legislation. Capabilities and limitations of those tools with respect to social structure, economics, and the law.</t>
  </si>
  <si>
    <t>SOCY 535</t>
  </si>
  <si>
    <t>Szelenyi</t>
  </si>
  <si>
    <t>SOCY 148</t>
  </si>
  <si>
    <t>An introduction to the political economy of dictatorship and democracy, economic growth, and varieties of economic systems around the world and throughout history.</t>
  </si>
  <si>
    <t>PLSC348</t>
  </si>
  <si>
    <t>Social Science, Law, and Public Policy</t>
  </si>
  <si>
    <t>Brueckner</t>
  </si>
  <si>
    <t>SOCY 212</t>
  </si>
  <si>
    <t>Critical assessment of social science research and its uses in public policy and law. Case studies illustrate interrelated themes: what social science research tells us about a problem; frameworks used in the legal/political discourse to address a question; and how social science is used in these frameworks to create law and policy.</t>
  </si>
  <si>
    <t>Intro soc course or permission of instructor</t>
  </si>
  <si>
    <t>An introduction to sociological perspectives on social movements and collective action, exploring civil rights, student movements, global justice, nationalism, and radical fundamentalism. Addresses EJ.</t>
  </si>
  <si>
    <t>WGSS314</t>
  </si>
  <si>
    <t>Social Movements</t>
  </si>
  <si>
    <t>Eyerman</t>
  </si>
  <si>
    <t>SOCY 216</t>
  </si>
  <si>
    <t>New Haven &amp; the American City</t>
  </si>
  <si>
    <t>SOCY 150</t>
  </si>
  <si>
    <t>Rae, Plattus, Rubin</t>
  </si>
  <si>
    <t>New Haven as a window on the problems and promise of American urbanism. New Haven compared with New York, New Orleans, Louisville, Cleveland, Houston, Denver, and San Francisco. Emphasis on the historical development of transportation, manufacturing, housing, governance, and culture. Problems of planning, education, class, and race.</t>
  </si>
  <si>
    <t>HIST152/PLSC279/ARCH385/EP&amp;E285</t>
  </si>
  <si>
    <t>Technology, Identity, and Culture</t>
  </si>
  <si>
    <t>SOCY 353</t>
  </si>
  <si>
    <t>The social dynamics of information technology, focusing on issues of labor, class, gender, and race. Readings are drawn from the sociology of scientific knowledge, sociology of science and technology, and contemporary cultural theory.</t>
  </si>
  <si>
    <t>AFAM354</t>
  </si>
  <si>
    <t xml:space="preserve">WGSS 120 </t>
  </si>
  <si>
    <t>Women Food and Culture</t>
  </si>
  <si>
    <t>Interdisciplinary exploration of the gendering of food production, preparation, and consumption in cross-cultural perspective. Topics include agricultural practices, cooking, pasteurization, kitchen technology, food storage, home economics, hunger, anorexia, breast-feeding, meals, and ethnic identity.</t>
  </si>
  <si>
    <t>Health Social Movements</t>
  </si>
  <si>
    <t>AFAM 229</t>
  </si>
  <si>
    <t>Examination of how and why groups coalesce around issues of health and illness. Issues include racial discrimination and health; women's health and reproductive rights; sickle-cell anemia; environmental justice; breast cancer; and HIV/AIDS.</t>
  </si>
  <si>
    <t>SOCY198/AMST229/ER&amp;M231/WGSS229</t>
  </si>
  <si>
    <t>The Politics of Development Assistance</t>
  </si>
  <si>
    <t>Simon</t>
  </si>
  <si>
    <t>AFST 420</t>
  </si>
  <si>
    <t>A study of development assistance, the dominant feature of the political economies of some of the world's poorest countries. The political and economic impact of aid in developing countries. The potential of a series of proposals to make aid a more effective instrument of development.</t>
  </si>
  <si>
    <t>EP&amp;E347/PLSC430</t>
  </si>
  <si>
    <t>Agrarian History of Africa</t>
  </si>
  <si>
    <t>AFST 849</t>
  </si>
  <si>
    <t>Harms</t>
  </si>
  <si>
    <t>This course examines changes in African rural life from precolonial times to the present. Issues to be examined include land use systems, rural modes of production, gender roles, markets and trade, the impact of colonialism, cash cropping, rural-urban migration, and development schemes.</t>
  </si>
  <si>
    <t>HIST849</t>
  </si>
  <si>
    <t>Government and Politics in Africa</t>
  </si>
  <si>
    <t>AFST 381</t>
  </si>
  <si>
    <t>The establishment and use of political power in selected countries of tropical Africa. The political role of ethnic and class cleavages, military coups, and the relation between politics and economic development.</t>
  </si>
  <si>
    <t>PLSC381</t>
  </si>
  <si>
    <t>McGovern</t>
  </si>
  <si>
    <t>The State in Africa</t>
  </si>
  <si>
    <t>AFST 288</t>
  </si>
  <si>
    <t>A discussion of African states that avoids the pitfall of characterizing them as failed, weak, fragile, or war-torn. Identification of what the states are, how they operate, and how they negotiate varying degrees of legitimacy and authority with the populations they govern.</t>
  </si>
  <si>
    <t>ANTH288</t>
  </si>
  <si>
    <t>Kabiri</t>
  </si>
  <si>
    <t>Conservation Politics in Africa</t>
  </si>
  <si>
    <t>AFST 642</t>
  </si>
  <si>
    <t>Introduction to African environmental politics, including key issues besetting wildlife conservation. Identification of the various actors, institutions, and arenas involved in conservation. Biodiversity conservation as an area of contention in Africa.</t>
  </si>
  <si>
    <t>AFST442</t>
  </si>
  <si>
    <t>International Development in Historical Perspective</t>
  </si>
  <si>
    <t>AFST 488</t>
  </si>
  <si>
    <t>Mahoney</t>
  </si>
  <si>
    <t>The history of economic development, mainly since 1945, with a focus on Latin America, Asia, and especially Africa. Survey of this history from the colonial civilizing mission to current state-market-civil society debates. Evaluation of conflicts over economic globalization.</t>
  </si>
  <si>
    <t>0</t>
  </si>
  <si>
    <t>Principles of Evolution, Ecology, and Behavior</t>
  </si>
  <si>
    <t>Stearns</t>
  </si>
  <si>
    <t>E&amp;EB 122</t>
  </si>
  <si>
    <t>Principles of evolution, ecology, and behavior explained and illustrated by recent advances that have changed the field. Emphasis on major events in the history and key transitions in the organization of life. Ecological processes from organisms through populations and communities to the biosphere. Foraging, mating, and selfish and cooperative behavior placed in evolutionary and ecological context.</t>
  </si>
  <si>
    <t>MCDB 120a or equivalent.</t>
  </si>
  <si>
    <t>E&amp;EB522</t>
  </si>
  <si>
    <t>Examination of fossil and geologic evidence pertaining to the origin, evolution, and history of life on Earth. Emphasis on major events in the history of life, on what the fossil record reveals about the evolutionary process, on the diversity of ancient and living organisms, and on the evolutionary impact of Earth?s changing environment.</t>
  </si>
  <si>
    <t>History of Life</t>
  </si>
  <si>
    <t>Briggs, Gauthier</t>
  </si>
  <si>
    <t>E&amp;EB 125</t>
  </si>
  <si>
    <t>Evolutionary Biology</t>
  </si>
  <si>
    <t>E&amp;EB 225</t>
  </si>
  <si>
    <t>Turner, Townsend</t>
  </si>
  <si>
    <t>An overview of evolutionary biology as the discipline uniting all of the life sciences. Reading and discussion of scientific papers to explore the dynamic aspects of evolutionary biology. Principles of population genetics, paleontology, and systematics; application of evolutionary thinking in disciplines such as developmental biology, ecology, microbiology, molecular biology, and human medicine.</t>
  </si>
  <si>
    <t>E&amp;EB 122b.</t>
  </si>
  <si>
    <t>E&amp;EB525</t>
  </si>
  <si>
    <t>G&amp;G125</t>
  </si>
  <si>
    <t>Ornithology</t>
  </si>
  <si>
    <t>E&amp;EB 672</t>
  </si>
  <si>
    <t>Prum</t>
  </si>
  <si>
    <t>Structure, function, behavior, evolution, and diversity of birds. A general overview of avian biology and evolution. Topics include the evolutionary origin of birds, avian phylogeny, anatomy, physiology, neurobiology, behavior, breeding systems, and bio-geography.</t>
  </si>
  <si>
    <t>E&amp;EB272</t>
  </si>
  <si>
    <t>Foundation of Ecology</t>
  </si>
  <si>
    <t>Smith, Vasseur</t>
  </si>
  <si>
    <t>E&amp;EB 712</t>
  </si>
  <si>
    <t>This seminar course is intended to familiarize students with the evolution of key themes in ecology.</t>
  </si>
  <si>
    <t>Geography and Scale in Ecology and Evolution</t>
  </si>
  <si>
    <t>E&amp;EB 713</t>
  </si>
  <si>
    <t>Jetz</t>
  </si>
  <si>
    <t>Patterns and processes in ecology and evolution are linked through their spatial context and play out at different geographic scales. This seminar course is intended to expose students to a distinctly spatial and cross-scale perspective, and to explore the opportunities for integration it affords. Each week we will be covering a conceptual or methodological topic based on primary literature. We will learn about methods in landscape ecology, spatial pattern analysis, modeling of species distributions, spatial turnover analysis, and about approaches to quantify and control for spatial autocorrelation.</t>
  </si>
  <si>
    <t>This course is for non-science majors who wish to become literate in modern biology by examining the scientific basis of a wide range of issues such as stem cell research, drug development, and genetically modified organisms in our food supply.</t>
  </si>
  <si>
    <t>MCDB 105</t>
  </si>
  <si>
    <t>MB&amp;B105</t>
  </si>
  <si>
    <t>An Issues Approach to Biology</t>
  </si>
  <si>
    <t xml:space="preserve">U </t>
  </si>
  <si>
    <t>Breaker, Miranker, Soll</t>
  </si>
  <si>
    <t>Global Problems of Population Growth</t>
  </si>
  <si>
    <t>MCDB 150</t>
  </si>
  <si>
    <t>Wyman, Drixler</t>
  </si>
  <si>
    <t>The worldwide population explosion in its human, environmental, and economic dimensions. Sociobiological bases of reproductive behavior. Population history and the cause of demographic change. Interactions of population growth with economic development and environmental alteration. Political, religious, and ethical issues surrounding fertility; human rights and the status of women.</t>
  </si>
  <si>
    <t>HIST400/MCDB861</t>
  </si>
  <si>
    <t>both</t>
  </si>
  <si>
    <t>MCDB 230</t>
  </si>
  <si>
    <t>Rain Forest Expedition and Laboratory</t>
  </si>
  <si>
    <t>Strobel, Bascom-Slack, Boulanger</t>
  </si>
  <si>
    <t>Preparation for a two-week expedition to one of the world's rain forests during spring break and for a ten-week summer laboratory experience using samples collected during the expedition. Integrated topics draw on the fields of ecology, microbiology, chemistry, pharmacology, molecular biology, and bioinformatics. Students participate in an original scientific project from field biology to natural product characterization.</t>
  </si>
  <si>
    <t>MCDB 120a</t>
  </si>
  <si>
    <t>MB&amp;B230</t>
  </si>
  <si>
    <t>Biotechnology</t>
  </si>
  <si>
    <t>Deng, Breaker, Nelson, Wolenski</t>
  </si>
  <si>
    <t xml:space="preserve">The new Biotechnology course will cover many fundamental aspects of the field including genetic engineering in microbes, plants and animals, combinatorial biochemistry, small molecules, antibodies, and genomics, (see syllabus below).  </t>
  </si>
  <si>
    <t>Conservation Biology</t>
  </si>
  <si>
    <t>E&amp;EB 115</t>
  </si>
  <si>
    <t>Powell, Jetz</t>
  </si>
  <si>
    <t>An introduction to ecological and evolutionary principles underpinning efforts to conserve Earth?s biodiversity. Efforts to halt the rapid increase in disappearance of both plants and animals. Discussion of sociological and economic issues.</t>
  </si>
  <si>
    <t>E&amp;EB515/F&amp;ES315</t>
  </si>
  <si>
    <t>General Ecology</t>
  </si>
  <si>
    <t>E&amp;EB 220</t>
  </si>
  <si>
    <t>Post, Smith, Vasseur</t>
  </si>
  <si>
    <t>The theory and practice of ecology, including the ecology of individuals, population dynamics and regulation, community structure, ecosystem function, and ecological interactions at broad spatial and temporal scales. Topics such as climate change, fisheries management, and infectious diseases are placed in an ecological context.</t>
  </si>
  <si>
    <t>E&amp;EB520</t>
  </si>
  <si>
    <t>Animal Behavior</t>
  </si>
  <si>
    <t>E&amp;EB 240</t>
  </si>
  <si>
    <t>Alonzo</t>
  </si>
  <si>
    <t>E&amp;EB540</t>
  </si>
  <si>
    <t>An introduction to the study of animal behavior from an evolutionary and ecological perspective. History and methods of studying animal behavior. Topics include foraging, predation, communication, reproduction, cooperation, and the role of behavior in conservation.</t>
  </si>
  <si>
    <t>Biology of Terrestrial Arthropods</t>
  </si>
  <si>
    <t>E&amp;EB 250</t>
  </si>
  <si>
    <t>E&amp;EB550</t>
  </si>
  <si>
    <t>Wells</t>
  </si>
  <si>
    <t>Evolutionary history and diversity of terrestrial arthropods (body plan, phylogenetic relationships, fossil record); physiology and functional morphology (water relations, thermoregulation, energetics of flying and singing); reproduction (biology of reproduction, life cycles, metamorphosis, parental care); behavior (migration, communication, mating systems, evolution of sociality); ecology (parasitism, mutualism, predator-prey interactions, competition, plant-insect interactions).</t>
  </si>
  <si>
    <t>E&amp;EB 122b</t>
  </si>
  <si>
    <t>E&amp;EB 330</t>
  </si>
  <si>
    <t>E&amp;EB 220a or permission of instructor.</t>
  </si>
  <si>
    <t>F&amp;ES30127/E&amp;EB630/F&amp;ES330/EVST330</t>
  </si>
  <si>
    <t>Microbial Ecology and Evolution</t>
  </si>
  <si>
    <t>E&amp;EB 729</t>
  </si>
  <si>
    <t xml:space="preserve">Turner </t>
  </si>
  <si>
    <t>This 1-credit graduate seminar course examines various topics in the ecology and evolution of microbes, with an emphasis on prokaryotes (Eubacteria, Archaea) and viruses. Microbiology is an incredibly rich field, where microorganisms are studied from perspectives including the gene, genome, individual, population, community, and ecosystem levels.</t>
  </si>
  <si>
    <t>Field Ecology</t>
  </si>
  <si>
    <t>Cooley</t>
  </si>
  <si>
    <t>E&amp;EB 230</t>
  </si>
  <si>
    <t>F&amp;ES221/F&amp;ES30022/EVST221/E&amp;EB530</t>
  </si>
  <si>
    <t>A field-based introduction to ecological research. Experimental and descriptive approaches, comparative analysis, and modeling are explored through field and small-group projects.</t>
  </si>
  <si>
    <t>Concurrently with or after E&amp;EB 220a or with permission of instructor.</t>
  </si>
  <si>
    <t>Landscape Ecology</t>
  </si>
  <si>
    <t>E&amp;EB 365</t>
  </si>
  <si>
    <t>Skelly</t>
  </si>
  <si>
    <t>An introduction to the study of large-scale ecological patterns and processes. Topics include species viability, ecosystem management, and the design of nature reserves. Focus on when and how to integrate a spatial perspective into consideration of major ecological questions.</t>
  </si>
  <si>
    <t>After E&amp;EB 220a.</t>
  </si>
  <si>
    <t>F&amp;ES365/F&amp;ES32019/EVST365/F&amp;ES564/E&amp;EB665</t>
  </si>
  <si>
    <t>Phylogenetics and Macroevolution</t>
  </si>
  <si>
    <t>Near</t>
  </si>
  <si>
    <t>E&amp;EB 426</t>
  </si>
  <si>
    <t>Theory and methodology of phylogenetics and the application of phylogenetic trees to the comparative study of biological variation observed in living and fossil organisms. Topics include biogeography, speciation, adaptive radiation, estimation of divergence times and 'molecular clock' methods, rates of lineage diversification, and phylogeny of genes, species, and higher taxa.</t>
  </si>
  <si>
    <t>Prerequisite: E&amp;EB 225b or permission of instructor.</t>
  </si>
  <si>
    <t xml:space="preserve">E&amp;EB826 </t>
  </si>
  <si>
    <t>E&amp;EB 810</t>
  </si>
  <si>
    <t>Vaisnys</t>
  </si>
  <si>
    <t>An introduction to the ways in which the structure and behavior of evolving biological systems can be described, modeled, and analyzed. Examination of model systems as well as modeling of laboratory and field phenomena.</t>
  </si>
  <si>
    <t>Current Issues in Biological Science</t>
  </si>
  <si>
    <t>Summers</t>
  </si>
  <si>
    <t>MB&amp;B 110</t>
  </si>
  <si>
    <t>Students identify a scientific problem and then plan and execute a program of individualized learning aimed at the particular scientific knowledge required to understand and analyze the chosen problem. Intended to help students develop self-education skills as applied to scientific understanding, apply those skills to acquire some specific scientific knowledge, and understand the process by which scientific knowledge and understanding are achieved.</t>
  </si>
  <si>
    <t>Public Health in India</t>
  </si>
  <si>
    <t>SAST 276</t>
  </si>
  <si>
    <t>Kulkarni</t>
  </si>
  <si>
    <t>The structure of public health in India examined from a sociomedical perspective. Theoretical, empirical, and critical research on topics such as the burden of disease and communicable, noncommunicable, and unintentional injuries; management, governance, and delivery of health services to populations across the country; and policies and future challenges for the Indian government to promote the goal of universal health.</t>
  </si>
  <si>
    <t>SOCY206</t>
  </si>
  <si>
    <t>Chadha</t>
  </si>
  <si>
    <t xml:space="preserve">Science, State, and Technology in India </t>
  </si>
  <si>
    <t>SAST 301</t>
  </si>
  <si>
    <t>ANTH330/ANTH530</t>
  </si>
  <si>
    <t>Historical and anthropological investigation of science, state, and technology in the making of colonial India, the transformation of India into a postcolonial nation, and India's rise to global prominence in the area of information technology. Topics include colonial medicine, the Gandhian critique of science, big dams, the Bhopal gas disaster, nuclear energy, and the Indian space program.</t>
  </si>
  <si>
    <t>State &amp; Society in Afghanistan</t>
  </si>
  <si>
    <t>SAST 203</t>
  </si>
  <si>
    <t>Monsutti</t>
  </si>
  <si>
    <t>Historical, political, and ethnographic examination of state and society in Afghanistan. Ecology and economy, social and political organization, and ethnicity and transnational networks explored as bases for understanding the causes and consequences of domestic political turmoil and foreign interventions over the last thirty years. Attention to contemporary reconstruction and the country's prospects for the future.</t>
  </si>
  <si>
    <t>ANTH266</t>
  </si>
  <si>
    <t>Religions and Ecology: Asian Religions</t>
  </si>
  <si>
    <t>REL 817</t>
  </si>
  <si>
    <t>Tucker, Grim</t>
  </si>
  <si>
    <t>This course examines the various ways in which religious ideas and practices have contributed to cultural attitudes and human interactions with nature in Asia. Examples are selected from Hinduism, Buddhism, Confucianism, and Daoism. The course examines such topics as: symbols, images, and metaphors of nature in canonical texts, views of the divine as transcendent to the world, the indwelling of the sacred in the Earth, the ethics of using and valuing nature, ritual practices that link humans to the natural world, and cosmology as orienting humans to the world and embedding them in place. Counts as Area 5.</t>
  </si>
  <si>
    <t>RLST872/F&amp;ES80071/RLST280</t>
  </si>
  <si>
    <t>Environmental Ethics</t>
  </si>
  <si>
    <t>REL 870</t>
  </si>
  <si>
    <t>Jenkins</t>
  </si>
  <si>
    <t>Natural Resources and Their Sustainability</t>
  </si>
  <si>
    <t>Evans, Ague</t>
  </si>
  <si>
    <t>G&amp;G 205</t>
  </si>
  <si>
    <t>The formation and distribution of renewable and nonrenewable energy, mineral, and water resources. Topics include the consequences of extraction and use; depletion and the availability of substitutes; and economic and geopolitical issues.</t>
  </si>
  <si>
    <t>The Science of Water</t>
  </si>
  <si>
    <t>G&amp;G 207</t>
  </si>
  <si>
    <t>Lee (Kanani)</t>
  </si>
  <si>
    <t>A study of water in its physical, chemical, biological, astronomical, geological, and environmental aspects. Topics include water's role in food and energy production, conservation and pollution, magnetic field generation, plate tectonics and volcanism, climate, and security.</t>
  </si>
  <si>
    <t>Environmental Geomicrobiology</t>
  </si>
  <si>
    <t>Blake</t>
  </si>
  <si>
    <t>G&amp;G 255</t>
  </si>
  <si>
    <t>Microbial diversity in natural geologic habitats and the role of microorganisms in major biogeochemical cycles. Introduction to prokaryote physiology and metabolic diversity; enrichment culture and molecular methods in geomicrobiology.</t>
  </si>
  <si>
    <t>chemistry</t>
  </si>
  <si>
    <t>Pagani</t>
  </si>
  <si>
    <t>Paleoclimates</t>
  </si>
  <si>
    <t>G&amp;G 402</t>
  </si>
  <si>
    <t>A study of the dynamic evolution of Earth's climate. Topics include warm (the Cretaceous, the Eocene, the PETM, the Pliocene) and cold (the "snowball Earth") climates of the past, glacial cycles, abrupt climate changes, the climate of the past thousand years, and the climate of the twentieth century.</t>
  </si>
  <si>
    <t>After PHYS 181b and one course in meteorology (G&amp;G 322a) or oceanography (G&amp;G 335a), or with permission of instructor.</t>
  </si>
  <si>
    <t>Geophysical Fluid Dynamics</t>
  </si>
  <si>
    <t>G&amp;G 421</t>
  </si>
  <si>
    <t>Timmermans</t>
  </si>
  <si>
    <t>Derivation of the equations of a geophysical fluid. Analysis of the most important dynamical phenomena common to all planetary atmospheres, oceans, and interiors, with emphasis on the roles of planetary rotation, gravitation, and thermal gradients.</t>
  </si>
  <si>
    <t>G&amp;G521</t>
  </si>
  <si>
    <t>After or concurrently with MENG 361a or equivalent and one course in meteorology or oceanography, or with permission of instructor.</t>
  </si>
  <si>
    <t>Deformation of Earth Materials</t>
  </si>
  <si>
    <t>Karato</t>
  </si>
  <si>
    <t>G&amp;G 450</t>
  </si>
  <si>
    <t>Basic physics and chemistry of Earth materials, with emphasis on kinetic and transport properties. Geochemical and geophysical processes in Earth's crust and mantle and their influence on the dynamics and evolution of this planet. Topics include plastic flow, diffusion, thermal conductivity, electrical conductivity, and chemical reaction.</t>
  </si>
  <si>
    <t>Introduction to Seismology</t>
  </si>
  <si>
    <t>G&amp;G 456</t>
  </si>
  <si>
    <t>Earthquakes and seismic waves, P and S waves, surface waves and free oscillations. Remote sensing of Earth¿s deep interior and faulting mechanisms. After MATH 120a or b, 222a or b, and PHYS 180a, 181b, or equivalents.</t>
  </si>
  <si>
    <t>G&amp;G556</t>
  </si>
  <si>
    <t>Smith, Gomez, Kindlmann</t>
  </si>
  <si>
    <t>G&amp;G 485</t>
  </si>
  <si>
    <t>Theory and practical experience in site selection, turbine selection, and power output estimation for wind turbines. Discussion of environmental, social, and economic factors. Field trips and wind power projects.</t>
  </si>
  <si>
    <t>Prerequisite:one course in physics, meteorology, fluid dynamics, electrical engineering, or economics.</t>
  </si>
  <si>
    <t>ENAS485</t>
  </si>
  <si>
    <t>G&amp;G 521</t>
  </si>
  <si>
    <t>G&amp;G421</t>
  </si>
  <si>
    <t>Introduction to the Physics and Chemistry of Earth Materials</t>
  </si>
  <si>
    <t>G&amp;G 319</t>
  </si>
  <si>
    <t>Basic principles that control the physical and chemical properties of Earth materials. Equation of state, phase transformations, chemical reactions, elastic properties, diffusion, kinetics of reaction and mass/energy transport.</t>
  </si>
  <si>
    <t>G&amp;G519</t>
  </si>
  <si>
    <t>Built Environments and the Politics of Place</t>
  </si>
  <si>
    <t>AMST 861</t>
  </si>
  <si>
    <t>Call it the built environment, the vernacular, everyday architecture, or the cultural landscape, the material world of built and natural places is intricately bound up with social and political life. This seminar introduces research methods involving the built environment. It includes readings from urban and suburban history, geography, anthropology, and architecture as well as readings on narrative and graphic strategies for representing spaces and places. Participants present papers; chapters from longer projects are welcome. Limited enrollment.</t>
  </si>
  <si>
    <t>ARCH4214</t>
  </si>
  <si>
    <t>Environmental Design</t>
  </si>
  <si>
    <t>ARCH 2021</t>
  </si>
  <si>
    <t>Addington, Darling</t>
  </si>
  <si>
    <t xml:space="preserve">This lecture and workshop course examines the fundamental scientific principles underlying the thermal, luminous and acoustic behavior of buildings and introduces students to the existing technologies for creating and controlling the interior environment.  </t>
  </si>
  <si>
    <t>Sustainable Design</t>
  </si>
  <si>
    <t>Darling</t>
  </si>
  <si>
    <t>ARCH 2213</t>
  </si>
  <si>
    <t xml:space="preserve">This seminar looks broadly at sustainable architectural and urban design, reviewing the current state of the global environment, the key historical documents of the sustainable revolution, and the guiding principles of sustainable design.  </t>
  </si>
  <si>
    <t>Infrastructure: Politics and Design</t>
  </si>
  <si>
    <t>ARCH 347</t>
  </si>
  <si>
    <t>Rubin</t>
  </si>
  <si>
    <t>Infrastructures - the physical frameworks for human settlement, urbanization, and social life, including networks for transportation, water, energy, and communication. Current debates on infrastructure spending in the context of historical investments in the modern American city.</t>
  </si>
  <si>
    <t>ARCH 4211b</t>
  </si>
  <si>
    <t>Intermediate Planning and Development</t>
  </si>
  <si>
    <t>This seminar examines the interaction of building design with local market conditions, financing alternatives, and political context. During the first part of the term, students learn how to analyze a specific neighborhood (in New York City) by using fundamental planning techniques and examining national trends within that neighborhood. Topics include housing, retail, and office development; zoning; historic preservation; transportation; business improvement districts; and building re-use and rehabilitation.</t>
  </si>
  <si>
    <t>Brenda Bradley</t>
  </si>
  <si>
    <t>ANTH 204</t>
  </si>
  <si>
    <t>Molecular Anthropology</t>
  </si>
  <si>
    <t>An introduction to the patterns and process of human genetic variation. Topics include human origins and migration; molecular adaptations to environment, lifestyle, and disease; ancient and forensic DNA analyses; and genealogical reconstructions.</t>
  </si>
  <si>
    <t>Erik Harms</t>
  </si>
  <si>
    <t>ANTH 244</t>
  </si>
  <si>
    <t>Modern Southeast Asia</t>
  </si>
  <si>
    <t>Introduction to the peoples and cultures of Southeast Asia, with special emphasis on the challenges of modernization, development, and globalization. Southeast Asian history, literature, arts, belief systems, agriculture, industrialization and urbanization, politics, ecological challenges, and economic change.</t>
  </si>
  <si>
    <t>Alessandro Monsutti</t>
  </si>
  <si>
    <t>ANTH 266</t>
  </si>
  <si>
    <t>State and Society in Afghanistan</t>
  </si>
  <si>
    <t>Harvey Weiss</t>
  </si>
  <si>
    <t>ANTH 320, 720</t>
  </si>
  <si>
    <t>Mesopotamian Origins</t>
  </si>
  <si>
    <t>nalysis of the archaeological and paleoenvironmental data for rain-fed and irrigation agriculture settlement, subsistence, and politicoeconomic innovation in Mesopotamia, from sedentary agriculture villages to cities and states to early empire. Focus on combinations of dynamic social and environmental forces that drove these developments.</t>
  </si>
  <si>
    <t>Michael Dove</t>
  </si>
  <si>
    <t>ANTH 382</t>
  </si>
  <si>
    <t>Environmental Anthropology</t>
  </si>
  <si>
    <t>History of the anthropological study of the environment. The nature-culture dichotomy, ecology and social organization, methodological debates, and the politics of the environment.</t>
  </si>
  <si>
    <t>ANTH 473, 773</t>
  </si>
  <si>
    <t>Kalyanakrishnan Sivaramakrishnan, Peter Perdue, James Scott</t>
  </si>
  <si>
    <t>ANTH 541</t>
  </si>
  <si>
    <t>Agrarian Societies: Culture, Society, History, and Development</t>
  </si>
  <si>
    <t>An interdisciplinary examination of agrarian societies, contemporary and historical, Western and non-Western. Major analytical perspectives from anthropology, economics, history, political science, and environmental studies are used to develop a meaning-centered and historically grounded account of the transformations of rural society. Team-taught.</t>
  </si>
  <si>
    <t>Carol Carpenter</t>
  </si>
  <si>
    <t>ANTH 561</t>
  </si>
  <si>
    <t>Anthropology of the Global Economy for Development and Conservation</t>
  </si>
  <si>
    <t>This seminar explores topics in the anthropology of the global economy that are relevant to development and conservation policy and practice. Anthropologists are often assumed to focus on micro- or local-level research, and thus to have limited usefulness in the contemporary, global world of development and conservation policy. In fact, however, they have been examining global topics since at least the 1980s, and very little current anthropological research is limited to the village level. More importantly, the anthropological perspective on the global economy is unique and important.</t>
  </si>
  <si>
    <t>Andrew Hill</t>
  </si>
  <si>
    <t>ANTH 856</t>
  </si>
  <si>
    <t>Reconstructing Human Evolution: An Ecological Approach_</t>
  </si>
  <si>
    <t>If human evolutionary change has been determined or affected by ecological factors, such as changes in climate, competition with other animals, and availability and kinds of food supply, then it is important to determine ecological and environmental information about the regions and time period in which human evolution has occurred. Examination of methods for obtaining data relevant to such information, and for evaluating the techniques and results of such other fields as geology, paleobotany, and paleozoology. Ethnographic, primatological, and other biological models of early human behavior.</t>
  </si>
  <si>
    <t>Karen Hebert</t>
  </si>
  <si>
    <t>ANTH 572</t>
  </si>
  <si>
    <t>Disaster, Degradation, Dystopia: Social Science Approaches to Environmental Perturbation and Change</t>
  </si>
  <si>
    <t>This is an advanced seminar on the long tradition of social science scholarship on environmental perturbation and natural disasters, the relevance of which has been heightened by the current global attention to climate change. Topics covered include the academic literature on the social dimension of natural disasters, illustrated with a case study of volcanic hazard; the discursive dimensions of environmental degradation, focusing on deforestation and other case studies; climate change, including discursive dimensions at the global level and close-grained studies of adaptation at the local level; the current debate about the relationship between resource wealth and political conflict, focusing on the "green war" thesis, and the case of tropical forest commodities; and alternative perspectives on sustainable environmental relations, based on interdisciplinary work and work in the humanities. Prerequisite: F&amp;ES 83056a/ANTH 597a, or F&amp;ES 83050a/ANTH 581a, or F&amp;ES 83073b/ANTH 582b. Three-hour lecture/seminar. Enrollment limited to twenty.</t>
  </si>
  <si>
    <t>Hongyu Zhao, Elizabeth Claus, Kenneth Kidd</t>
  </si>
  <si>
    <t>GENE 631</t>
  </si>
  <si>
    <t>Topics in Genetic Epidemiology</t>
  </si>
  <si>
    <t>his course discusses the role of human genetics in epidemiology and public health, focusing on the epidemiology of Mendelian disorders and the genetic and environmental contributions to common, complex familial traits. Topics of discussion include (1) study designs for assessing the importance of genetic factors (population-based as well as family-based designs such as high-risk pedigrees and twin studies), (2) methods for determining mode of inheritance, and (3) the identification and mapping of genes through linkage analyses, candidate-gene approaches, genome-wide association studies, and admixture mapping. Applications of these approaches to clinical medicine are presented. Prerequisites: BIS 505a and BIS 505b (or equivalent) as well as course work in basic genetics. Offered every other year.</t>
  </si>
  <si>
    <t>Douglas Rogers</t>
  </si>
  <si>
    <t>ANTH 438, 638</t>
  </si>
  <si>
    <t>Culture, Power, Oil</t>
  </si>
  <si>
    <t>The production, circulation, and consumption of petroleum as illustrations of topics in globalization, empire, cultural performance, natural resource extraction, and the nature of the state. Case studies from the United States, Saudi Arabia, Nigeria, Venezuela, and the former Soviet Union.</t>
  </si>
  <si>
    <t>Dirk Bergemann, Johannes Horner</t>
  </si>
  <si>
    <t>Econ 501</t>
  </si>
  <si>
    <t>General Economic Theroy: Microeconomics</t>
  </si>
  <si>
    <t>eneral equilibrium and welfare economics. Allocation involving time. Public sector economics. Uncertainty and the economics of information. Introduction to social choice.</t>
  </si>
  <si>
    <t>Giuseppe Moscarini, Mikhail Golosov</t>
  </si>
  <si>
    <t>Econ 511</t>
  </si>
  <si>
    <t>General Economic Theroy: Macroeconomics</t>
  </si>
  <si>
    <t>Theories of saving, investment, portfolio choice, and financial markets. Longer-run developments; economic growth, capital accumulation, income distribution.</t>
  </si>
  <si>
    <t>Benjamin Chabot</t>
  </si>
  <si>
    <t>Econ 581</t>
  </si>
  <si>
    <t>American Economic History</t>
  </si>
  <si>
    <t>This course examines both the long-term factors (such as industrialization and the development of markets) and the epochal events (such as the Revolution, Civil War, and Great Depression) that have shaped the development of the American economy. The objectives of this course are to familiarize students with the major topics and debates in American economic history.</t>
  </si>
  <si>
    <t>Aleh Tsyvinski</t>
  </si>
  <si>
    <t>Econ 681</t>
  </si>
  <si>
    <t>Public Finance II</t>
  </si>
  <si>
    <t>Topics include theory of public goods, an introduction to preference revelation, the problem of externalities and their control, and the methodology of cost-benefit analysis and some applications.</t>
  </si>
  <si>
    <t>Robert Shiller</t>
  </si>
  <si>
    <t>Econ 527</t>
  </si>
  <si>
    <t>Behavioral &amp; Institutional Economics</t>
  </si>
  <si>
    <t>Behavioral economics incorporates insights from other social sciences, such as psychology and sociology, into economic models, and attempts to explain anomalies that defy standard economic analysis. Institutional economics is the study of the evolution of economic organizations, laws, contracts, and customs as part of a historical and continuing process of economic development. Behavioral economics and institutional economics are naturally treated together, since so much of the logic and design of economic institutions has to do with complexities of human behavior. The course emphasizes two main topics - behavioral macroeconomics and behavioral finance - though references are made to other branches of economics as well. Because macroeconomics is a major part of this course, it is part of the graduate macroeconomics sequence (including also ECON 510a, 511b, 525a, and 526b). However, this course does not list these other courses as requirements.</t>
  </si>
  <si>
    <t>Steven Berry, jPhilip Haile</t>
  </si>
  <si>
    <t>Econ 600</t>
  </si>
  <si>
    <t>Industrial Organization I</t>
  </si>
  <si>
    <t>Begins by locating the study of industrial organization within the broader research traditions of economics and related social sciences. Alternative theories of decision making, of organizational behavior, and of market evolution are sketched and contrasted with standard neoclassical theories. Detailed examination of the determinants and consequences of industrial market structure.</t>
  </si>
  <si>
    <t>Robert Mendelsohn</t>
  </si>
  <si>
    <t>Econ 737</t>
  </si>
  <si>
    <t>Linking of abstract economic concepts to concrete policy and management decisions. Application of theoretical tools of economics to global warming, pollution control, fisheries, forestry, recreation, and mining.</t>
  </si>
  <si>
    <t>William Nordhaus, Robert Mendelsohn</t>
  </si>
  <si>
    <t>Econ 738</t>
  </si>
  <si>
    <t>Wrkshp Environment &amp; Natural Resources</t>
  </si>
  <si>
    <t>Giovanni Maggi</t>
  </si>
  <si>
    <t>Econ 720</t>
  </si>
  <si>
    <t>International Trade I</t>
  </si>
  <si>
    <t>This course covers the theory of international trade, policy, and institutions. Discussion of Classical, Neo-classical, and more recent imperfect-Competition-Scale-Economies-based static models of trade. The course presents dynamic extensions of some of the models that explore the relations among trade, innovation, and growth. The analytics of trade policy issues, such as gains from trade, tariffs and quotas, customs unions and free trade areas, and the political economy of trade policy making, are discussed.</t>
  </si>
  <si>
    <t>Christopher Udry, TN Srinivasan</t>
  </si>
  <si>
    <t>Econ 730</t>
  </si>
  <si>
    <t>Economic Development I</t>
  </si>
  <si>
    <t>Development theory at both aggregate and sectoral levels; analysis of growth, employment, poverty, and distribution of income in both closed and open developing economy contexts.</t>
  </si>
  <si>
    <t>Justine Hastings, Amanda Kowalski</t>
  </si>
  <si>
    <t>Econ 680</t>
  </si>
  <si>
    <t>Public Finance I</t>
  </si>
  <si>
    <t>Andrea Bubula</t>
  </si>
  <si>
    <t>Econ 702</t>
  </si>
  <si>
    <t>International Economics</t>
  </si>
  <si>
    <t>International monetary theory and its implications for economic policy. Topics include mechanisms of adjustment in the balance of payments; fiscal, monetary, and exchange rate policy for internal and external balance; international movements of capital. For IDE students.</t>
  </si>
  <si>
    <t>Micael Boozer</t>
  </si>
  <si>
    <t>Econ 732</t>
  </si>
  <si>
    <t>Economic Development IDE</t>
  </si>
  <si>
    <t>Examines the models of classical and modern economists to explain the transition of developing economies into modern economic growth, as well as their relevance to income distribution, poverty alleviation, and human development. For IDE students.</t>
  </si>
  <si>
    <t>Keller Easterling</t>
  </si>
  <si>
    <t>INRL 514</t>
  </si>
  <si>
    <t>Globalization Space: Global Infrastructure and Extrastatecraft</t>
  </si>
  <si>
    <t>Global infrastructures and spatial products as a medium of transnational politics. Case studies travel around the world to, for instance, a resort in the DPRK, golf courses in China, IT campuses in South Asia, high-speed rail in Saudi Arabia, cable/satellite networks in Africa, and automated ports. As materializations of capital these spaces index labor and resources while also possessing cunning political dispositions and parastate functions.</t>
  </si>
  <si>
    <t>Wolfgang Plasa</t>
  </si>
  <si>
    <t>INRL 549</t>
  </si>
  <si>
    <t>The European Union?s Contemporary Challenges</t>
  </si>
  <si>
    <t>Each year, this course addresses a different set of issues facing the EU. Recent issues have included trade policy, regulation policy, building European monetary power, international trade policy and the WTO, and science, precaution, and policy making. The course is taught by the EU fellow visiting the MacMillan Center.</t>
  </si>
  <si>
    <t>Teresa Janevic</t>
  </si>
  <si>
    <t>INRL 627</t>
  </si>
  <si>
    <t>Health in Societies in Transition: Eastern Europe and Former Soviet Union</t>
  </si>
  <si>
    <t>The collapse of the socialist regimes of Eastern Europe and Former Soviet Union (EE/FSU) following 1989 has had a profound effect on both health care systems and population health in Eastern Europe and Central Asia. The unique social and economic transition this region has experienced has resulted in public health challenges distinct from those of many low-income and high-income countries, along with some marked successes. This course will critically review these issues, using a multi-level conceptual framework of the determinants of health that incorporates macro-level factors (e.g., public policy, conflict, and political economy); community level factors (e.g.,social cohesion and stress); and individual-level factors (e.g., health behaviors). While each session is designed to explore a particular topic in depth, a number of cross-cutting issues will be addressed throughout the semester; for example: human rights, inequalities in health, health and development, political and economic transition and health, demographic transition and health, and health system decentralization. A multi-disciplinary perspective will be welcomed class discussion and class assignments.</t>
  </si>
  <si>
    <t>Dean Karlan</t>
  </si>
  <si>
    <t>INTS 352</t>
  </si>
  <si>
    <t>Susan Hyde</t>
  </si>
  <si>
    <t>INTS 364</t>
  </si>
  <si>
    <t>International Organizations</t>
  </si>
  <si>
    <t>The role international organizations play in solving global problems of political economy, security, development, human rights, democracy promotion, and the environment. Debates over the effects and relative importance of international organizations in world politics, using international relations theory and case studies.</t>
  </si>
  <si>
    <t>Gaddis Smith</t>
  </si>
  <si>
    <t>INTS 414</t>
  </si>
  <si>
    <t>Oceans, Security, and Globalization in History</t>
  </si>
  <si>
    <t>SF</t>
  </si>
  <si>
    <t>Maritime aspects since the fifteenth century of international conflict and trade. Attention to naval policies and strategies, economic growth and inequality, free and unfree labor, technology, maritime law and lawlessness, environmental change, fisheries, and seabed resources.</t>
  </si>
  <si>
    <t>Cheryl Doss</t>
  </si>
  <si>
    <t>INRL 560</t>
  </si>
  <si>
    <t>Economic Analysis</t>
  </si>
  <si>
    <t>Introduces IR students to more advanced concepts in economics. Course emphasizes reading and evaluating the economic content of articles on a wide range of topics, including consumer behavior, firm behavior, comparisons of welfare, labor markets, capital markets, and cost-benefit analysis. These articles represent research from both developed and developing economies. Prerequisite: Principles of Microeconomics.</t>
  </si>
  <si>
    <t>Christian Leuprecht</t>
  </si>
  <si>
    <t>INRL 594</t>
  </si>
  <si>
    <t>Environmental Security, Demographic Change, and Nonconventional Threats</t>
  </si>
  <si>
    <t>Nonconventional threats to national and international security concern the environment, demographic change and migration, resource scarcity, urbanization, food, energy, health, and disease. This seminar is designed to provide students with a conceptual, theoretical, and empirical grounding in debates and matters concerning security in this nonconventional context. Empirical observations are embedded in theoretical discussions about the role of the state, forms of state intervention, social and political theory, as well as an understanding of the relationship between complex social systems.</t>
  </si>
  <si>
    <t>INRL 680</t>
  </si>
  <si>
    <t>Examination of capitalism as it functions in practice, with extensive use of business cases. The role of capitalism in generating wealth and innovation unprecedented in history. Negative consequences of capitalist development such as radical inequality, disruption of the natural environment, and intermittent social crises. ,</t>
  </si>
  <si>
    <t>INRL 743</t>
  </si>
  <si>
    <t>The Political Economy of Foreign Investment</t>
  </si>
  <si>
    <t>The emergence of functioning capital markets and the ability to access global capital are threshold issues for economic growth and political development in emerging markets. Integrating political science theories with readings from the law, economics, and finance literatures, this course critically assesses public and private foreign investment. Focus is on whether investment decisions and deal performance are primarily a function of the investor?s endowments, the investment?s characteristics, or the state of global liquidity. In particular, investment decisions are analyzed through two competing paradigms with the use of large-N evidence and relevant case studies from emerging markets, such as Egypt, Kazakhstan, Turkey, Brazil, Mexico, Russia.</t>
  </si>
  <si>
    <t>INTS 356</t>
  </si>
  <si>
    <t>International Political Economy</t>
  </si>
  <si>
    <t>Theoretical perspectives and empirical debates in international political economy. Trade, monetary and financial systems, regional integration, multinational institutions, domestic political institutions, investment and capital markets, development, and globalization.</t>
  </si>
  <si>
    <t>ENAS 805</t>
  </si>
  <si>
    <t>PLSC 500</t>
  </si>
  <si>
    <t>ENAS 101</t>
  </si>
  <si>
    <t>PLSC 663</t>
  </si>
  <si>
    <t>PLSC 721</t>
  </si>
  <si>
    <t>PLSC 186</t>
  </si>
  <si>
    <t>ENAS 990</t>
  </si>
  <si>
    <t>PLSC 192</t>
  </si>
  <si>
    <t>PLSC 842</t>
  </si>
  <si>
    <t>PLSC 169</t>
  </si>
  <si>
    <t>PLSC 926</t>
  </si>
  <si>
    <t>PLSC S252</t>
  </si>
  <si>
    <t>ENAS S100</t>
  </si>
  <si>
    <t>ENAS S120</t>
  </si>
  <si>
    <t>ENAS 603</t>
  </si>
  <si>
    <t>PLSC 381</t>
  </si>
  <si>
    <t>PLSC 430</t>
  </si>
  <si>
    <t>PLSC 990</t>
  </si>
  <si>
    <t>PLSC S123</t>
  </si>
  <si>
    <t>PLSC 281</t>
  </si>
  <si>
    <t>PLSC 727</t>
  </si>
  <si>
    <t>PLSC 725</t>
  </si>
  <si>
    <t>ENAS 964</t>
  </si>
  <si>
    <t>ENAS 944</t>
  </si>
  <si>
    <t>ENAS 649</t>
  </si>
  <si>
    <t>PLSC 230</t>
  </si>
  <si>
    <t>PLSC 250</t>
  </si>
  <si>
    <t>PLSC 356</t>
  </si>
  <si>
    <t>PLSC 777</t>
  </si>
  <si>
    <t>ENAS 517</t>
  </si>
  <si>
    <t>PLSC 810</t>
  </si>
  <si>
    <t>PLSC 420</t>
  </si>
  <si>
    <t>ENAS 371</t>
  </si>
  <si>
    <t>PLSC 184</t>
  </si>
  <si>
    <t>PLSC 202</t>
  </si>
  <si>
    <t>BENG 405</t>
  </si>
  <si>
    <t>PLSC 428</t>
  </si>
  <si>
    <t>CENG 120</t>
  </si>
  <si>
    <t>PLSC 152</t>
  </si>
  <si>
    <t>ENAS 648</t>
  </si>
  <si>
    <t>PLSC 779</t>
  </si>
  <si>
    <t>PLSC 679</t>
  </si>
  <si>
    <t>PLSC 655</t>
  </si>
  <si>
    <t>PLSC S167</t>
  </si>
  <si>
    <t>ENVE 360</t>
  </si>
  <si>
    <t>ENAS 642</t>
  </si>
  <si>
    <t>ENAS 335</t>
  </si>
  <si>
    <t>PLSC 212</t>
  </si>
  <si>
    <t>EENG 406</t>
  </si>
  <si>
    <t>ENAS 509</t>
  </si>
  <si>
    <t>PLSC 654</t>
  </si>
  <si>
    <t>APHY 60</t>
  </si>
  <si>
    <t>ENAS 485</t>
  </si>
  <si>
    <t>PLSC 313</t>
  </si>
  <si>
    <t>PLSC 714</t>
  </si>
  <si>
    <t>PLSC 818</t>
  </si>
  <si>
    <t>PLSC 442</t>
  </si>
  <si>
    <t>PLSC 191</t>
  </si>
  <si>
    <t>APHY 321</t>
  </si>
  <si>
    <t>MENG 285</t>
  </si>
  <si>
    <t>APHY 110</t>
  </si>
  <si>
    <t>ENAS 655</t>
  </si>
  <si>
    <t>F&amp;ES 30114a</t>
  </si>
  <si>
    <t>MGT 541</t>
  </si>
  <si>
    <t>MGT 827</t>
  </si>
  <si>
    <t>F&amp;ES 80018b</t>
  </si>
  <si>
    <t>Addington</t>
  </si>
  <si>
    <t>F&amp;ES 80022ab</t>
  </si>
  <si>
    <t xml:space="preserve">Sheldon </t>
  </si>
  <si>
    <t>Goetzmann, Garstka</t>
  </si>
  <si>
    <t>Nordhaus, Bruegemann, Samuelson</t>
  </si>
  <si>
    <t>Econ 122ab</t>
  </si>
  <si>
    <t>EHS 575ab</t>
  </si>
  <si>
    <t>Econ 116ab</t>
  </si>
  <si>
    <t>Econ 115ab</t>
  </si>
  <si>
    <t>Econ 108ab</t>
  </si>
  <si>
    <t>Seminar on Values of the Natural Environment</t>
  </si>
  <si>
    <t>Simmons</t>
  </si>
  <si>
    <t>Mobarak</t>
  </si>
  <si>
    <t>Kahn, Baron</t>
  </si>
  <si>
    <t>Takahashi, Ammon</t>
  </si>
  <si>
    <t>Prober</t>
  </si>
  <si>
    <t>Elimelech</t>
  </si>
  <si>
    <t>Cromwell, Burke</t>
  </si>
  <si>
    <t xml:space="preserve">Nalebuff, Canales </t>
  </si>
  <si>
    <t>Ayres</t>
  </si>
  <si>
    <t>Peccia</t>
  </si>
  <si>
    <t>Wallis</t>
  </si>
  <si>
    <t>Farricielli</t>
  </si>
  <si>
    <t>EHS 502a</t>
  </si>
  <si>
    <t>CDE 502a</t>
  </si>
  <si>
    <t>Rae, Bagley</t>
  </si>
  <si>
    <t>Taylor</t>
  </si>
  <si>
    <t>MGT 829</t>
  </si>
  <si>
    <t>MGT 413</t>
  </si>
  <si>
    <t>Feinstein</t>
  </si>
  <si>
    <t>The European Union's Contemporary Challenges</t>
  </si>
  <si>
    <t>Schott</t>
  </si>
  <si>
    <t>MGT 683</t>
  </si>
  <si>
    <t>MCDB 370</t>
  </si>
  <si>
    <t>Trumpler</t>
  </si>
  <si>
    <t>Rogers</t>
  </si>
  <si>
    <t>ENAS120/ENVE120</t>
  </si>
  <si>
    <t>Department</t>
  </si>
  <si>
    <t>FES</t>
  </si>
  <si>
    <t>SOM</t>
  </si>
  <si>
    <t>Law</t>
  </si>
  <si>
    <t>Engineering</t>
  </si>
  <si>
    <t>Biology</t>
  </si>
  <si>
    <t>International relations</t>
  </si>
  <si>
    <t>Geology &amp; geophysics</t>
  </si>
  <si>
    <t>Genetics</t>
  </si>
  <si>
    <t>Environmental studies</t>
  </si>
  <si>
    <t>Public health</t>
  </si>
  <si>
    <t>African/african american studies</t>
  </si>
  <si>
    <t>Anthropology</t>
  </si>
  <si>
    <t>Architecture</t>
  </si>
  <si>
    <t>Political science</t>
  </si>
  <si>
    <t>Psychology</t>
  </si>
  <si>
    <t>Divinity</t>
  </si>
  <si>
    <t>South asian studies</t>
  </si>
  <si>
    <t>Sociology</t>
  </si>
  <si>
    <t>Women's, gender, and sexuality studies</t>
  </si>
  <si>
    <t>MCDB 570</t>
  </si>
  <si>
    <t xml:space="preserve">Examination of capitalism as it functions in practice, with extensive use of business cases. The role of capitalism in generating wealth and innovation unprecedented in history. Negative consequences of capitalist development such as radical inequality, disruption of the natural environment, and intermittent social crises. </t>
  </si>
  <si>
    <t xml:space="preserve">Community &amp; Economic Development </t>
  </si>
  <si>
    <t xml:space="preserve">Golden, Hudspeth, Muckenfuss, Nadel, Solomon, Stone </t>
  </si>
  <si>
    <t>LAW 20023</t>
  </si>
  <si>
    <t xml:space="preserve">This multidisciplinary clinic focuses on issues of neighborhood revitalization, low-income housing, financial access and financial inclusion as they relate to poverty alleviation and economic development. Under the supervision of faculty and practicing members of the bar, participants will work on behalf of nonprofit organizations, the City of New Haven, small businesses, and a local community development bank in the New Haven area. The clinic will emphasize a non-adversarial, transactional approach to problem solving for major issues facing a low-income urban area such as affordable housing, business development, access to affordable financial services and subprime lending. </t>
  </si>
  <si>
    <t>Elliott</t>
  </si>
  <si>
    <t xml:space="preserve">A major goal of the Obama Administration, as well as many other groups and authors, is to wean the U.S. from its dependence on fossil fuels by promoting energy efficiency and renewable sources of energy. This research seminar considers what legal policies and instruments may be available to accomplish these policy goals. The course will begin with the arguments that a transformation of the U.S. energy system is needed for environmental as well as other reasons. Other cross-cutting goals such as national security, economic development and decreasing dependence on foreign sources of energy will also be considered. Next the course will explore past attempts to develop and implement a national energy policy and to promote various technologies. Then we will consider various existing policies and subsidies that discourage efficiency and renewable energy. Next we will consider successful models, including Germany and California, and various proposals and suggestions to promote energy efficiency and green energy. Supervised Analytic Writing or Substantial paper credit available. Paper required. Enrollment will be capped at thirty. </t>
  </si>
  <si>
    <t xml:space="preserve">Reisman / Wolfrum </t>
  </si>
  <si>
    <t>Law 21651</t>
  </si>
  <si>
    <t xml:space="preserve">Law of the Sea </t>
  </si>
  <si>
    <t xml:space="preserve">This seminar will consider intensively some current problems concerning combating piracy; maritime boundary delimitation between adjacent or opposite states; procedures for determining the boundaries of outer continental shelves; rights and obligations of States not members of the U.N. Convention on the Law of the Sea; the Arctic and the controversy on whaling. </t>
  </si>
  <si>
    <t>Schwartz, Alan, Fraidin, Stephen</t>
  </si>
  <si>
    <t>General equilibrium and welfare economics. Allocation involving time. Public sector economics. Uncertainty and the economics of information. Introduction to social choice.</t>
  </si>
  <si>
    <t>History of the anthropological study of the environment organized around themes, including the nature-culture dichotomy, ecology and social organization, methodological debates, the politics of the environment, and knowing the environment. </t>
  </si>
  <si>
    <t xml:space="preserve">This course focuses on an international conference or symposium and the organization that sponsors the event. Students prepare individual and group papers suitable for presentation at the conference. Every attempt is made to have the students participate in the conference. </t>
  </si>
  <si>
    <t>Japan's economic development, with attention to the period of tremendous success in the 1960s and the recession of the 1990s. The nature of incentive mechanisms; institutions behind the history of modern and contemporary Japan.</t>
  </si>
  <si>
    <t>This course discusses the role of human genetics in epidemiology and public health, focusing on the epidemiology of Mendelian disorders and the genetic and environmental contributions to common, complex familial traits. Topics of discussion include (1) study designs for assessing the importance of genetic factors (population-based as well as family-based designs such as high-risk pedigrees and twin studies), (2) methods for determining mode of inheritance, and (3) the identification and mapping of genes through linkage analyses, candidate-gene approaches, genome-wide association studies, and admixture mapping. Applications of these approaches to clinical medicine are presented. Prerequisites: BIS 505a and BIS 505b (or equivalent) as well as course work in basic genetics. Offered every other year.</t>
  </si>
  <si>
    <t>Analysis of transport phenomena governing the fate of chemical and biological contaminants in environmental systems. Emphasis on quantifying contaminant transport rates and distributions in natural and engineered environments. Topics include distribution of chemicals between phases; diffusive and convective transport; interfacial mass transfer; contaminant transport in groundwater, lakes, and rivers; analysis of transport phenomena involving particulate and microbial contaminants.</t>
  </si>
  <si>
    <t xml:space="preserve">This course examines the way humans view and value the natural world. It considers values theory, varying environmental values, the biological and social bases of environmental values, and variations among cultural and demographic groups and by environmental feature. The course further examines the relation of environmental values to an ethic of conserving and protecting the natural environment, as well as methodologies for assessing environmental values, particularly non-economic approaches. Finally, the course connects an understanding of environmental values to policy and management issues involving the conservation of biological diversity, natural resource extraction, and development of the built environment. </t>
  </si>
  <si>
    <t>Introductory microeconomics with a special emphasis on quantitative methods and examples. Intended for students with limited or no experience with calculus.</t>
  </si>
  <si>
    <t>This course examines human exposure to environmental stressors as it applies to environmental epidemiology and risk assessment. Indirect and direct methods of assessing exposures are reviewed and case studies are presented.</t>
  </si>
  <si>
    <t>This course examines the interactions between the atmosphere and the earth’s surface. Students will gain a deep understanding of the surface energy and radiation balance, air motion in the atmospheric boundary layer, land surface parameterization for climate models, and field research methods.</t>
  </si>
  <si>
    <t>Ethical Business Management, Finance, General Management, Politics</t>
  </si>
  <si>
    <t xml:space="preserve">A theoretical and case-oriented approach to ethical decision making. Provides students with concepts, tools, and methods for constructing and justifying their own solutions to moral problems they may face as professionals. </t>
  </si>
  <si>
    <t>Special Investigation: Photovoltaic</t>
  </si>
  <si>
    <t xml:space="preserve">The purpose of this course is to summarize theoretical and practical ecological knowledge on how to restore or rehabilitate degraded landscapes. Degraded primary forests, secondary forests, and degraded forestlands usually exist in a complex mosaic that is constantly changing. Topics include: Concepts and principles of landscape restoration. Types of disturbances, effects at the ecosystem level. Forest succession and ecosystem rehabilitation. Soil formation and development. Strategies for rehabilitation of soil's physical and chemical properties. Reforestation of degraded lands: functions, ecological and socioeconomic considerations. The use of plantations as catalyzers or accelerators of forest succession in degraded landscapes. Wetlands: inland and coastal restoration. Techniques to control invasive species. Agroforestry systems as a tool for recovery and conservation of biodiversity in managed landscapes. Biological and economic enrichment of overlogged and secondary forests. Pasture degradation and restoration for productivity, sustainability, and biodiversity. Reclamation of mine spoils. Forest fires. Who does restoration? Community participation and challenges to implementation of restoration projects. In addition, seminar presentations by visitors and students and discussion sessions deal with particular aspects of landscape restoration.  Three hours lectures per week, three field trips. An optional field trip to Costa Rica to visit forest restoration projects in progress. </t>
  </si>
  <si>
    <t>African-african american studies</t>
  </si>
  <si>
    <t>B-E / S Area</t>
  </si>
  <si>
    <t xml:space="preserve">Value </t>
  </si>
  <si>
    <t>Corp.  Env Strat.</t>
  </si>
  <si>
    <t>Env.Finance</t>
  </si>
  <si>
    <t>Clim. Change</t>
  </si>
  <si>
    <t>Env.Just. &amp; Ethics</t>
  </si>
  <si>
    <t>Env. Policy &amp; Law</t>
  </si>
  <si>
    <t>Env. Econ.</t>
  </si>
  <si>
    <t xml:space="preserve"> EH&amp;S</t>
  </si>
  <si>
    <t>Green Desgn &amp; Build.</t>
  </si>
  <si>
    <t>CSR</t>
  </si>
  <si>
    <t>Ind. Ecol.</t>
  </si>
  <si>
    <t>NR Managmt</t>
  </si>
  <si>
    <t>Intern. Dev.</t>
  </si>
  <si>
    <t>Env. Chem.</t>
  </si>
  <si>
    <t>Ecosyst.</t>
  </si>
  <si>
    <t>Soc/Env Vent.</t>
  </si>
  <si>
    <t>All classes</t>
  </si>
  <si>
    <t>Classes ranked 3-5</t>
  </si>
  <si>
    <t>Relative Number of Courses by the Business &amp; Environment Area Across  Yale's Schools (Note: All selected courses are included)</t>
  </si>
  <si>
    <t>Tool-Based</t>
  </si>
  <si>
    <t>Advanced</t>
  </si>
  <si>
    <t>SUM</t>
  </si>
  <si>
    <t>SUM-Sc</t>
  </si>
  <si>
    <t>Afr.-afr./amer. studies</t>
  </si>
  <si>
    <t xml:space="preserve">Women's, gend.&amp;sex. </t>
  </si>
  <si>
    <t>SUM B+E+Sc</t>
  </si>
  <si>
    <t>SUM-B+E</t>
  </si>
  <si>
    <t xml:space="preserve">The course covers the different components of the Earth system and how they interact.  Minerals form rocks, and these comprise the principal Earth materials found in nature.  The chemistry of minerals offers clues to how breathable air and drinkable water move around the planet.  The carbon cycle will be discussed as one of several chemical cycles in the Earth system. We review the dynamics and chemistry of the atmosphere and oceans, both to understand climate change and the processes that affect shorelines and ecosystems.  </t>
  </si>
  <si>
    <t xml:space="preserve">This seminar will treat the science of selected advances in modern technology.  We address two questions:  what is the science base of the technological advance, and what lead up to the development.  The goal is to understand how we have gotten to where we are, and thereby provide insight into the future.  The format will be a seminar with case studies.  Topics will be developed by the participants with the instructor, and by guest lecturers. Possible topics include nanotechnology; quantum computation and cryptography; optical systems for communication and medical diagnostics; transistors; satellite imaging and Global Positioning systems; large-scale immunization; DNA made-to-order; and lighting – from tungsten to LED.  </t>
  </si>
  <si>
    <t xml:space="preserve">The issues emerging from this wider literature will provide the framework through which we analyze the concrete experiences of countries in South Asia during the past six decades. These issues include: examining the relationship between economic development and democracy, whether growth and equality are fundamentally in tension as policy goals, and whether the state or the market should play a primary role in developing economies. </t>
  </si>
  <si>
    <t>Spec Invest: Lithium Ion batteries</t>
  </si>
  <si>
    <t>Faculty-supervised individual projects with emphasis on research, laboratory, or theory. Students must define the scope of the proposed project with the faculty member who has agreed to act as supervisor, and submit a brief abstract to the director of graduate studies for approval.</t>
  </si>
  <si>
    <t>CENG-373</t>
  </si>
  <si>
    <t>Air Pollution Control</t>
  </si>
  <si>
    <t>Understanding of pollutants of global concern, federal regulations and standards, state permit &amp; compliance programs, and available as well as emerging control technologies for air pollution produced by power generation from fossil, nuclear, and other combustion sources. Topics covered include: ambient air quality, emission standards, fuel types, combustion fundamentals, coal pyrolysis, gasification, liquefaction, alternate combustion strategies, abatement technologies for gaseous pollutants (e.g., SOx and NOx), particulate emission control technologies, atmospheric dispersion modeling, and environmental risk assessment (fault tree and event tree analysis).</t>
  </si>
  <si>
    <t xml:space="preserve"> In this class, students work as a team on a specific project for an external organization. It provides students with an opportunity to apply their knowledge of business and environmental issues to real-life situations. It also provides a unique opportunity for students to manage a real-life consulting client engagement. Examples of projects include (1) developing a corporate sustainability scorecard for an organization?s suppliers, (2) researching the market opportunity for a new environmentally friendly product or service, (3) recommending operational improvements around energy usage, waste disposal, etc. The intent is to provide a ?capstone? experience, calling for the application of skills and tools learned from previous classes. Class times alternate between team meetings and lectures. Lectures address topics such as project management, environmental science and technology issues, business evaluation and financial valuation, and influencing environmental policy and include guest speakers from organizations tackling environmental issues. The clinic is open to both F&amp;ES and SOM students. Prerequisites for F&amp;ES students applying to the clinic are at least one of the following courses (or equivalent experience): F&amp;ES 50021a, Financial Analysis for Land Management; F&amp;ES 80019a, Entrepreneurial Business Planning; F&amp;ES 85030a, Private Investment and the Environment; F&amp;ES 96006a, Greening the Industrial Facility; F&amp;ES 96112a, Corporate Environmental Management and Strategy; or F&amp;ES 94110a, Public and Private Management of the Environment. SOM students need to have completed their first term at the School. </t>
  </si>
  <si>
    <t xml:space="preserve">This seminar assesses the proliferation of policy innovations aimed at promoting and encouraging ?corporate social responsibility? (CSR). We define CSR broadly to include the diverse range of self- and civil regulation, voluntary instruments, private authority, and non-state market driven (NSMD) initiatives that have emerged in the last fifteen years to engage firms directly, rather than working through traditional governmental process. Examples include firm-level initiatives, industry codes, product codes, third-party certification, ethical brands and labels, and ?clean? investment funds. The course reviews the growing literature on these phenomena that now exists within political science, management, economics, sociology, environmental studies, and law. Our aim is to reflect on the broad array of scholarship on emergence and institutionalization of CSR innovations questions. While the class is interested in assessing the strategic advantage that CSR might bring firms, our emphasis is on whether, and how, CSR initiatives might address enduring policy problems where traditional governmental approaches have been ineffective. The course is organized into four components. First, we review and assess the different types of CSR or ?private? policy instruments vying for firm-level support and distinguish them from traditional governmental mechanisms. Second, we discuss what is meant by ?effectiveness? and the different ways of measuring success. Third, we assess the assumptions behind different theoretical frameworks about what types of CSR innovations firms are more likely to support, if any, and why. Fourth, we turn to empirical evidence to assess existing theories of support, and what this means for understanding support, and effectiveness of CSR. This section draws on a variety of empirical methods including guest speakers from the world of CSR, analysis of large-N analyses on support, as well as detailed historical and comparative case studies. </t>
  </si>
  <si>
    <t>This research seminar pursues state-of-the-art investigation of inter-firm resource sharing in developing countries. Prerequisites are two completed industrial environmental management courses and/or special permission from the instructor</t>
  </si>
  <si>
    <t>The goals of the course are as follows: 
• To define and describe industrial ecology
• To demonstrate the relationships among production, consumption, sustainability, and industrial ecology
• To show how industrial ecology serves as a framework for the consideration of environmental and sustainability-related aspects of science and technology 
• To define and describe tools, applications, and implications of industrial ecology.</t>
  </si>
  <si>
    <t>Entrepreneurship is all about starting and running one?s own business. In order to focus thinking and to help assemble the needed people and financial resources, most entrepreneurs write a business plan for their new venture. One of the best ways to learn how to write a business plan is to learn by doing - a real plan for a real new venture. The work is hands-on, learn-by-doing in nature. Entrepreneurs should be flexible thinkers and highly motivated, with a large capacity for work. They must be persistent and able to thrive in an unstructured environment. Entrepreneurs should be confident self-starters with the ability to take the initiative, overcome obstacles, make things happen, and get things done. This course is for six teams of five students each, who write a business plan for their own real new startup company. Students enter their plans in the Y50K Business Plan Contest sponsored by the Yale Entrepreneurial Society. The scope of the work includes doing in-depth market, product, and competitor research; creating a strategy for a sustainable business; and writing and presenting a professional-quality plan (including a financial model and deal structure). Enrollment limited to thirty, by permission of the instructors.</t>
  </si>
  <si>
    <t>This course provides an introduction to the major concepts of environmental law.  The course will examine existing U.S. statutes, regulations, and treaties for managing waste, air and water pollution, toxic substances, public lands, and global environmental resources.  Alternative ways of addressing environmental problems, such as market-based incentives, information disclosure requirements, and voluntary programs will also be considered.  Other legal and policy concepts, such as federalism, separation of powers, environmental justice, judicial review, and statutory interpretation will be explored throughout the semester.</t>
  </si>
  <si>
    <t>This course focuses on understanding the policy and business logic for making the environment and sustainability a core element of corporate management and strategy. Students will be asked to analyze how and when environmental thinking can be translated into competitive advantage. The course combines lectures, case studies, and class discussions on management theory and tools, legal and regulatory frameworks shaping the business-environment interface, and the evolving requirements for business success (including how to deal with diverse stakeholders, manage in a world of transparency, and handle rising expectations related to corporate responsibility).</t>
  </si>
  <si>
    <t>This course provides students with in-depth training using economic analysis to address environmental policies and management. Students are exposed to tools that allow them to assess the efficiency of different environmental policies and management strategies. The course examines when markets manage the environment efficiently and when they fail. It covers a range of topics including preventing pollution, managing renewable resources, and consuming nonrenewable resources. It stresses the importance of science and values in making efficient choices. The course is a prerequisite for all advanced economics and management classes.</t>
  </si>
  <si>
    <t xml:space="preserve">This quantitative course demonstrates alternative methods used to value environmental services. The course covers valuing pollution, ecosystems, and other natural resources. The focus of the course is on determining the ?shadow price? of nonmarket resources that have no prices but yet are considered valuable by society. </t>
  </si>
  <si>
    <t>MGT 682</t>
  </si>
  <si>
    <t xml:space="preserve">This practicum provides opportunities for students to participate in the analysis and development of current issues/policies affecting natural resources in the United States and to learn about contemporary issues affecting natural resources and the environment. Students are organized into teams and assigned a number of current policy issues for analysis and discussion. The identified issues originate from discussions with staff of national environmental organizations, Congressional offices, and federal natural resource agencies that serve as ?clients? for the purposes of this practicum. Students are required to communicate directly with the organizations and individuals seeking policy analysis assistance, to conduct research and interdisciplinary analysis of the subject, to prepare a report and recommendations for the identified client, and to brief the client on the product of their analysis. Each team is responsible for a minimum of two policy analysis projects during the term. Student teams meet with the instructor once a week to provide updates on projects and to discuss current national and international issues and concerns affecting natural resources and the environment. </t>
  </si>
  <si>
    <t>This class explores the legal aspects – both the opportunities and the limits – of the efforts to engage private capital to help improve environmental performance. It starts with an analysis of the goals of private investors – as a way to target efforts to change their decisions. It then moves to a review of the legal frameworks within which investors operate (property and tax law), as well as the legal tools that investors use to order their activities (contract law) and that governments use to address market failures (barriers to entry, information gaps, externalized costs and benefits). It concludes by examining efforts to use combinations of these legal tools to expand private investment in environmentally superior goods, services and operations.</t>
  </si>
  <si>
    <t xml:space="preserve">As a practicum course, students will work on real projects with industry partners in order to achieve skills and training as an analyst in this field.  The course will begin with a review of the intellectual foundation of LCA, the computational structure of the method, and the international standards that govern its use.  Students will then receive several hands-on training modules for SimaPro, a popular LCA software package, and will work examples for model products and systems.  This initial training will prepare students to carry out their independent group projects over the remainder of the course.  </t>
  </si>
  <si>
    <t>Engineering, environmental, and financial perspectives applied to selected industries. Methods from operations management, industrial ecology, green chemistry and engineering, and accounting and finance are used to investigate sustainability approaches and the relationship between environmental and economic considerations. Tools include discounted cash-flow analysis, life-cycle assessment, and environmental cost accounting. Field trips to companies.</t>
  </si>
  <si>
    <t>This class will examine the process of development of international environmental policy and the functioning of global environmental governance by addressing the key theories and empirical studies in international relations. The goal of the course is to link broad theories with empirical work and shed light on the complexities of world politics shaping environmental efforts at the international level. The questions that will guide our work throughout the semester include: Why is global environmental governance necessary? How has it performed and why? What new approaches have emerged? What should the optimal institutional structure for global environmental governance look like?</t>
  </si>
  <si>
    <t xml:space="preserve">The Environmental Protection Clinic is designed to introduce students to several major environmental policy questions and a variety of methods of advocating for environmental improvement. Students work in small interdisciplinary teams (with students from the Law School and occasionally other parts of the Yale community), ten to twelve hours per week, for a single client organization, such as a local, national, or international environmental organization, a community group, or a local, state, or national governmental entity. Students work on a specific project or series of projects that involve environmental law and policy issues, and that may include litigation, drafting legislation, organizing community action, developing media campaigns, participating in stakeholder working groups, and developing policy proposals. </t>
  </si>
  <si>
    <t xml:space="preserve">This course provides a basic introduction to both problems and opportunities that face managers today and well into the future. Issues included in the course are some essentials of environmental science, including a discussion of the ecological and public health viewpoints and their contrasts with the economic one; environmental politics, with illustrations of special-interest influences, public perceptions, successful bargaining, negotiating, and conflict resolution; and several emerging environmental management approaches and movements, including ?green boards? and accounting, industrial ecology, and other techniques designed to improve sustainability. Several more comprehensive approaches such as those seeking a ?Triple Bottom Line,? ?The Natural Step,? or a life ?Beyond Gray Pinstripes? are also described. The long forecasting horizons associated with many environmental issues, measured in decades, centuries, and sometimes longer, require different methods and procedures than those usually encountered in management curricula. An introduction to scenarios, long-range planning, and modeling tools and techniques is provided. </t>
  </si>
  <si>
    <t>MGT 689</t>
  </si>
  <si>
    <t>ENVE 373</t>
  </si>
  <si>
    <t>ENVE 445</t>
  </si>
  <si>
    <t xml:space="preserve">Fundamentals and applications of probabilistic risk assessment and management in the context of environmental issues. Focus on developing and applying probabilistic and deterministic models to quantify potential risks of industrial processes and support risk-based decisions that account for societal, environmental, and economic constraints. Case studies emphasize the importance of green energy sources, professional ethics, and public health and safety.
</t>
  </si>
  <si>
    <t xml:space="preserve">The Earth system is made up of interdependent components - land, water, energy, biota, and non-renewable resources, all of which have physical limits. Societies transform these resources into useable goods, and production and consumption cycles connect people and places across space and time. This team-taught course provides an overview of these linkages and explores their implications for applying and measuring the concept of sustainability. It examines the constraints to sustainability imposed by those linkages (e.g., the energy required to supply water), opportunities for their transformation, and challenges of implementing sustainability across complex social and cultural systems. </t>
  </si>
  <si>
    <t>Continuation of ECON 135a with a focus on econometric theory and practice: problems that arise from the specification, estimation, and interpretation of models of economic behavior. Topics include classical regression and simultaneous equations models; panel data; and limited dependent variables.</t>
  </si>
  <si>
    <t xml:space="preserve">An introduction to the analysis of multivariate data. Topics include multivariate analysis of variance (MANOVA), principal components analysis, cluster analysis (hierarchical clustering, k-means), canonical correlation, multidimensional scaling ordination methods, discriminate analysis and structural equations modeling. Emphasis is placed on practical application of multivariate techniques to a variety of natural and social examples in the environmental sciences. Students are required to select a dataset early in the term for use throughout the term. There are regular assignments and a final project. Extensive use of computers is required. Prerequisite: a prior course in introductory statistics. Three hours lecture/discussion. </t>
  </si>
  <si>
    <t>This course taught from a practitioner?s perspective helps the student to understand how the advocacy community operates to advance policymaking in the environmental arena by exposing students to well structured case examples from the environmental policymaking world of the past decade.</t>
  </si>
  <si>
    <t>This course summarizes ecological knowledge on tropical forest ecosystems and shows how this scientific basis can be used for forest management, conservation, and rehabilitation. Topics include importance of tropical forests: productive and environmental services; ecological characteristics of tropical forests; soils of the tropics: types, fertility, physical properties, and management; nutrient cycling; natural forest structure and composition; the forest microenvironment: light, temperature, and water; high-elevation forests and savannas; tree growth and reproductive ecology; plant species diversity; plant-animal interactions; effects of disturbance; forest succession and regeneration; management of primary and secondary forests; non-timber forest products; plantation forestry: productivity and environmental services; community forestry; ecological and social aspects of agroforestry; rehabilitation of degraded tropical forest ecosystems. In addition, discussion sessions and seminar presentations by students deal with particular aspects of tropical forest ecology/conservation/management of interest to students. Half-day field trips illustrate specific aspects of tropical forest ecology.</t>
  </si>
  <si>
    <t xml:space="preserve">This course aims to provide experiential learning of environmental and sustainable development issues at the international level. Students are required to participate in weekly seminars at F&amp;ES and internships at U.N. Missions in New York City (minimum one day per week). Weekly discussions focus on the decision-making process in the relevant international bodies regarding climate change, forestry, marine environment, fisheries, and renewable resources. Students are expected to conduct research and present findings on these and related topics. Work of internships at the U.N. Missions of Small Island Developing States and Least Developed Countries in New York involves research, drafting papers, attending meetings, and/or developing specific projects on selected topics, and starts in mid-September. Students are also required to prepare a substantive research paper or project document on topics of their choice at the end of the term. </t>
  </si>
  <si>
    <t>This seminar reviews quantitative methods for forecasting and assessing energy futures, including trend-based approaches, econometric projections, end-use methods, computable general equilibrium models, scenario analysis, and combined modeling approaches. As a case study, the seminar assesses the controversy surrounding the economics of greenhouse gas emissions reductions. Will emissions reductions hurt the economy as some have claimed, or might the policy actions to achieve those reductions actually save money in some instances? The seminar reviews the historical success of previous energy and carbon emissions forecasting efforts, critiques top-down and bottom-up modeling methods, and explores the implications of market imperfections and regulatory distortions for this policy issue. It also summarizes more general lessons for using analytic techniques to explore the future in the face of the rapid technological changes that pervade our age.</t>
  </si>
  <si>
    <t xml:space="preserve">This lecture course offers a systems analysis approach to describe and explain the basics of energy systems, including all forms of energy (fossil and renewable), all sectors/activities of energy production/conversion, and all end-uses, irrespective of the form of market transaction (commercial or noncommercial) or form of technology (traditional as well as novel advanced concepts) deployed. Students gain a comprehensive theoretical and empirical knowledge base from which to analyze energy-environmental issues as well as to participate effectively in policy debates. Special attention is given to introducing students to formal methods used to analyze energy systems or individual energy projects and also to discuss traditionally less-researched elements of energy systems (energy use in developing countries; energy densities and urban energy use; income, gender, and lifestyle differences in energy end-use patterns) in addition to currently dominant energy issues such as climate change. Active student participation is required, including presentations in class and completion of problem sets. Invited external speakers complement topics covered in class. </t>
  </si>
  <si>
    <t xml:space="preserve">This course provides a framework and techniques to address financial decisions in forest, rangeland, and renewable resource management. Major topics include timber markets, basic investment analysis calculations (IRR, NPV, etc.), risk and selection of interest rates, inflation, taxation, forest finance, and resource valuation and appraisal. Techniques applicable to the individual tree, the stand, and the total property are presented. The course is oriented to applications for land management and not to theory. Includes an overview of the developing fields of carbon offsets, green payments, and conservation land acquisitions. A substantial applied course project is required. </t>
  </si>
  <si>
    <t xml:space="preserve">Lecture and lab. The coupled human-environment system is made up of many feedbacks that are often nonlinear and exhibit time-delayed relationships. The social, economic, technological, and environmental changes often pose enormous challenges that affect the quality of our environment, and ultimately human well-being. Addressing these challenges requires perspectives and tools capable of dealing with the dynamic complexity of these integrated human and biophysical systems. In this course, students learn to develop system dynamics models of the environment. Topics include modeling and simulating tropical deforestation, fisheries, environmental health, natural resource management, carbon markets, and development of new energy technologies. Students gain competence using a simulation modeling software to identify key processes and relationships in systems and represent them in models. </t>
  </si>
  <si>
    <t xml:space="preserve">This class examines the relationships between environment and development from the perspective of economics. We use economic tools and concepts to answer a set of questions about these relationships. In what ways can economic growth lead to improvements in environmental quality? In what ways is growth likely to generate environmental damage? How do policies alter the balance between human prosperity and environmental health? Can they lead to simultaneous improvements in both? To what extent are bad environmental outcomes the result of economic growth itself, and to what extent do they stem from market failures or institutional failures? </t>
  </si>
  <si>
    <t xml:space="preserve">The modern economy consumes many ecosystem services without paying for their production: forested areas protect water resources; plants sequester carbon; intact ecosystems protect biodiversity and its associated services (potential pharmaceuticals, existence value, etc.). In response, a growing number of experiments are under way to make consumers of ecosystem services pay the producers of the services, thus creating market incentives to sustain intact, biologically diverse areas. However, these experiments are in their infancy and raise a host of ethical, scientific, commercial, and policy questions. The purposes of this seminar are (1) to understand these opportunities and their limits, by examining current scientific, commercial, and policy knowledge relevant to building markets for ecosystem services and (2) to apply the lessons learned to actual properties or questions by analyzing the scientific, business, and policy aspects of these issues. </t>
  </si>
  <si>
    <t xml:space="preserve">This is a professional seminar on private land conservation strategies and techniques, with particular emphasis on the legal, financial, and management tools used in the United States. The seminar is built around presentations by guest speakers from land conservation organizations. Speakers are assigned topics across the land conservation spectrum, from identification of target sites, through the acquisition process, to ongoing stewardship of the land after the deal is done. The tools used to protect land are discussed, including the basics of real estate law, conservation finance, and project/organization management. Students are required to undertake a clinical project with a local land conservation organization. </t>
  </si>
  <si>
    <t xml:space="preserve">This course demonstrates the ways in which financial and political feasibility determine the design of buildings and the character of the built environment. Students propose projects and then adjust them to the conflicting interests of the financial institutions, real estate developers, civic organizations, community groups, public officials, and the widest variety of participants in the planning process. Subjects covered include housing, commercial development, zoning, historic preservation, parks and public open space, suburban subdivisions, planned communities, and comprehensive plans. </t>
  </si>
  <si>
    <t>ENVE 360, ENAS 360</t>
  </si>
  <si>
    <t>Study of green engineering, focusing on key approaches to advancing sustainability through engineering design. Topics include current design, manufacturing, and disposal processes; toxicity and benign alternatives; policy implications; pollution prevention and source reduction; separations and disassembly; material and energy efficiencies and flows; systems analysis; biomimicry; and life cycle design, management, and analysis.</t>
  </si>
  <si>
    <t xml:space="preserve">ECON 544 </t>
  </si>
  <si>
    <t xml:space="preserve">INTS 332/575, INRL 575 </t>
  </si>
  <si>
    <t xml:space="preserve">Examination of innovation and technology dynamics, with emphasis on basic concepts in innovation analysis. Focus on the agricultural sector in South Asia. Historical perspectives on the innovation process, its institutional linkages, and its impact on the economy. Policy options for addressing innovation-related issues; regulatory and other institutional frameworks that affect policy choices. </t>
  </si>
  <si>
    <t xml:space="preserve">This course is designed to build your understanding, skill, and confidence so that you achieve better outcomes for all your negotiations—large and small.  In this course you will learn how to increase the quality of the deals you negotiate so as to maximize the potential value of any deal, and also how to claim and as much of that value for yourself as you can.  You will learn to see opportunities to negotiate where you had never seen them before.  </t>
  </si>
  <si>
    <t>An examination of water resource issues at scales ranging from local to global. The course looks at multiple dimensions of the water problem, including both human and ecosystem impacts; both quantity and quality issues; and both science and management. The course aims to give students a diversity of tools to use in managing water resource problems. Theory is illustrated through a variety of case studies. Topics covered include global water resources and their spatial and temporal variability; water scarcity; residential, agricultural, and industrial water use; impacts of climate change; water and human health; storm water management; dams; human impacts on aquatic ecosystems; water quality; water rights and conflict; the watershed framework; and restoration.</t>
  </si>
  <si>
    <t xml:space="preserve">ENVE 371 </t>
  </si>
  <si>
    <t xml:space="preserve">This course helps students to sharpen their language skills in professional communication. Course topics include accent reduction, language accuracy, writing styles, presentation skills, meeting participation, barriers to communication, and types of persuasion in multi-cultural contexts. We first address aspects of intelligibility, exploring how improved word choices and speech clarity affect audience understanding. We then look at the problem of comprehension and discuss strategies for increasing the student?s ability to listen accurately and read efficiently. We also examine common difficulties and cultural differences in the arrangement of information, use of evidence, and academic argumentation. Several sessions are devoted to specific skills, such as negotiating agreements and writing research reports. The course meets for lecture (two hours), and students attend a weekly small group practicum (one hour). The practicum allows students to reinforce new communicative behaviors in oral and written assignments, while receiving feedback from peers and the instructor. As students polish their skills, they improve their ability to express ideas and to interact in both academic and professional contexts. </t>
  </si>
  <si>
    <t>ENAS 391</t>
  </si>
  <si>
    <t>An introduction to the ways in which the structure and behavior of evolving biological systems can be described, modeled, and analyzed. Examination of model systems as well as modeling of laboratory and field phenomena. Emphasis on systems of biological interest.</t>
  </si>
  <si>
    <t xml:space="preserve">The processes at the Earth's surface including the atmosphere, oceans, ice caps, and the upper layers of crust are the subjects of the course with the insights gained from radioactive, radiogenic, and light stable isotopes. </t>
  </si>
  <si>
    <t xml:space="preserve">The major objective of this course is to explore the nature and use of raster-oriented geographic information systems (GIS) for the analysis and synthesis of spatial patterns and processes. </t>
  </si>
  <si>
    <t xml:space="preserve">This course offers a broad and practical introduction to the nature and use of drawing-based (vector) geographic information systems (GIS) for the preparation, interpretation, and presentation of digital cartographic data. </t>
  </si>
  <si>
    <t xml:space="preserve">A practical introduction to satellite image analysis of Earth?s surface. Topics include the spectrum of electromagnetic radiation, satellite-borne radiometers, data transmission and storage, computer image analysis, the merging of satellite imagery with GIS and applications to weather and climate, oceanography, surficial geology, ecology and epidemiology, forestry, agriculture, archaeology, and watershed management.
</t>
  </si>
  <si>
    <t>This course will explore the successes and limitations of microfinance as an economic development strategy. The focus will be on the role of microfinance in international poverty alleviation efforts. We will explore the evolution of the field, from both theoretical and practical perspectives, including current debates about the pros and cons of the increasing commercialization of the field. While the roles played by various constituencies (e.g., clients, policy makers, donors, investors) will be examined, emphasis will be on the practitioners’ perspective and the challenges of managing a “double bottom line” institution.</t>
  </si>
  <si>
    <t xml:space="preserve">Global Social Enterprise (GSE) is a student-driven club and 4-credit course. It brings together graduate students interested in social enterprise with opportunities to provide pro bono consulting services to organizations in developing countries.  Founded in 2004, GSE allows students to put their classroom knowledge to practical use and gain hands-on experience in the areas of international development and social enterprise. </t>
  </si>
  <si>
    <t xml:space="preserve">This course explores the regulation by local governments of land uses in urban and watershed areas and the effect of development on the natural environment. The course helps students understand, in a practical way, how the environment can be protected through effective regulation at the local level. It introduces students to federal, state, and regional laws and programs that affect watershed protection and to the laws that delegate to local governments primary responsibility for decision making in the land use field. Theories of federalism, regionalism, states? rights, and localism are studied. The history of the delegation of planning and land use authority to local governments is traced, leading to an examination of local land use practices particularly as they relate to controlling development in and around watershed areas. Course participants engage in empirical research working to identify, catalogue, and evaluate innovative local laws that successfully protect environmental functions and natural resources, and the manner in which towns, particularly on the coast, incorporate climate change into their planning and regulations. Nearby watersheds are used as a context for the students? understanding of the strengths and weaknesses of local planning and regulation. Attention is paid, in detail, to how the development of the land adversely affects natural resources and how these impacts can be mitigated through local environmental regulations. The course includes examination of the state and local response to climate change, sea level rise, growth management, alternatives to Euclidean zoning, low-impact development, brownfields, and other innovative land use strategies. </t>
  </si>
  <si>
    <t xml:space="preserve">This is an advanced course on the use of satellite remote sensing to monitor terrestrial land-use and land-cover change. The course emphasizes digital image processing techniques to detect landscape dynamics using data from Landsat and Terra satellites. Topics include pre-processing data for change detection, accuracy assessment of change maps, and methodologies to detect changes such as urban expansion, deforestation, seasonal variations in vegetation, agricultural expansion, vegetation health, and wildfires. </t>
  </si>
  <si>
    <t>This course addresses the role of consumption in achieving sustainability, considering challenges such as the scale of consumption in the global north, the adoption of high-impact life styles in the global south, and the role of particular high-impact goods and services. The subtext of much of the discussion to date has been about how difficult it is to affect the trajectory and composition of consumption. However, a look at the historical path of consumer cultures reveals that they are dynamic, multifaceted, and complex entities, with numerous possibilities for transformation. The course begins with the socio-cultural approach to consumer culture, and particularly the work of Pierre Bourdieu. We also consider the consumption and identity, the global expansion of consumer culture, and the literature on habit and routine. In the second section of the course we look at the ecologically significant cases of food, energy, and life style, and consider developments such as the slow food movement, personal carbon trading allowances, downshifting, and cultural conflicts about energy use and vehicles (hybrids vs. Hummers). The final section is on the politics of sustainable consumption, and the movement for ethical, or ecologically responsible, consumption. The course develops basic fluency in the rapidly growing field of sustainable consumption, with an emphasis on the major paradigms.</t>
  </si>
  <si>
    <t xml:space="preserve">This seminar explores the qualities, characteristics, and behaviors of leaders in the fields of natural resources, science, and management. Through lectures, guest speakers, and individual and team projects, students analyze the attributes of leadership in individuals and organizations. They examine leaders and organizations and develop skills and techniques for leading and for assessing various organizations? leadership strengths and weaknesses. The class travels to Washington, D.C. and meets with leaders in the policy, environmental, industry, and information segments. Through this experience, students have the opportunity to assess their own leadership capabilities and identify means to improve them. </t>
  </si>
  <si>
    <t xml:space="preserve">The world?s climate, soils, water, plant and animal species, mineral and organic resources, and people are neither equally nor randomly distributed throughout the earth; each has changed and will continue to change. Both the distribution and change can be understood (at least to some extent) based on ?uniform processes? that occur repeatedly throughout the world. Policies, investments, and on-the-ground management will be effective if the experts understand the global situation. And students can better understand behaviors of one aspect of the environment at one location if they have a global overview of many aspects and their behaviors and interactions. The course is intended to give students (1) an understanding of the present global distribution and changes with time of the resources, people, and other factors including climates, geomorphic areas, water, species, human communities and populations, agriculture, forest products, inorganic commodities, and energy, (2) an understanding of how to access and utilize information on global resources, (3) an understanding of important issues and management approaches, including species protection and extinctions, resource depletion and sustainability, catastrophic events, soil and water maintenance and degradation, atmospheric change and carbon sequestration, populations and life styles, resource substitution and economics, consumption, recycling, and substitution patterns and potential changes (through lectures, readings, analyses, and case studies). </t>
  </si>
  <si>
    <t>Resource sustainability requires knowing how to ?get things done? with resources, whether one?s goal is policy, investment, or on-the-ground management. The challenge of resource management is knowing how to provide the many commodity and noncommodity objectives people demand from the terrestrial ecosystems across time and space. This management can be cost-effective and applicable to many places with the proper integration of management and social scientific knowledge. Students master the scientific basis, methods (and reasons for the methods), and techniques for management of various resources. The course covers managing an ecosystem with concerns about water, agriculture, grazing, wildlife, timber, recreation, people, and hazards of wind, fire, avalanche, and flood. The class examines the basic issues and describes tools and techniques for analyzing and managing. Case studies of specific areas are used for many of the analyses. The course covers systems concepts; decision analysis; area, volume, and other regulatory systems; silvicultural pathways; growth models; wind and fire hazard analyses; habitat and biodiversity analyses; carbon sequestration; payment for ecosystem services; cash flow; operations scheduling; portfolio management; monitoring; and continuous quality improvement and adaptive management. Class includes lectures and exercises in which students integrate these subjects.</t>
  </si>
  <si>
    <t>Study of the preparation of water for domestic and other uses and treatment of wastewater for recycling or discharge to the environment. Topics include processes for removal of organics and inorganics, regulation of dissolved oxygen, and techniques such as ion exchange, electrodialysis, reverse osmosis, activated carbon adsorption, and biological methods.</t>
  </si>
  <si>
    <t>This course examines environmental law in the various legal systems of the world - from the common and civil law traditions to socialist laws, customary law, and Islamic law. In particular, environmental law and case studies from a number of countries are examined, including Australia, Canada, China, Europe, New Zealand, the United States, Singapore, and the states of Southeast Asia. The objective is to understand the scope and evolution of national environmental law through the patterns of legislative, administrative, and judicial decision making in the various legal regimes. The systems of central/unitary governments are contrasted with those of federal systems. As corporations engage in the same manufacturing activities around the world, it is important that corporate managers and their legal advisers understand how these activities are regulated in the different legal systems. Additionally, as earth?s natural systems are integrated throughout the biosphere, the effectiveness of one nation?s environmental laws is complemented or undermined by the efficacy of another nation?s comparable laws. Students are examined by a written paper that is a comparative study of some aspect of environmental law, involving at least two jurisdictions.</t>
  </si>
  <si>
    <t xml:space="preserve">The course concentrates on developing a clear understanding of what a profession is, what professional ethics codes mean, and how they may be applied in making ethical judgments about situations that arise in environmental and forest management and administration, as well as in scientific research. On completing this course, students will be familiar with the major problem areas of professional ethics and with a range of literature in the field. They will be able to understand and apply ethics codes of whatever professional societies they may enter when they graduate. </t>
  </si>
  <si>
    <t>This course in applied statistics assists scientific researchers in the analysis and interpretation of observational and field data. After considering the notion of a random variable, a few frequently encountered discrete and continuous distributions are examined in greater detail, with specific emphasis on the Gaussian distribution and the role of the central limit theorem. The statistical properties of linear transformations and linear combinations of random data are established. The foregoing serves as a foundation for the major topics of the course, which explore the estimation and fitting of linear and nonlinear regression models to observed data. Three hours lecture. Statistical computing with R, weekly problem exercises.</t>
  </si>
  <si>
    <t xml:space="preserve">Within the United States and across the globe, agriculture is the major source of human impacts on land and water, as well as a significant contributor to greenhouse gas emissions. This class uses economic tools and concepts to examine the connections between agriculture and the environment. The class discusses the relationships between agriculture and forest clearing, land degradation, soil erosion, water pollution, biodiversity loss, and climate change. It also considers the relationships between agricultural productivity growth and environmental quality, and it touches on the impacts of agricultural policies and international trade. The course assumes that students have previously taken a course on economics at F&amp;ES and have a familiarity with basic economic tools and concepts. </t>
  </si>
  <si>
    <t xml:space="preserve">This course lays the groundwork for students from the School of Architecture and F&amp;ES to collaboratively explore and define ecologically based urban design. The course consists of three phases: an overview, a research and analysis phase, and a production phase. During phase one, students review existing urban ecological data and current methods for analyzing urban ecosystems on multiple scales. Students also study precedents for ecological urbanism such as manufactured nature, green infrastructure, and landscape urbanism as well as broader ecological concepts applied to coupled human-natural systems. During phase two, interdisciplinary teams select urbanization processes as case studies and work together focusing on history, invention, ad hoc growth, planning, and design. Students identify existing urban data on their case studies and seek innovative strategies to generate further data. Teams work to define their case studies in terms of urban ecology. During the final segment, students build on their site analysis exercises to generate urban design proposals. Proposals are ecologically driven and explore options for the kinds of urban forms or aesthetics that result from integrating ecological data and analysis with city planning and design. </t>
  </si>
  <si>
    <t xml:space="preserve">This is an introductory, graduate core course on the scope of social scientific contributions to environmental and natural resource issues. It is designed to be the first course for students who will be specializing in social science approaches as well as the last/only course for students who take only one course in this area. The approach taken in the course is inductive, problem-oriented, and case study-based. Section I presents an overview of the field and course. Section II deals with the way that environmental problems are initially framed. Case studies focus on placing problems in their wider political context, new approaches to uncertainty and failure, and the importance of how the analytical boundaries to resource systems are drawn. Section III focuses on questions of method, including the dynamics of working within development projects, and the art of rapid appraisal and short-term consultancies. Section IV is concerned with local peoples and the environment, with case studies addressing the myth of slash-and-burn cultivation, livestock and development discourse, and indigenous knowledge and its transformation. </t>
  </si>
  <si>
    <t>The implementation of development and conservation projects involving people requires an understanding of households, communities, and gender; unfortunately, policy is laden with mistaken assumptions about these social units. This course examines both the anthropology of households, communities, and gender, and common assumptions about them in development and conservation. Economic and political aspects of relations within these units are intimately linked, and are examined together. The course explores important global variations in the structure of households, communities, and gender. The structure of households, communities, and gender in any particular locality influences the economic and political relation with its region, nation, and the world system-with essential implications for development and conservation. The course aims to study local social units in order to understand their importance for regional, national, and global development and conservation. The goal is to encourage future policy makers and implementers to examine their assumptions about society, and to think more critically about the implications of these social units (and their variations around the world) for development and conservation.</t>
  </si>
  <si>
    <t>An advanced seminar on the social science theory of sustainable development and conservation, intended for students interested in research design and policy planning in this field. It traces the conceptual history of the ideas of progress and development from the colonial period through the present and examines how these ideas are used by the parties who fund, design, and manage development projects. Topics discussed vary from year to year in response to current debates and events, but in the past have included the idea of poverty, the politics of mapping, microcredit and the entrepreneurial subject, image-making in development and conservation, changing ideas of nature, and governmentality in development and conservation. Students are expected to use the course to develop, and present in class, their own research and writing.</t>
  </si>
  <si>
    <t xml:space="preserve">Students will be required to write a synthesis paper on a specific topic, using a review of the scientific literature as a basis.  Students will be expected to critically evaluate the literature, particularly with respect to implications for management or policy. </t>
  </si>
  <si>
    <t>Most population growth in the twenty-first century will occur in the urban areas of the developing world, which are expected to increase by 2 billion inhabitants by 2030. Urban living poses environmental hazards, which affect the current population and especially the poor, through immediate, local impacts on health and safety. It also causes environmental degradation, with longer-term, wider-area, and intergenerational consequences. Variations in the incidence and relative severity of a range of environmental problems across cities at different levels of development suggest differences in priorities for action. The massive new investment in the capital stock of cities required for the doubling of urban population by 2030 will be critical to environmental outcomes. Using a number of city case studies, the course highlights local solutions, as well as new technologies for monitoring, planning, and managing urban growth.</t>
  </si>
  <si>
    <t>The focus of this course is on the environmental impacts of alternative transportation and urban land use policies, taught from a policy maker?s perspective. It begins with a historical overview, examining the profound changes in the structure of cities following the advent of the automobile. The course then focuses on present and future environmental impacts?such as air pollution, greenhouse gas emissions, and urban sprawl?resulting from the exponential growth in motor vehicles, particularly in developing country cities, and examines alternative scenarios for mitigating these impacts. Additional topics include the future of public transit in the United States and the differing approaches to transportation and land use planning in various European cities; in-depth case studies of the success stories in urban transit in the developing world, particularly in regard to bus rapid transit systems (BRTs) (e.g., Bogotá and Curitiba); and the range of options for transporting the two billion new urban inhabitants to be added to the world?s cities in the next quarter-century. The course also examines policies to create compact, regional cities through the integration of transportation and land use planning, and focuses on next and future steps, including congestion pricing, and development of low-carbon fuel infrastructure and advanced vehicle technologies.</t>
  </si>
  <si>
    <t>Study of technological advances that have global health applications. Ways in which biotechnology has enhanced quality of life in the developing world. The challenges of implementing relevant technologies in resource-limited environments, including technical, practical, social, and ethical aspects.</t>
  </si>
  <si>
    <t xml:space="preserve">A descriptive overview of baseline biogeochemistry and the nature and behavior of pollutants in the environment. The course is designed to aid future environmental professionals who may find it necessary to make decisions based on chemical data. It is geared to the nonspecialist who needs to establish familiarity with various classes of pollutants and the chemical, biological, and physical processes that control their transport and fate. Topics include the periodic characteristics of the elements, fundamental classes of chemical reactions in the environment, critical analysis of chemical data, sampling techniques, analytical methods, natural biogeochemical controls on environmental chemistry, as well as detailed examination of contaminants of special interest like acid precipitation, nutrients, and sewage. </t>
  </si>
  <si>
    <t>A seminar that comprises the documentation of land use history and zoning, mapping and interpretation, and the collection and analysis of socioeconomic, biological, and physical information for the construction of management plans. Plans are constructed for lands managed by the Nature Conservancy, Massachusetts Trustees of Reservations, private industrial and nonindustrial landowners, town land trusts, city parks and woodlands of New Haven, New York, and Boston, and the Appalachian Mountain Club.</t>
  </si>
  <si>
    <t xml:space="preserve">The scientific principles and techniques of controlling, protecting, and restoring the regeneration, composition, and growth of natural forest vegetation and its plantation analogs worldwide. Analysis of biological and socioeconomic problems affecting specific forest stands and design of silvicultural systems to solve these problems. Applications are discussed for management of wildlife habitat, bioenergy and carbon sequestration, water resources, urban environments, timber and nontimber products, and landscape design. </t>
  </si>
  <si>
    <t xml:space="preserve">Seven- to twelve-day field trips to study the silviculture and forest management of particular forest regions. In previous years, classes have visited Slovenia, Germany, Austria, the United Kingdom, British Columbia, and, in the United States, the southern Coastal Plain and Piedmont, and the Allegheny, Appalachian, Adirondack, and Green mountains. </t>
  </si>
  <si>
    <t>Financial Reporting looks at how GAAP reports several basic transactions and events.  The methodology will always be the same: understand the underlying economics of the transaction, and then understand GAAP.  The main objective of the class is to begin to develop the ability to infer the economic events and transactions that underlie real annual reports.  There will be many problems which require you to look at the accounting rules, but which will also demonstrate how the statements relate to one another.</t>
  </si>
  <si>
    <t>This course, conducted in a workshop format, focuses on financial aspects of nonprofit organizations, beginning with their financial reports. The objectives of this course include helping students (1) become more intelligent users of the financial statements of nonprofit organizations such as private colleges, hospitals, charities, and cultural institutions and (2) better understand the factors that affect the financial condition and financial performance of such entities. The course focuses on (1) the financial reporting concepts and standards that are applicable to nonprofit organizations; (2) ratio and other summary indicators used by analysts to evaluate the financial condition and financial performance of nonprofit organizations; and (3) the analysis and interpretation of financial statements of selected nonprofit organizations. A short amount of time will be spent on nonprofit budgeting and performance evaluation and variance analysis in nonprofits.</t>
  </si>
  <si>
    <t>An overview of pollution problems posed by organic chemicals, including petroleum, pesticides, PCBs, dioxins, phthalates, and chlorinated solvents. Processes governing the environmental fate of organic pollutants, e.g., evaporation, sorption, bioconcentration, and biodegradation. Technologies for prevention and remediation of organic pollution.</t>
  </si>
  <si>
    <t>Environmental epidemiology can provide insight about the association between environmental exposures of a population and adverse health outcomes. The potentials and the limitations of environmental epidemiology are explored as they are inherent in the design of suitable studies and as they manifest themselves in actual studies that have been conducted. The analysis and interpretation of such studies, as well as the consequences for the design and conduct of proposed studies, are examined.</t>
  </si>
  <si>
    <t>The first half of each three-hour ethnobotany class will be devoted to a Powerpoint lecture on key topics, as an introduction to class discussion. Students are expected to actively participate in class and prepare for class by reading the publications listed under each week. During the second half of class, there will be a group discussion of these readings, which will focus on understanding the research methodology and a critical reflection of the results of the publications. As part of the course, students will develop a project to be presented in class during week fifteen. Examples of projects can include a research proposal about an ethnobotanical subject, a plant monograph that provides a thorough ethnobotanical review of a species, a herbarium of urban weedy plant species of medicinal or nutritional value, or any other ethnobotanically relevant project of choice.</t>
  </si>
  <si>
    <t>Ashton, Vandebroek</t>
  </si>
  <si>
    <t>Pogge, Labude</t>
  </si>
  <si>
    <t xml:space="preserve">PHIL180 </t>
  </si>
  <si>
    <t xml:space="preserve">Students in this course should plan to produce one full-length article, 3,000 to 4,000 words, that could appear in a wide-circulation magazine such as Audubon, Atlantic, Sierra, or Smithsonian. One-credit students begin a potentially publishable article; three-credit students complete a publishable article. Admission is by application, which must include a proposed writing topic, at the beginning of the term. </t>
  </si>
  <si>
    <t>This course is designed to apply the principles of systematics to historic and ecological biogeography and in turn apply these to the conservation of biodiversity. In doing so, consideration is given to the circumscription of terrestrial biomes and speciation and extinction models. Reconstruction of past geologic and climatic events as well as the impact of human activities is related to the current distribution of the biota. The use of this information as related to CITES legislation and the development of IUCN Action Plans is explored through case studies.</t>
  </si>
  <si>
    <t>Latham</t>
  </si>
  <si>
    <t>Berry, Haile</t>
  </si>
  <si>
    <t>EP&amp;E 380</t>
  </si>
  <si>
    <t>Shin</t>
  </si>
  <si>
    <t xml:space="preserve">The goal of “Listening to the Customer” is to help you become proficient in obtaining research information that will help make strategic marketing decisions. The course will introduce you to qualitative and quantitative research methodologies that are critical in obtaining the relevant information. The course requires you to plan and
execute a research project, combining the data collection skills we learn in this course, with the data analysis skills developed in Strategic Market Measurement. </t>
  </si>
  <si>
    <t>SOM Core Course building foundations of miscroeconomics</t>
  </si>
  <si>
    <t>This course introduces students to concepts related to gathering and applying scientific information for problem solving in biodiversity conservation. The course explores cnceptually the kinds of ecological knowledge needed for conserving the Earth?s biota. Students also learn how to formalize that knowledge for effective decision making. Relevance to real-world problem solving is the central focus of the course, and students are exposed to numerous examples of applications throughout the term. Students also gain facility using the concepts and tools through written assignments and exams. The aim of the course is to provide students with a complement of concepts and tools that can be applied generally to environmental problem solving in biodiversity conservation.</t>
  </si>
  <si>
    <t>This course explores abiotic and biotic controls on the cycling of water and chemicals within watershed systems. Students gain an understanding of the coupled roles of climate, hydrology, and biogeochemistry in regulating the fate of nutrients, carbon, and pollutants in watersheds. The class also features six guest lectures on issues at the forefront of watershed science. Upon successful completion of the course, students have acquired scientific knowledge that is relevant to interpreting watershed-based observations and to informing watershed-management decisions.</t>
  </si>
  <si>
    <t xml:space="preserve">An introduction to probability and statistics with emphasis on applications in forestry and environmental sciences. Includes methods of graphical analysis, introduction of common probability distributions, and hypothesis testing. The final third of the course introduces the topics of regression and analysis of variance that are covered more thoroughly in F&amp;ES 77108b. There are weekly problem sets using MINITAB software, as well as a final project. </t>
  </si>
  <si>
    <t>SOM Core Course exploring linkages between society, business and governments.</t>
  </si>
  <si>
    <t>Legal Aspects of Entrepreneurship</t>
  </si>
  <si>
    <t>IL</t>
  </si>
  <si>
    <t>MGT 896</t>
  </si>
  <si>
    <t xml:space="preserve">Bagley </t>
  </si>
  <si>
    <t xml:space="preserve">This is a course for entrepreneurs and other business managers. Legal matters are too important to delegate to persons who may not understand the broader business objectives.  Managers need to understand the fundamentals of the law just as they need to understand the fundamentals of accounting, finance, and human behavior.   </t>
  </si>
  <si>
    <t xml:space="preserve">Fleury </t>
  </si>
  <si>
    <t>ENAS 060</t>
  </si>
  <si>
    <t xml:space="preserve">APHY060/PHYS060 </t>
  </si>
  <si>
    <t>Engel</t>
  </si>
  <si>
    <t>In this seminar, students explore the tools of historical research and analysis and develop their writing skills. Students' work centers on practical applications of historical research, data analysis, and narrative so that students gain new power in problem analysis and narrative. After focusing on landscape, forest, and farm history from the earliest records, the seminar folds in the history of ecosystem analysis, forest science, and biologists' and ecologists' influence on political and economic theory. The dynamics of historical change in natural systems in response to management and ecological constraints tells more than the story of how the natural world emerges; it deepens our understanding of political and economic history and of human culture. The ecological orientation afforded by environmental history leads to more successful and ethical policymaking through its emphasis on context, on emergent processes, and on the central role of individuals and communities in environmental, political, and cultural system dynamics.</t>
  </si>
  <si>
    <t>SOM Core Course on methods and organisation of innovation</t>
  </si>
  <si>
    <t xml:space="preserve">This course offers an introduction to the fundamental concepts of soil science. Soil topics are presented in relation to natural and managed ecosystems with emphasis on soil processes and their relationship to plant productivity. Topics of current interest in relation to soil science, management, and conservation in natural and managed landscapes. Two lectures a week. Three field trips. This course has no prerequisites. Background in ecology or forestry is useful but not indispensable. This course fulfills the science requirement of the M.S. curriculum at F&amp;ES. </t>
  </si>
  <si>
    <t>The course will offer an introductory lecture to refresh and update key concepts as needed: soil formation, classification, organic matter and nutrients. The rest of the seminar is devoted to advanced topics, including: rehabilitation of degraded soils through reforestation; soil sustainability in natural forest management and plantation forestry; soils as a sink for atmospheric carbon; carbon sequestration in pastures and forests; soil changes in shifting agriculture; soil changes during forest successional development; soil management and productivity in agroforestry; soil erosion control; organic farming; mycorrhizae and organic biostimulants; management of soil water in semiarid environments; wetland soils; urban soils.</t>
  </si>
  <si>
    <t xml:space="preserve">This course deals with the current issues in environmental health. Topics for this course include air pollution, water pollution, sustainable development, occupational health, diet/food, climate change, and how the structure of the environment interacts with exposures to impact human health. The emphasis of the class is current issues that relate to the environment and public health from a global health perspective. </t>
  </si>
  <si>
    <t>Marshall, Camp</t>
  </si>
  <si>
    <t xml:space="preserve">This course studies the geophysical processes of natural rivers with emphasis on qualitative and quantitative aspects of fluvial morphology; the course addresses channel dynamics, urban rivers, human impacts on rivers, and climate change. It also addresses restoration of degraded rivers, including dechannelization, dam removal, sediment transport, aquatic habitat improvements, and naturalistic design. Students learn to inspect, classify, identify, and measure river features. Quantitative analyses of river hydraulics and morphology are performed to predict river reactions to human activities and watershed change. The class includes class lectures, readings, problem sets, field labs, and a team project. </t>
  </si>
  <si>
    <t>This course explores opportunities for improvement in the design and management of healthcare operations. The course utilizes standard operations tools such as optimization with Excel solver, simulation, scheduling, economic analysis, and decision‐making under uncertainty.</t>
  </si>
  <si>
    <t>This course introduces students to computer simulation as an aid to managerial decision making through lectures, case analyses and computer models using ExtendSim. See the attachment for details.</t>
  </si>
  <si>
    <t xml:space="preserve">Elementary principles of the philosophy and methods of science; research planning, including problem analysis and project planning; preparation, criticism, and oral presentation of study plans; communication of research findings; limitations of research techniques; and structure of research organizations. </t>
  </si>
  <si>
    <t xml:space="preserve">A descriptive overview of the earth?s atmospheric environment. The basic principles of climatology and meteorology and their application to the environment are discussed. Topics include climate elements, energy flow in the atmosphere, atmospheric motions, effect on agricultural systems, climatological impact on forest resources and animal habitats, urban climate, human bioclimatology, air quality, air resources (wind and solar energy), and climate change. </t>
  </si>
  <si>
    <t>This course takes the perspective of a general manager in addressing both strategic and operational decision making with emphasis on the latter. The main theme of the course is that successful delivery and management of services requires an alignment of the design of the service delivery process as well as the relationship with the customer. We cover topics such as service capacity planning, managing customer interactions, revenue management, and after-sales services. We use cases and examples from a variety of industries including healthcare, banking and financial services, insurance, and the hospitality industry. We draw on ideas from marketing and strategy in addition to operations.</t>
  </si>
  <si>
    <t xml:space="preserve">This course teaches students how to identify the most important tropical plant families, with an emphasis on woody taxa. Students learn key characteristics for identification. We concentrate on families that have high economic, ecological, or ethnobotanical importance. We also discuss distribution, habitat, and ecology. The course has a strong practical component, and instructors emphasize vegetative characters to identify families and higher-level taxa. The course includes a two-week field trip to Costa Rica over spring break. </t>
  </si>
  <si>
    <t>Easterling</t>
  </si>
  <si>
    <t xml:space="preserve">ARCH341/ARCH4216/INTS342 </t>
  </si>
  <si>
    <t>SOM Core Course teaching on human resource management, employee motivation and basics of organisational dynamics</t>
  </si>
  <si>
    <t xml:space="preserve">EP&amp;E366 </t>
  </si>
  <si>
    <t>Challenges raised for political policy makers and governmental regulators and for managers of global corporations when the latter intend to make direct investments in foreign countries. Special attention to emergent exclusionary measures in advanced industrial countries.</t>
  </si>
  <si>
    <t>F&amp;ES 856</t>
  </si>
  <si>
    <t>This course surveys major frameworks for understanding and responding to environmental problems. We consider the moral dimensions of issues like climate change, environmental racism, biodiversity loss, ecological restoration, and animal welfare in relation to key concepts and approaches, including: intrinsic value, nonanthropocentrism, social constructions of nature, environmental economics, ecofeminism, pragmatism, bioregionalism, deep ecology, and sustainability.</t>
  </si>
  <si>
    <t>The role of the United Nations in global politics. Analysis of the workings of the UN Security Council, the General Assembly, the International Court of Justice, and other UN agencies, funds, and programs. Topics include the International Criminal Court, cases of UN peacekeeping, and the imposition of sanctions.</t>
  </si>
  <si>
    <t>Krasno</t>
  </si>
  <si>
    <t>LaPalombara</t>
  </si>
  <si>
    <t>Pignatello</t>
  </si>
  <si>
    <t>Judson</t>
  </si>
  <si>
    <t>Zhao, Claus, Kidd</t>
  </si>
  <si>
    <t>This Speaker Series will expose students to land use planning and sustainable development in an era of global climate change.  Current approaches to planning will be used as a way to illustrate principles of the planning practice and to define sustainable development.  Planning for climate change offers the most comprehensive framework, as it deals with multiple issues, and requires, at its core, an integrated approach to developing systems-based solutions.  Because of its inter-disciplinary requirements, it provides an opportunity to introduce students to the ways that complex planning projects are managed, and policies are developed and implemented, to create environmentally responsible, livable, healthy, dynamic, and equitable communities.</t>
  </si>
  <si>
    <t xml:space="preserve">This course is an examination of current topics in public education reform from the perspective of a leader and a manager. It will emphasize a variety of strategies and mechanisms to close the achievement gap in American public schools, ranging from school level design to district and national policy. Students will explore different theories of action and challenges of execution in education
reform. </t>
  </si>
  <si>
    <t>Harries</t>
  </si>
  <si>
    <t xml:space="preserve">RLST872/REL817/RLST280 </t>
  </si>
  <si>
    <t xml:space="preserve">This course explores the various ways in which religious ideas and practices have contributed to cultural attitudes and human interactions with nature. Examples are selected from Hinduism, Buddhism, Confucianism, and Daoism. The course examines such topics as symbols, images and metaphors of nature in canonical texts, views of the divine as transcendent to the world, the indwelling of the sacred in the earth, the ethics of using and valuing nature, ritual practices that link humans to the natural world, and cosmology as orienting humans to the world and embedding them in place. </t>
  </si>
  <si>
    <t xml:space="preserve">This course explores how particular indigenous peoples relate to local bioregions and biodiversity. Opening with an examination of such terms as indigenous, religion, and ecology, the course investigates religious studies and ethnography related to small-scale societies and the many ways in which they relate to local bioregions and biodiversity. The course examines indigenous ethnic diversity and cultural relationships to place, and the ways values associated with physical places are articulated in symbols, myths, rituals, and other embodied practices. The emphasis on place and religious ecology in this course illustrates what indigenous peoples could bring to studies in environmental culture. Finally, this course necessarily involves questions of environmental justice, namely, the imposition of environmentally damaging projects on a people whose voice in decision making is diminished or eliminated. </t>
  </si>
  <si>
    <t>This course is intended to provide a fundamental understanding of the principles of statistical sampling, alternative estimators of population parameters, and the design basis for inference in survey sampling. Natural, ecological, and environmental resource applications of sampling are used to exemplify numerous sampling strategies. Sample designs to be studied include simple random; systematic; unequal probability, with and without replacement; stratified sampling; sampling with fixed-radius plots; horizontal point sampling; and line intercept. The Horvitz-Thompson, ratio, regression, and other estimators are introduced and used repeatedly throughout the course.</t>
  </si>
  <si>
    <t>Goetzmann</t>
  </si>
  <si>
    <t xml:space="preserve">The operational aspects of managing forestland are taught, including topics essential to the professional practice of forest management. Operational aspects of regeneration, intermediate tending, and harvesting (planning, layout, implementation, and post-operation evaluation), best management practices, regulatory and wetlands considerations, and socioeconomic dimensions of field operations are the focus. The ethical and professional responsibilities of forest managers who are responsible for land-altering activities are also considered. The course includes considerable field time to help students utilize their existing knowledge about forests to rapidly assess stands and land parcels with respect to the planning and implementation of on-the-ground treatments. Classes feature local field trips to view forestry operations and to develop and refine field skills. </t>
  </si>
  <si>
    <t>Fundamental and applied concepts of physical and chemical ("physicochemical") processes relevant to water quality control. Topics include chemical reaction engineering, overview of water and waste water treatment plants, colloid chemistry for solid-liquid separation processes, physical and chemical aspects of coagulation, coagulation in natural waters, filtration in engineered and natural systems, adsorption, membrane processes, disinfection and oxidation, disinfection by-products.</t>
  </si>
  <si>
    <t>Kaplan</t>
  </si>
  <si>
    <t xml:space="preserve">Building on earlier course work in quantitative analysis and statistics, Policy Modeling provides an operational framework for exploring the costs and benefits of public policy decisions. The techniques employed include "back of the envelope" probabilistic models, Markov processes, queuing theory, and linear/integer programming. With an eye toward making better decisions, these techniques are applied to a number of important policy problems. In addition to lectures, assigned articles and text readings, and short problem sets, students are responsible for completing a take-home midterm exam and a number of cases. In some instances, it is possible to take a real problem from formulation to solution, and compare the student's own analysis to what actually happened. Prerequisites: Decision Analysis and Game Theory, Data Analysis and Statistics, or a demonstrated proficiency in quantitative methods. </t>
  </si>
  <si>
    <t xml:space="preserve">This course explores the mythologies, literatures, arts, and folklore of a variety of cultures in search of archetypal characters whose role is to mediate between nature and society. Beginning with sources as early as The Epic of Gilgamesh and ending with contemporary film and media, the course seeks to examine and understand the ways in which diverse peoples integrate an awareness of their traditional and popular arts and cultures. The course makes use of works from a variety of languages, including Akkadian, Greek, Tibetan, Bhutanese, Chinese, German, French, and Italian, but all readings are available in English; students with reading abilities in foreign languages will be encouraged to examine primary sources wherever possible. The course includes visits to the Beinecke Rare Book and Manuscript Library, the Yale Center for British Art, and the Yale Art Gallery. </t>
  </si>
  <si>
    <t xml:space="preserve">In this seminar we explore global environmental issues from a perspective that foregrounds questions of social justice. The field of environmental justice asks for fair treatment of all people regardless of race, ethnicity, gender, economic capacity, national origin, and education level with respect to environmental politics and their implementations. In this and other aspects, the environmental justice perspective differs from traditional environmental philosophies in that it seeks to combine a concern for the natural world with a consciousness of ethnic, class, and gender discrimination. From this vantage point it is argued that throughout the world there are marked and increasing disparities between those who have access to clean and safe resources and those who do not. This course is based on two fundamental premises: All individuals and communities, regardless of their social or economic conditions, have the right to a clean and healthy environment; and there is a connection between environmental exploitation, human exploitation, and social justice. With these premises as a starting point, we first define ?What is environmental justice?? Then we turn to more difficult questions such as: Why and through what political, social, and economic processes are some people denied this basic right to a clean and safe environment? The course draws on both international and domestic case studies. </t>
  </si>
  <si>
    <t xml:space="preserve">The course and field session will focus on the numerous human threats to both the Tempisque River Basin and Palo Verde National Park in Costa Rica.  These threats include: ecotourism; sugar cane, pineapple, rice cultivation; and hunting and cattle grazing with park boundaries.  The river basin, an important wetland for migratory birds, is currently experiencing major environmental threats from the pesticides and fertilizers farmers use and the sedimentation from wet rice fields and increase tourist activity upriver. </t>
  </si>
  <si>
    <t xml:space="preserve">Communities and Conservation in Costa Rica </t>
  </si>
  <si>
    <t xml:space="preserve">Study of human threats to Costa Rica's Tempisque River Basin and Palo Verde National Park. Ecotourism; sugar cane, pineapple, and rice cultivation; hunting and cattle grazing within park boundaries. Effects on villages in the region, including the development of alternative agricultural strategies and livelihoods to supplement household income. Includes a ten-day research trip to Costa Rica during the spring recess. </t>
  </si>
  <si>
    <t xml:space="preserve">F&amp;ES70117 </t>
  </si>
  <si>
    <t>EVST 410 01</t>
  </si>
  <si>
    <t xml:space="preserve">A broad introduction to issues of social sciences research methods and design. Emphasis in the readings and lectures is placed on qualitative methods, although consideration is given to both quantitative and qualitative approaches to research. No prior knowledge of methodology or statistics is expected or assumed. The course is intended both for doctoral students who are in the beginning stage of their dissertation research, and for master?s students developing research proposals for their thesis projects. The course covers the basic techniques for collecting, interpreting, and analyzing qualitative data. During the term we explore three interrelated dimension of research. One focuses on the theoretical foundations of science and research, another focuses on the various methods available to researchers for data collection and analysis, and finally we complete exercises in the practical application of various methods. The course differs from others on research design in that it is decidedly interdisciplinary in nature (including drawing on literature from anthropology, geography, political science, and sociology) and it consciously addresses the unique nature of social science research within environmental studies. One significant premise underlies this class: some of the most important questions addressed in environmental studies have such complex solutions that traditional positivist scientific approaches have limited application. </t>
  </si>
  <si>
    <t>Dawson</t>
  </si>
  <si>
    <t>The purpose of this course is to make you into a better negotiator. The emphasis is on the features of
human psychology and judgment that can, and do, stand in the way of reaching mutually beneficial deals.
We will study and practice negotiation in a variety of different contexts. You will be challenged to get over barriers to asking for what you want, and will learn to leverage your strengths and build up skills that are less accessible to you.</t>
  </si>
  <si>
    <t>A selective survey of issues in biomedical ethics. Comparison of different points of view from which the issues are approached, including religious vs. secular and liberal vs. conservative. Special attention to issues in research and at the beginning and end of life.</t>
  </si>
  <si>
    <t>Cremers</t>
  </si>
  <si>
    <t>The goal of this course is to understand how to create value by determining corporate governance arrangements. The focus is that of an investor who wants a return on any investments made. Questions that the course will address are the following: What do investors want and worry about related to corporate (board) decisions? What governance arrangements are helpful in creating value and making sure the value accrues to the investors? What ownership structures are conducive to value creation (private equity / hedge funds / family ownership)? What countries provide better governance arrangements that allow entrepreneurs and firms to raise more money to realize profitable projects? How should managers be incentivized and compensated? Should an investor sell his shares if unhappy with the company (‘Wall Street Walk’) or become an activist? The course also highlights recent failures of corporate governance and what we can learn from them.</t>
  </si>
  <si>
    <t xml:space="preserve">This research seminar explores the relationship between society and natural resources. Although the specific topic of the seminar varies from year to year, the consistent underlying theme is an examination of how societies organize themselves, use natural resources, and affect their environment. In past years, the seminar focused on energy and the environment, interdisciplinary problem solving, and other topics. The seminar overall looks at people seeking values using natural resources through institutions. This relationship (people, values, natural resources, and institutions) has been extensively written about and discussed in diverse fields. The last seminar examined and compared conceptual (theoretical) models about society and natural resources from policy sciences, social ecology, and other knowledge areas. The applied utility of each model was examined through cases as appropriate. The next seminar focuses on ?Complex Sustainability Cases.? Additionally it has looked at ?Bridging Local and Professional Knowledge in Environmental Sustainability? and ?War and the Environment.? Most recently it examined ?Human Dignity, Professionals, and Sustainability.? Guests and students make presentations and carry out discussions each week. Student papers are required. </t>
  </si>
  <si>
    <t>Udry, Srinivasan</t>
  </si>
  <si>
    <t xml:space="preserve">This course introduces the study of forest stand dynamics?how the structure and composition of different forest types change over time (from regeneration to old growth). Understanding the dynamic nature of forest stands is important for creating and maintaining a variety of critical wildlife habitats on the landscape, managing for sustainable supplies of wood products and other forest values, or predicting the risks and managing the effects of natural and anthropogenic disturbances. Through lectures, discussions, and field trips we explore forest development processes and pathways, concentrating on the biological mechanisms driving forest structural change and the roles of natural and human disturbances in initiating and altering stand development trajectories. We make use of New England forests as living laboratories, while discussing how similar patterns and processes of forest development are played out in forests around the globe. </t>
  </si>
  <si>
    <t xml:space="preserve">This course examines the ecological, social, and policy implications of forest and grassland fire. Topics include the historical and cultural role of fire, fire behavior, fire regimes, fire ecology, the use of fire in ecosystem restoration, fire policy in the United States and elsewhere, and controversies around suppressing fires and post-fire rehabilitation practices. Conditions permitting, the course also involves implementing a prescribed fire to achieve management goals in restoring meadow and oak savanna at Yale Myers forest. </t>
  </si>
  <si>
    <t>This introduction to coastal management links human impacts on the environment with existing or proposed governance solutions for protection or restoration. Examples of single sector initiatives include wastewater treatment, wetlands, and dredging. For each topic the natural science underlying the issue is introduced and the responding governance system is evaluated. Regional management, a currently practiced alternative to single use management, is evaluated with respect to its effectiveness. To enhance regional management, coastal ecosystem governance is introduced as an emerging concept and practice. Particular attention is paid to institutions, program design, and implementation in this new context.</t>
  </si>
  <si>
    <t>Introduction to the ecosystem concept. Topics include the structure and functioning of ecological systems, the response of systems to changing environmental conditions, and preservation and management issues. Discussion of both terrestrial and marine/aquatic systems.</t>
  </si>
  <si>
    <t>This course introduces students to the concepts and nomenclature of toxicology. Emphasis is placed on the absorption, distribution, metabolism, and elimination of foreign toxic materials. The goal is to provide a fundamental understanding of important toxicological principles and their relevance to the more general study of human health. The course utilizes case studies that require students to apply their knowledge of toxicologic concepts and processes to refine issues and solve problems in epidemiology and public health. The course includes a series of guest lectures by prominent content experts who illustrate the importance of general toxicological principles as applied to specific classes and types of toxicants and exposures.</t>
  </si>
  <si>
    <t xml:space="preserve">Topics in mineral nutrition and cycling; mycorrhizas; symbiosis; nitrogen fixation; photosynthesis; water relations; ecophysiology; and the physiology of trees and forests, primarily at the individual tree level with extensions downward to the cellular and biochemical level and upward to the stand and ecosystem level. Other topics include the ecology and adaptation of species and forests, both temperate and tropical. </t>
  </si>
  <si>
    <t xml:space="preserve">This first course in a four-course sequence focuses on two aspects of plant life: (1) basic processes that drive plant systems, such as fertilization, embryogeny, seed development, germination, seedling establishment, maturation, and senescence; and (2) basic structure and function of plants (such as root systems, leaf formation and development, height, and diameter growth). Differences between different groups of seed plants are analyzed from structural, functional, ecological, and evolutionary standpoints. Special attention is given to woody plants and their importance in the biosphere and human life. Wood and bark structure and formation in tropical and temperate trees are discussed from the standpoints of evolution and ecophysiology. Plant cell types are discussed in the context of how they evolved and their molecular and structural adaptations in terms of strength, storage, and water and solute transport. </t>
  </si>
  <si>
    <t xml:space="preserve">Advanced investigative techniques with emphasis on instrumentation, experimental design, execution, and analyses. After a series of class experiments and demonstrations are completed, each student selects a personal project under the direction of the instructor and prepares a minidissertation complete with literature review, materials and methods, results, and discussion. </t>
  </si>
  <si>
    <t xml:space="preserve">When confronted with a new environmental challenge, what strategies could be used to effectively communicate the impact and complexity of the problem to citizens and policy makers? This lecture series examines a global environmental issue, ocean acidification, reviewing the established science, evolving research, and responses by policy makers. The world's oceans are natural sinks for atmospheric carbon dioxide, and after many decades of absorbing increasing carbon emissions, marine waters are becoming more acidic. While these chemical changes in the ocean are predictable, the biological responses are so interdependent and complex that it is not clear how marine ecosystems will respond to the expected changes in ocean acidity. Most people are aware of global warming caused by increased atmospheric carbon concentrations, yet changes to the world's oceans resulting from uptake of carbon dioxide have received little attention. Therefore the series also examines the process of communicating a new environmental issue to policy makers and the public. </t>
  </si>
  <si>
    <t xml:space="preserve">A detailed examination of the principles governing chemical reactions in water. Emphasis is on developing the ability to predict the aqueous chemistry of natural and perturbed systems based on a knowledge of their biogeochemical setting. Focus is on inorganic chemistry, and topics include elementary thermodynamics, acid-base equilibria, alkalinity, speciation, solubility, mineral stability, redox chemistry, and surface complexation reactions. Illustrative examples are taken from the aquatic chemistry of estuaries, lakes, rivers, wetlands, soils, aquifers, and the atmosphere. A standard software package used to predict chemical equilibria may also be presented. </t>
  </si>
  <si>
    <t>This course considers selected topics in silviculture or silvicultural related courses. Students work through the peer review publication process on data sets and projects in silviculture and applied forest ecology. Discussions involve rationale and hypothesis testing for a project. Data analysis techniques and reporting and interpretation of results. It is expected that manuscripts developed in the course are worthy of publication and that oral presentations are of a caliber for subject area conferences and meetings.</t>
  </si>
  <si>
    <t xml:space="preserve">An advanced interdisciplinary course concerned with assessing the protection and management of biologically diverse, complex forested ecosystems that produce various goods and services. Examples of independent case analyses concern landscape management of biogeographic regions in the Pacific Northwest, Ecuador, Costa Rica, Venezuela, Belize, central and southern Mexico, and the Panama Canal Watersheds. Students are encouraged to travel on extended class field trips to these regions. </t>
  </si>
  <si>
    <t>An examination of the natural processes controlling coastal ecosystems and the anthropogenic threats to the health of these systems. Focus is primarily on tidal marshes and estuarine open-water systems. The course covers a wide range of important physical, chemical, and ecological processes, with greatest detail given to nutrient cycling, primary production, detrital pathways, and marsh accretion. Anthropogenic impacts covered range from local to global, and include nutrient enrichment, hypoxia, sea level rise, invasive species, marsh drowning, and wetland filling.</t>
  </si>
  <si>
    <t>Kingsley</t>
  </si>
  <si>
    <t>Tsyvinski</t>
  </si>
  <si>
    <t xml:space="preserve">This course provides students a scientific orientation in environmental hormones and human health. The course introduces the basic concepts of four different types of hormones, including endogenous hormones, natural environmental hormones, pharmaceutical hormones, and environmental endocrine disruptors. The course discusses the current understanding of the relationship between hormones and human health, with emphasis on the methodology of studying the relationship between environmental hormones and environmental endocrine disruptors and human cancer risk. </t>
  </si>
  <si>
    <t>Students are introduced to a wide variety of research topics, policy topics, and applications in environmental health. Faculty members, public health professionals, and students make brief oral presentations and engage in related dialogues. The course is designed to help students develop topics for their M.P.H. theses. Second-year students have the opportunity to receive feedback on their developing research.</t>
  </si>
  <si>
    <t>Thomas</t>
  </si>
  <si>
    <t>This yearlong course presents a broad overview of the principles of occupational and environmental medicine. In the fall term the major diseases of environmental origin are presented. In the spring term the major hazards-chemical, physical, and biologic-and the settings in which they occur are examined.</t>
  </si>
  <si>
    <t>Sonnenfeld</t>
  </si>
  <si>
    <t xml:space="preserve">Comparative Welfare Policy in Developing Countries </t>
  </si>
  <si>
    <t>Examination of public and private welfare systems in the developing world. Analysis of the evolving relationships between kin or community and states and market. Particular attention is paid to the politics of contemporary reforms.</t>
  </si>
  <si>
    <t>Seekings</t>
  </si>
  <si>
    <t>Steen</t>
  </si>
  <si>
    <t>Political regulation and reform issues explored from both empirical and normative perspectives. Campaign finance reform, lobbying regulations, bribery, voting franchise restrictions, ballot access, redistricting, and term limits.</t>
  </si>
  <si>
    <t>Ingersoll</t>
  </si>
  <si>
    <t>Financial engineering. Related to carbon-based securities, other environmental finance vehicles.</t>
  </si>
  <si>
    <t>Economics, strategy and organizational science. General foundation of environmental strategy.</t>
  </si>
  <si>
    <t>Li</t>
  </si>
  <si>
    <t>Garten</t>
  </si>
  <si>
    <t xml:space="preserve">PLSC715/HIST985 </t>
  </si>
  <si>
    <t xml:space="preserve">This two-term course begins in January with readings in classical works from Sun Tzu to Clausewitz to Kissinger. Students identify principles of strategy and examine the extent to which these were or were not applied in historical case studies from the Peloponnesian War to the post-Cold War period. During the summer students undertake research projects or internships designed to apply resulting insights to the detailed analysis of a particular strategic problem or aspect of strategy. Written reports are presented and critically examined early in the fall term. Students must take both terms, fulfill the summer research/internship, and attend additional lectures to be scheduled throughout the spring and fall terms. </t>
  </si>
  <si>
    <t xml:space="preserve">Gaddis, Hill, Kennedy </t>
  </si>
  <si>
    <t>The purpose of the course is to: provide students with a functional understanding of the financing of healthcare delivery in America; understand the possibilities and implications for healthcare reform;  understand the underlying economic principles, and their effects, with regard to healthcare delivery; identify the opportunities for private and public sector involvement in improving healthcare; develop skills in industry and company analysis, as a primer for financial valuation of example companies.</t>
  </si>
  <si>
    <t>Wood</t>
  </si>
  <si>
    <t>The emergence and evolution of various forms of protest, including strikes, demonstrations, and revolutions. Case studies include the civil rights movement, the women's movement in the United States, and social movements in Central America, South Africa, and elsewhere. Theoretical approaches range from ethnographic to mathematical models.</t>
  </si>
  <si>
    <t>Dhar</t>
  </si>
  <si>
    <t>Choi, Tookes</t>
  </si>
  <si>
    <t>Campbell, Nalebuff</t>
  </si>
  <si>
    <t>Brooks</t>
  </si>
  <si>
    <t>Brescoll</t>
  </si>
  <si>
    <t>Antle</t>
  </si>
  <si>
    <t>Zinn</t>
  </si>
  <si>
    <t>Debs</t>
  </si>
  <si>
    <t xml:space="preserve">INRL534/INTS314 </t>
  </si>
  <si>
    <t xml:space="preserve">Development of the International Human Rights Regime </t>
  </si>
  <si>
    <t xml:space="preserve">Political Economy of Institutions and Development </t>
  </si>
  <si>
    <t xml:space="preserve">How do political institutions affect economic outcomes? How do economic conditions determine political institutions? This course reviews recent advances in the emerging field of the political economy of institutions and development, with a focus on formal modeling and quantitative studies. We start with an introduction to the importance of institutions in affecting economic performance. Second, we review some basic models of democratic politics, focusing on the impact of economic conditions (such as inequality) on political outcomes. Third, we cover major theories of democratization, for example studying the effect of income and inequality on institutional change. Fourth, we study basic models of dictatorships, looking at the effect of nondemocratic institutions on growth and international conflict. Finally, we take a critical look at the role of institutions and consider the possibility of policy persistence despite institutional change. </t>
  </si>
  <si>
    <t xml:space="preserve">ECON792 </t>
  </si>
  <si>
    <t>Manson</t>
  </si>
  <si>
    <t>Case-based course on nonprofit strategy and finance. Includes cases on environmental and social non-profits</t>
  </si>
  <si>
    <t>Hyde</t>
  </si>
  <si>
    <t>Plasa</t>
  </si>
  <si>
    <t xml:space="preserve">The loss of global biodiversity is a major problem with profound repercussions for present and future human generations. Professional conservationists now living are the last generation that can prevent the extinction of large numbers of species and the disruption of large-scale ecosystem processes. Professionals must not only apply relevant conservation sciences to these problems, but also bring to bear explicit knowledge about the real-world organizational and policy settings in which they will work and expert skills in influencing those systems. The course combines the problem-solving approaches of the conservation sciences with those of the policy sciences by surveying a range of policy and organizational contexts, theories, techniques, and professional settings using a variety of case studies. We typically have guests who focus on contemporary challenges and offer successful cases from their own experience. Students learn an interdisciplinary analytic framework and apply it to a case of their choice. The role and problem-solving styles of the individual professional in these complex contexts are emphasized. Students must keep a journal. Active student participation is required as well as a presentation and a paper. The course positions students to work for many nongovernmental, governmental, and business organizations, assuming leadership and problem-solving positions. Enrollment limited to sixteen; application required.  </t>
  </si>
  <si>
    <t>Fotos</t>
  </si>
  <si>
    <t>Lee</t>
  </si>
  <si>
    <t>All courses</t>
  </si>
  <si>
    <t>With Relevance 3</t>
  </si>
  <si>
    <t>With Relevance 2-3</t>
  </si>
  <si>
    <t>1-3 ranking</t>
  </si>
  <si>
    <t>2-3 ranking</t>
  </si>
  <si>
    <t>3 ranking only</t>
  </si>
  <si>
    <t>Value (2-3)</t>
  </si>
  <si>
    <t>Relative Number of Courses by the Business &amp; Environment Area Across  Yale's Schools (Note: Only courses ranked 2-3 in B+E area ranking are included)</t>
  </si>
  <si>
    <t>The Sustainability Professional:
2010 Competency Survey Report, IInternational Society of Sustainability Professionals</t>
  </si>
  <si>
    <t>%</t>
  </si>
  <si>
    <t>Communication with internal stakeholders</t>
  </si>
  <si>
    <t>Systems thinking</t>
  </si>
  <si>
    <t>Problem solving</t>
  </si>
  <si>
    <t>Project management</t>
  </si>
  <si>
    <t>Inspiring and motivating others</t>
  </si>
  <si>
    <t>Communication with external stakeholders</t>
  </si>
  <si>
    <t>Flexibility or adaptability</t>
  </si>
  <si>
    <t>Team building or collaborating</t>
  </si>
  <si>
    <t>Life cycle costing and/or life cycle assess.</t>
  </si>
  <si>
    <t>Influencing change within your org</t>
  </si>
  <si>
    <t>Risk assessment</t>
  </si>
  <si>
    <t>Establishing and managing priorities</t>
  </si>
  <si>
    <t>Consensus building</t>
  </si>
  <si>
    <t>Innovating / re-thinking the business</t>
  </si>
  <si>
    <t>Facilitating and/or training groups</t>
  </si>
  <si>
    <t>Networking with external colleagues</t>
  </si>
  <si>
    <t>Process management (Six Sigma, etc.)</t>
  </si>
  <si>
    <t>Influencing change outside your org.</t>
  </si>
  <si>
    <t>Networking with internal colleagues</t>
  </si>
  <si>
    <t>Number of Courses with 2-3 Relevance Ranking</t>
  </si>
  <si>
    <t>TOTAL</t>
  </si>
  <si>
    <t>#</t>
  </si>
  <si>
    <t>Aver. Relevance</t>
  </si>
  <si>
    <t>Other</t>
  </si>
  <si>
    <t>Tool-based</t>
  </si>
  <si>
    <t>1-3 rank</t>
  </si>
  <si>
    <t>2-3 rank</t>
  </si>
  <si>
    <t>3 rank</t>
  </si>
  <si>
    <t>Hill</t>
  </si>
  <si>
    <t>Boozer</t>
  </si>
  <si>
    <t>Henrich</t>
  </si>
  <si>
    <t>An exploration of modern technologies that play a role in everyday life, including the underlying science, current applications, and future prospects. Examples include solar cells, light-emitting diodes (LEDs), computer displays, the global positioning system, fiber-optic communication systems, and the application of technological advances to medicine. For students not committed to a major in science or engineering; no college-level science or mathematics required.</t>
  </si>
  <si>
    <t>ENAS110</t>
  </si>
  <si>
    <t>Kauffman</t>
  </si>
  <si>
    <t>SOM 842</t>
  </si>
  <si>
    <t xml:space="preserve">Principles of Chemical Engineering and Process Modeling </t>
  </si>
  <si>
    <t>ENVE 210</t>
  </si>
  <si>
    <t xml:space="preserve">Taylor </t>
  </si>
  <si>
    <t>CENG210</t>
  </si>
  <si>
    <t xml:space="preserve">MATH 120a </t>
  </si>
  <si>
    <t>ENVE 441</t>
  </si>
  <si>
    <t xml:space="preserve">Biological Processes in Environmental Engineering </t>
  </si>
  <si>
    <t xml:space="preserve">ENAS641 </t>
  </si>
  <si>
    <t>CHEM 112a, 113b, or 114a, 115b, or 118a; MCDB 290b or equivalent</t>
  </si>
  <si>
    <t xml:space="preserve">Environmental History of the Middle East </t>
  </si>
  <si>
    <t>EVST 386</t>
  </si>
  <si>
    <t xml:space="preserve">Mikhail </t>
  </si>
  <si>
    <t xml:space="preserve">HIST386J </t>
  </si>
  <si>
    <t>History</t>
  </si>
  <si>
    <t>Grubler</t>
  </si>
  <si>
    <t>FES 818</t>
  </si>
  <si>
    <t xml:space="preserve">Tech, Society &amp;Environment </t>
  </si>
  <si>
    <t>Harms (Erik)</t>
  </si>
  <si>
    <t>Harms (Robert)</t>
  </si>
  <si>
    <t xml:space="preserve">HIST 839 </t>
  </si>
  <si>
    <t>AFST 839</t>
  </si>
  <si>
    <t>Marinov</t>
  </si>
  <si>
    <t>PLSC 658</t>
  </si>
  <si>
    <t>INTS 401</t>
  </si>
  <si>
    <t>An examination of the reasons governments enter into international arrangements, such as World Bank and IMF agreements, trade accords, alliances, and treaties. The effects of these arrangements on measures of material well-being such as economic growth, income distribution, infant mortality rates, and the environment.</t>
  </si>
  <si>
    <t xml:space="preserve">International Cooperation </t>
  </si>
  <si>
    <t>Kalyvas</t>
  </si>
  <si>
    <t xml:space="preserve">PLSC 368 </t>
  </si>
  <si>
    <t xml:space="preserve">Global Politics </t>
  </si>
  <si>
    <t>Major issues in current international politics, from political economy to international security. Development of broad analytic and synthetic skills through focus on themes such as the politics of economic crisis, global governance, state failure, international intervention, and environmental management.</t>
  </si>
  <si>
    <t xml:space="preserve">EP&amp;E251 </t>
  </si>
  <si>
    <t>Bracken</t>
  </si>
  <si>
    <t>Managing Organizational Politics</t>
  </si>
  <si>
    <t>MGT 881</t>
  </si>
  <si>
    <t>This course provides tools of political analysis for managers. By examining the sources and instruments of power – and its limits – we shall see more clearly why some objectives are achieved by organizations and others are not. The topics considered in this class are relevant for all organizations – private, governmental, not-for-profit.
The application of political analysis to management is emphasized throughout the course. All the topics considered – the sources of power within organizations, the implications of organizational structure, the importance of identifying stakeholders (and their interests) – necessarily inform the strategies and tactics of effective managers and leaders as they pursue personal and organizational objectives.</t>
  </si>
  <si>
    <t>Managing Strategic Networks</t>
  </si>
  <si>
    <t>MGT 535</t>
  </si>
  <si>
    <t>King</t>
  </si>
  <si>
    <t>Investment Management</t>
  </si>
  <si>
    <t>Murfin</t>
  </si>
  <si>
    <t>MGT 544</t>
  </si>
  <si>
    <t>The course provides a broad overview of investment management, focusing on the application of finance theory to the issues faced by portfolio managers and investors in general. Topics include general tools of active portfolio management such as portfolio optimization, performance evaluation, style and attribution analysis, and metrics to quantify different dimensions of active management, especially as applied to mutual funds and hedge funds, as well as issues relevant to various passive strategies such as fundamental indexing. Topics also cover the subject areas of asset allocation, equity investing in both efficient and inefficient markets, fixed income, derivatives, and alternative investments with a focus on hedge funds.</t>
  </si>
  <si>
    <t>Intro.finance, statistics</t>
  </si>
  <si>
    <t>This course will use insights from social network theory, word of mouth research, and communication management to explore how a firm can optimize its social media  communication strategy.</t>
  </si>
  <si>
    <t>Mayzlin</t>
  </si>
  <si>
    <t>In this course, you will gain a realistic understanding of human behavior, and you will learn to apply this understanding to many perspectives relevant for management. In a course that features guest lectures by a diverse group of SOM faculty engaged in cutting-edge behavioral research, you will learn how you can make better managerial and policy decisions – both by overcoming biases in your own decisions and by better understanding those whose behavior you are trying to change.</t>
  </si>
  <si>
    <t>Navigating Organizations</t>
  </si>
  <si>
    <t>MGT 631</t>
  </si>
  <si>
    <t>Massey</t>
  </si>
  <si>
    <t>Designers Designing Design</t>
  </si>
  <si>
    <t>Bierut,  Drenttel</t>
  </si>
  <si>
    <t>MGT 833</t>
  </si>
  <si>
    <t>This course offers students the opportunity to be design clients, and to acquire the skills and experience necessary to use design to shape and manage products, programs, initiatives and campaigns. Two working designers will explore design as a methodology, a way of working in modern organizations — corporations, foundations, magazines, schools, even cities. Beginning with an overview of contemporary “design thinking,” the course will survey far-ranging examples where design has been used as a means of innovation, change, message and influence.</t>
  </si>
  <si>
    <t>Business of Not-for-Profit Management</t>
  </si>
  <si>
    <t>MGT 838</t>
  </si>
  <si>
    <t>Lublin</t>
  </si>
  <si>
    <t>This course is a general introduction to not for profit management, with heavy emphasis on practical application. How do not for profit organizations actually function? How do they attract “customers?” How do these companies grow when there are no owners with financial incentives to grow the business? What are the core elements of a “good” not for profit company? What are the metrics for determining the health of a company without profit? And, why would anybody work for such a crazy place?</t>
  </si>
  <si>
    <t>Millstein</t>
  </si>
  <si>
    <t>Meyers</t>
  </si>
  <si>
    <t>Carreras</t>
  </si>
  <si>
    <t>Bailis</t>
  </si>
  <si>
    <t xml:space="preserve">Climate Change: Impacts Adaptation and Mitigation </t>
  </si>
  <si>
    <t xml:space="preserve">This is a graduate course designed for students who are familiar with the basic science of climate change and the international negotiations that have occurred since the drafting of the United Nations Framework Convention on Climate Change (UNFCCC). With the assumption that participants in the class understand these basics, we briefly review the latest scientific findings as well as the most recent developments in climate change policy. The course then focuses on climate change from the perspectives of the world^^s developing countries. This includes a review of the impacts that developing countries are likely to experience, the vulnerabilities of non-industrialized societies to climate change, and the mechanisms that have been proposed to assist developing countries to cope with those adverse impacts. The course has a mixed lecture-discussion format. </t>
  </si>
  <si>
    <t>G&amp;G 308</t>
  </si>
  <si>
    <t xml:space="preserve">Global Carbon Cycle </t>
  </si>
  <si>
    <t>CHEM 113b, 115b, 118a</t>
  </si>
  <si>
    <t>Fedorov</t>
  </si>
  <si>
    <t>G&amp;G 323</t>
  </si>
  <si>
    <t xml:space="preserve">Climate Dynamics </t>
  </si>
  <si>
    <t>An introduction to climate dynamics. Special emphasis on phenomena controlled by large-scale interactions between the ocean and atmosphere, from El Niño to decadal climate variability. Topics include conceptual models of climate, general circulation of the atmosphere, ocean wind-driven and thermohaline circulation, abrupt climate changes, climate models by means of GCMs, and climate predictability.</t>
  </si>
  <si>
    <t xml:space="preserve">PHYS 181b, MATH 120a </t>
  </si>
  <si>
    <t xml:space="preserve">Organic Geochemistry </t>
  </si>
  <si>
    <t xml:space="preserve">Pagani </t>
  </si>
  <si>
    <t>G&amp;G 280</t>
  </si>
  <si>
    <t>Introduction to organic geochemistry and its applications in environmental reconstruction. Basic concepts of molecular chemistry and biochemistry, compound-specific carbon and hydrogen isotope distributions, and ancient temperature and carbon dioxide reconstruction.</t>
  </si>
  <si>
    <t xml:space="preserve"> CHEM 114a </t>
  </si>
  <si>
    <t xml:space="preserve">Crabtree, Batista, Brudvig, Schmuttenmaer </t>
  </si>
  <si>
    <t xml:space="preserve">Alternative Energy </t>
  </si>
  <si>
    <t>This course highlights the impact of environment and energy on chemistry. The course is interdisciplinary in nature and contains the following blocks: Alternative chemistry: materials and concepts, Natural processes for sustainable fuels, Materials and fast spectroscopic methods, materials: computational models and physical principles.</t>
  </si>
  <si>
    <t>Chemistry</t>
  </si>
  <si>
    <t>Nordhaus, Mendelsohn</t>
  </si>
  <si>
    <t>Khalil</t>
  </si>
  <si>
    <t>Sheldon</t>
  </si>
  <si>
    <t>Oster</t>
  </si>
  <si>
    <t>Campbell</t>
  </si>
  <si>
    <t xml:space="preserve">MGT 820 </t>
  </si>
  <si>
    <t xml:space="preserve">Drawing on the tools of economics, we study the business and public policy issues that these changes have raised. Topics include the political economy of deregulation, competition in wholesale electricity markets, market power and antitrust, and the transportation of energy commodities. We examine the economic determinants of industry structure and evolution of competition among firms in these industries, investigate successful and unsuccessful strategies for entering new markets and competing in existing markets, and analyze the rationale for and effects of public policies in energy markets. Students play strategy games to learn about the oil and electricity industries. They simulate OPEC countries in the oil industry and for-profit firms in a restructured electricity market. The students solve for the collusive equilibria in the setting of a nonrenewable resource and develop their own strategies given that monitoring oil production is imperfect. They consider how to operate in electricity markets given that there are capacity constraints, inelastic demand, and lack of storage. </t>
  </si>
  <si>
    <t>F&amp;ES 80186 - was but not indicated in the 2010 listing</t>
  </si>
  <si>
    <t xml:space="preserve">Check cross-listing with FES </t>
  </si>
  <si>
    <t xml:space="preserve">Environmental History of Africa </t>
  </si>
  <si>
    <t>Doss</t>
  </si>
  <si>
    <t>Long</t>
  </si>
  <si>
    <t>Global Firms &amp; National Governments</t>
  </si>
  <si>
    <t>Introduction to Hydrology &amp; Water Resources</t>
  </si>
  <si>
    <t>Janevic</t>
  </si>
  <si>
    <t>Thachil</t>
  </si>
  <si>
    <t>Swersey, Kim</t>
  </si>
  <si>
    <t>Sonnenfeld, Kolditz</t>
  </si>
  <si>
    <t>innovation</t>
  </si>
  <si>
    <t>Cain</t>
  </si>
  <si>
    <t xml:space="preserve">Affek </t>
  </si>
  <si>
    <t>Koppell</t>
  </si>
  <si>
    <t>from Fall 2010</t>
  </si>
  <si>
    <t>Org. strategy</t>
  </si>
  <si>
    <t>Org. strategy. Change management</t>
  </si>
  <si>
    <t>Soft skills</t>
  </si>
  <si>
    <t>Connected to C-finance</t>
  </si>
  <si>
    <t>Org. strategy. Change management. Soft skills</t>
  </si>
  <si>
    <t>Visited 2008-09, now gone</t>
  </si>
  <si>
    <t>Not taught in F 2009 or 2010</t>
  </si>
  <si>
    <t>Communication. Soft skills</t>
  </si>
  <si>
    <t>Communication</t>
  </si>
  <si>
    <t>Permission of instructor</t>
  </si>
  <si>
    <t>Connected To conservn</t>
  </si>
  <si>
    <t>Connected to C trading/acctng</t>
  </si>
  <si>
    <t>Environmental Writing</t>
  </si>
  <si>
    <t xml:space="preserve">Mobo / Russi / Stowe </t>
  </si>
  <si>
    <t>Hernandez, Gentry</t>
  </si>
  <si>
    <t>Zimmerman</t>
  </si>
  <si>
    <t>ENVE 330</t>
  </si>
  <si>
    <t>Water for the World</t>
  </si>
  <si>
    <t>Complex issues associated with water, global trends, and sustainability. Current water needs for human consumption, industry, agriculture, recreation, and ecosystem services; global warming, population growth, and the industrialization of developing nations. Fundamentals of water chemistry, water and wastewater treatment and distribution systems, and innovations for future designs.</t>
  </si>
  <si>
    <t>From Spring 2011</t>
  </si>
  <si>
    <t>Crosby</t>
  </si>
  <si>
    <t>CSCC 224</t>
  </si>
  <si>
    <t xml:space="preserve">Sustainability Science </t>
  </si>
  <si>
    <t>Introduction to the relationship between molecular biology and toxicology in the study of sustainability. Emphasis on the application of molecular science to global environmental challenges.</t>
  </si>
  <si>
    <t>Maggi</t>
  </si>
  <si>
    <t>Lee (Minjoo)</t>
  </si>
  <si>
    <t>Environmental PhysioChemical Processes</t>
  </si>
  <si>
    <t xml:space="preserve">CHEM 505 </t>
  </si>
  <si>
    <t>Sorenson</t>
  </si>
  <si>
    <t xml:space="preserve">MGT 841 </t>
  </si>
  <si>
    <t xml:space="preserve">Venture Capital </t>
  </si>
  <si>
    <t xml:space="preserve">In this course, we will review all aspects of starting and operating a venture capital firm. we will draw on recent advances in competitive strategy, organization theory,  nancial economics and economic sociology. Though built on rigorous theory and evidence, the focus of the course is nonetheless highly practical. Please note that though I teach the course from the perspective of the venture capitalist, potential entrepreneurs, investors (limited partners) and policymakers will also  find useful a better understanding of the industry. </t>
  </si>
  <si>
    <t>Politics of Development Assistance</t>
  </si>
  <si>
    <t>Introduction to Environmental Engineering</t>
  </si>
  <si>
    <t>Introduction to engineering principles related to the environment, with emphasis on causes of problems and technologies for abatement. Topics include air and water pollution, global climate change, hazardous chemical and emerging environmental technologies.</t>
  </si>
  <si>
    <t>School</t>
  </si>
  <si>
    <t>Rank 3</t>
  </si>
  <si>
    <t>Rank 2-3</t>
  </si>
  <si>
    <t>All place</t>
  </si>
  <si>
    <t>R2-3 place</t>
  </si>
  <si>
    <t>R3 place</t>
  </si>
  <si>
    <t xml:space="preserve">Environmental Management and Strategic Advantage </t>
  </si>
  <si>
    <t xml:space="preserve">MGT 529 </t>
  </si>
  <si>
    <t xml:space="preserve">Global Social Entrepreneurship </t>
  </si>
  <si>
    <t xml:space="preserve">The Global Social Entrepreneurship course is designed to introduce students to practical issues faced by mission-driven social entrepreneurs, linking teams of Yale students with social enterprises (SEs) based in India. Student/SE teams will work together to address specific management challenges faced by the SEs, culminating with the development of a set of recommendations (operational, financial or otherwise) to meet the identified challenges. The curriculum will weave together two main strands: one related to the practical, hands-on nature of the course (e.g., consulting, business planning, making presentations) and the other related to the academic and thematic content (e.g., understanding social enterprise, the role of civil society in India, how the core disciplines of finance, data analysis, etc., relate to social enterprises). </t>
  </si>
  <si>
    <t>Workshop in Environment &amp; Natural Resources</t>
  </si>
  <si>
    <t>Total # counts</t>
  </si>
  <si>
    <t>Total</t>
  </si>
  <si>
    <t>Total B+E</t>
  </si>
  <si>
    <t>Total Science</t>
  </si>
  <si>
    <t>Tool-based courses</t>
  </si>
  <si>
    <t>Grad.</t>
  </si>
  <si>
    <t>Undergrad</t>
  </si>
  <si>
    <t>OTHER</t>
  </si>
  <si>
    <t>5 top schools + others: course counts by area</t>
  </si>
  <si>
    <t>Value 3</t>
  </si>
  <si>
    <t>Course Counts by the Business &amp; Environment Area: top 5 and other (Note: courses ranked 3 significance)</t>
  </si>
  <si>
    <t>5 top schools + others: course counts by area, rank 3 only</t>
  </si>
  <si>
    <t>Corpor. Envir Strategy</t>
  </si>
  <si>
    <t>Soc/Envir. Ventures</t>
  </si>
  <si>
    <t>Envir Finance</t>
  </si>
  <si>
    <t>Envir Justice &amp; Ethics</t>
  </si>
  <si>
    <t>Envir Policy &amp; Law</t>
  </si>
  <si>
    <t>Envir Economics</t>
  </si>
  <si>
    <t>EH&amp;S</t>
  </si>
  <si>
    <t>Natural Res Managmnt</t>
  </si>
  <si>
    <t>Internat Development</t>
  </si>
  <si>
    <t>Envir Chemistry</t>
  </si>
  <si>
    <t>Cross-listed</t>
  </si>
  <si>
    <t>All course counts rank 1-3</t>
  </si>
  <si>
    <t>All classes, %</t>
  </si>
  <si>
    <t>Rank 2-3, % of all</t>
  </si>
  <si>
    <t>Rank 3, % of all</t>
  </si>
  <si>
    <t>Prof</t>
  </si>
  <si>
    <t>Title</t>
  </si>
  <si>
    <t>2008-2009</t>
  </si>
  <si>
    <t>2009-2010</t>
  </si>
  <si>
    <t xml:space="preserve">Bid </t>
  </si>
  <si>
    <t>-</t>
  </si>
  <si>
    <t>Permission only</t>
  </si>
  <si>
    <t>Increase in bid numbers</t>
  </si>
  <si>
    <t>N/A</t>
  </si>
  <si>
    <t>Afr.-Afr./Amer. studies</t>
  </si>
  <si>
    <t>Policy expertise (compliance, 
res. management)</t>
  </si>
  <si>
    <t>This course will explore some of the ways in which the interaction of people and their environments has influenced or shaped the course of history in Africa.  The environment will be viewed as something more than a natural phenomenon: it is also a socially constructed phenomenon insofar as people interpret, alter, and even destroy their habitat.  The ways people perceive of and interact with their environment are influenced by a variety of factors including cultural values, economic interests, and power relationships.  In this way environmental history meshes with cultural history, economic history, social history, and political history</t>
  </si>
  <si>
    <t>Financing Green Technologies</t>
  </si>
  <si>
    <t>F&amp;ES 836 01 / HIST 965 01 / PLSC 779 01</t>
  </si>
  <si>
    <t>Rosner</t>
  </si>
  <si>
    <t>CENG 411</t>
  </si>
  <si>
    <t>Separation and Purification Processes</t>
  </si>
  <si>
    <t xml:space="preserve">CENG 300a or 315b </t>
  </si>
  <si>
    <t xml:space="preserve">ENAS611 </t>
  </si>
  <si>
    <t>Theory and design of separation processes for multicomponent and/or multiphase mixtures via equilibrium and rate phenomena. Topics include single-stage and cascaded absorption, adsorption, extraction, distillation, partial condensation, filtration, and crystallization processes. Applications to environmental engineering (air and water pollution control), biomedical-chemical engineering (artificial organs, drug purification), food processing, and semiconductor processing.</t>
  </si>
  <si>
    <t>F&amp;ES 515</t>
  </si>
  <si>
    <t>Physical Science for Environmental Problems</t>
  </si>
  <si>
    <t>F&amp;ES 505</t>
  </si>
  <si>
    <t>This foundations course seeks to provide students with the physical science foundation that they need in order to understand and manage environmental problems. The course covers basic concepts from the following disciplines: climatology, environmental chemistry, geology, hydrology, meteorology, oceanography, and soil science. Focus is on understanding both the underlying concepts and how they apply to real-world problems. Three hours lecture, weekly problem sets.</t>
  </si>
  <si>
    <t>From Fall 2010</t>
  </si>
  <si>
    <t>Politics and Practice of Environmental and Resource Policy</t>
  </si>
  <si>
    <t xml:space="preserve">F&amp;ES 525 </t>
  </si>
  <si>
    <t xml:space="preserve">The purpose of this foundation course is to provide a survey of public policy theory and practice, as related to development and implementation of environmental and natural resource policy. The course examines theories of policy formation; the intricacies of the policy-making process; the history of natural resource and environmental policy; and applied techniques in policy analysis and evaluation. The course has been specifically designed to provide both a theoretical and practical introduction to natural resource and environmental public policy. Upon completion of the course, the student will understand the political environment within which public policy is formulated, including the role of ideas, science, and learning. Students also will be able to demonstrate basic technical competence in environmental public policy development and the implementation process. </t>
  </si>
  <si>
    <r>
      <t xml:space="preserve">BUSINESS-ENVIRONMENT RANKING      </t>
    </r>
    <r>
      <rPr>
        <sz val="8"/>
        <color indexed="8"/>
        <rFont val="Calibri"/>
        <family val="2"/>
      </rPr>
      <t>(1-3)</t>
    </r>
  </si>
  <si>
    <t>Environmental Strategy</t>
  </si>
  <si>
    <t>Gentry, Anisfeld, Raymond, Zimmerman</t>
  </si>
  <si>
    <t xml:space="preserve">F&amp;ES 610 </t>
  </si>
  <si>
    <t>Science to Solutions: How Should We Manage Water?</t>
  </si>
  <si>
    <t xml:space="preserve">While there are many different approaches to understanding and managing environmental problems, most involve three major steps: (1) describing/understanding the nature of the problem and its causes; (2) using technical, policy, social, and other management tools/processes to help address it; while (3) recognizing/making the value judgments embedded in each (what problems/data are "important"? what solutions are "best"?). The purpose of this introductory course is to illustrate how an M.E.M. student might integrate scientific understanding with management choices as part of an effort to address any particular environmental issue. Ideally, it should help students choose areas of specialization, as well as improve their ability to engage in integrative problem solving—both in their final term and after they graduate. The class is focused on water issues, but the integrative structure of the class could be used on other problems as well. </t>
  </si>
  <si>
    <t>F&amp;ES 732</t>
  </si>
  <si>
    <t>F&amp;ES 814</t>
  </si>
  <si>
    <t>F&amp;ES 824</t>
  </si>
  <si>
    <t>Environmental Law and Policy</t>
  </si>
  <si>
    <t>Introduction to the legal requirements and policy underpinnings of the basic U.S. environmental laws, including the Clean Water Act, Clean Air Act, and various statutes governing waste materials and toxic substances. This course examines and evaluates current approaches to pollution control and resource management as well as the "next generation" of regulatory strategies, including information disclosure requirements, market mechanisms, and incentives to drive innovation. Mechanisms for addressing environmental issues at the local, regional, and global levels are also considered.</t>
  </si>
  <si>
    <t xml:space="preserve">F&amp;ES 848 </t>
  </si>
  <si>
    <t>Kennedy, Esty</t>
  </si>
  <si>
    <t xml:space="preserve">ANTH517 </t>
  </si>
  <si>
    <t>F&amp;ES 838</t>
  </si>
  <si>
    <t>Producing and Consuming Nature</t>
  </si>
  <si>
    <t>This intermediate to advanced seminar brings together readings in social theory with ethnographic case studies to examine the changing means by which elements of the natural world are drawn into circuits of production, exchange, and consumption. How do environmental goods become conceptualized as natural resources for human ends, and, more specifically, remade into commodities that circulate in global markets? The course explores efforts to rethink classical theories of economic processes in light of shifting forms of natural resource transactions and use. Topics examined include agrarian and fisheries transformations; the rise of green consumerism and product certification regimes; and the market valuation of ecosystem goods and services. Course texts are drawn from anthropology and related disciplines, like cultural geography, sociology, and science and technology studies.</t>
  </si>
  <si>
    <t>ANTH 597</t>
  </si>
  <si>
    <t>F&amp;ES 839</t>
  </si>
  <si>
    <t>This course is designed to provide M.E.M., M.E.Sc., and doctoral students with the opportunity to master the essential social science literature on sustainable development and conservation. Social science makes two contributions to the practice of development and conservation. First, it provides ways of thinking about, researching, and working with social groupings—including rural households and communities, but also development and conservation institutions, states, and NGOs. This aspect includes relations between groups at all these levels, and the role of power in these relations. Second, social science tackles the analysis of the knowledge systems that implicitly shape development and conservation policy and impinge on practice. In other words, we analyze communities but also our own ideas of what communities are. We also examine our ideas about sustainable development and conservation. Finally, we attempt to look at development and the institutions that implement it from the perspective of communities. The emphasis throughout is on how these things shape the practice of sustainable development and conservation. Case studies used in the course have been balanced as much as possible between Southeast Asia, South Asia, Africa, and Latin America; most are rural and third world (largely due to the development and conservation focus). The course includes readings from all non-economic social sciences. Readings are equally focused on conservation and development. The goal of the course is to stimulate students to apply informed and critical thinking (which means not criticizing others but questioning our own underlying assumptions) to whatever roles they may come to play in sustainable development and conservation, in order to move toward more environmentally and socially sustainable projects and policies. The course is also designed to help students shape future research by learning to ask questions that build on but are unanswered by the social science theory of conservation and development.</t>
  </si>
  <si>
    <t>F&amp;ES 842</t>
  </si>
  <si>
    <t>F&amp;ES 851</t>
  </si>
  <si>
    <t>Lee,Geballe</t>
  </si>
  <si>
    <t xml:space="preserve">REL634 </t>
  </si>
  <si>
    <t xml:space="preserve">Environmental Theologies </t>
  </si>
  <si>
    <t xml:space="preserve">This course interprets theological responses to environmental problems and examines major tensions in the relation of Christianity and ecology. Reading theological strategies of environmental response—including ecojustice, stewardship, creation spirituality, and ecofeminism—the seminar examines how communities rethink their traditions as they interpret and address environmental problems. Because those theological communities include Catholic (including magisterial and liberationist), Protestant (including evangelical and anabaptist), and Eastern Orthodox, the course develops a cohesive overview of Christianity's changing relationship to its ecological context. </t>
  </si>
  <si>
    <t xml:space="preserve">F&amp;ES 858 </t>
  </si>
  <si>
    <t>F&amp;ES  877</t>
  </si>
  <si>
    <t>F&amp;ES 886</t>
  </si>
  <si>
    <t xml:space="preserve">ENVE443/ENAS443/F&amp;ES380/MGT564 </t>
  </si>
  <si>
    <t xml:space="preserve">Lamoreaux </t>
  </si>
  <si>
    <t>G&amp;G 342</t>
  </si>
  <si>
    <t xml:space="preserve">Introduction to Earth and Environmental Physics </t>
  </si>
  <si>
    <t xml:space="preserve">A broad introduction to the physical, chemical, and biological processes that affect the climate and other features of the Earth. Emphasis on anthropogenic activity that affects the environment; attention to issues of energy extraction from natural resources and subsequent waste disposal. </t>
  </si>
  <si>
    <t xml:space="preserve">PHYS342 </t>
  </si>
  <si>
    <t>McGovern, Scott, Wood</t>
  </si>
  <si>
    <t>An interdisciplinary examination of agrarian societies, contemporary and historical, Western and non-Western. Major analytical perspectives from anthropology, economics, history, political science, and environmental studies are used to develop a meaning-centered and historically grounded account of the transformations of rural society.</t>
  </si>
  <si>
    <t xml:space="preserve">EVST252, F&amp;ES895 </t>
  </si>
  <si>
    <t>Leverett</t>
  </si>
  <si>
    <t>INTS 255</t>
  </si>
  <si>
    <t>Energy, International Security, and the Global Economy</t>
  </si>
  <si>
    <t>Economic, political, and strategic implications of ongoing trends in international energy markets, particularly those for crude oil and natural gas.</t>
  </si>
  <si>
    <t>History of the anthropological study of the environment: nature-culture dichotomy, ecology and social organization, methodological debates, politics of the environment, and knowing the environment.</t>
  </si>
  <si>
    <t xml:space="preserve">F&amp;ES 384 </t>
  </si>
  <si>
    <t>ANTH 382/EVST 345</t>
  </si>
  <si>
    <t>ANTH 473</t>
  </si>
  <si>
    <t>ELC588/ARCG773/ARCG473/EVST473/ANTH773/NELC188</t>
  </si>
  <si>
    <t>This course content emphasizes the technology, use and impacts of energy on the environment, climate, security and economy. Basic engineering principles are necessary for the study of these topics in a quantitative manner and will be taught throughout the semester. In addition, we will
be discussing policy and ethical issued related to energy use.  By the end of this course, students will be able to :
1. Grasp the scientific basis for the impact of society’s energy use on the environment and our climate.
2. Understand the options available for alternative energy and know their strengths/weaknesses.
3. Become familiar with specific energy facilities at Yale (field trips). 
4. Approach energy problems systematically with basic engineering knowledge.  
Intended for non–science majors with strong backgrounds in math and science.</t>
  </si>
  <si>
    <t>Global Environmental History</t>
  </si>
  <si>
    <t>ARCG 226</t>
  </si>
  <si>
    <t>The dynamic relationship between environmental and social forces from the Pleistocene to the present. Pleistocene extinctions; transition from hunting and gathering to agriculture; origins of cities, states, and civilization in Mesopotamia and Egypt; adaptations and collapses of early Old and New World civilizations in the face of environmental disasters; the destruction and reconstruction of the New World by the Old.</t>
  </si>
  <si>
    <t xml:space="preserve">EVST226 </t>
  </si>
  <si>
    <t>Peccia, Mitch</t>
  </si>
  <si>
    <t>Tully</t>
  </si>
  <si>
    <t>CHEM 103</t>
  </si>
  <si>
    <t>Chemistry, Energy, and the Environment</t>
  </si>
  <si>
    <t>Introduction to principles that govern chemical processes in everyday life, with emphasis on the production and use of energy. Exploration of constraints imposed by the laws of thermodynamics and the underlying nature of chemical reactions, as well as associated direct and environmental costs.</t>
  </si>
  <si>
    <t>Ecosystems Pattern and Processes</t>
  </si>
  <si>
    <t>Collective Action &amp; Social Movements</t>
  </si>
  <si>
    <t>LAST 412/AFST356/INTS326</t>
  </si>
  <si>
    <t>PLSC 200</t>
  </si>
  <si>
    <t>PLSC818/EVST355</t>
  </si>
  <si>
    <t xml:space="preserve">REL 931 </t>
  </si>
  <si>
    <t>American Environmental History &amp; Values</t>
  </si>
  <si>
    <t>Kingsley, Scheve</t>
  </si>
  <si>
    <t>ENAS 445</t>
  </si>
  <si>
    <t xml:space="preserve">Emerging Markets for Ecosystem Services </t>
  </si>
  <si>
    <t>Sethi</t>
  </si>
  <si>
    <t>EP&amp;E 369</t>
  </si>
  <si>
    <t>Ethics and American Business</t>
  </si>
  <si>
    <t>PLSC246</t>
  </si>
  <si>
    <t>Reuning‑Scherer</t>
  </si>
  <si>
    <t>STAT 101</t>
  </si>
  <si>
    <t>Introduction to Statistics: Life Sciences</t>
  </si>
  <si>
    <t>Statistical and probabilistic analysis of biological problems presented with a unified foundation in basic statistical theory. Problems are drawn from genetics, ecology, epidemiology, and bioinformatics.</t>
  </si>
  <si>
    <t>ENVE 448</t>
  </si>
  <si>
    <t>Mitch, Oron</t>
  </si>
  <si>
    <t>ENVE 120a</t>
  </si>
  <si>
    <t>ENVE 377</t>
  </si>
  <si>
    <t xml:space="preserve">CENG 377 </t>
  </si>
  <si>
    <t xml:space="preserve">EVST340/F&amp;ES804/ECON330 </t>
  </si>
  <si>
    <t>Karlan, Qian</t>
  </si>
  <si>
    <t>1. Quantitative Analysis</t>
  </si>
  <si>
    <t>2. Understanding of Social Sciences and Processes</t>
  </si>
  <si>
    <t xml:space="preserve">3. Systems Thinking </t>
  </si>
  <si>
    <t xml:space="preserve">4. Scientific and Disciplinary Knowledge  </t>
  </si>
  <si>
    <t xml:space="preserve">5. Understanding Clean Technology </t>
  </si>
  <si>
    <t xml:space="preserve">6. Understanding Institutions and Policy  </t>
  </si>
  <si>
    <t xml:space="preserve">7. Project &amp; Business Management </t>
  </si>
  <si>
    <t xml:space="preserve">10. Entrepreneurship and Innovation </t>
  </si>
  <si>
    <t xml:space="preserve">11. Managing Groups and Organizations </t>
  </si>
  <si>
    <t xml:space="preserve">12. Interpersonal Skills </t>
  </si>
  <si>
    <t>13. Communication</t>
  </si>
  <si>
    <t>14. Critical Thinking and Problem Analysis</t>
  </si>
  <si>
    <t>Set of Competencies Based on Yale FES Survey</t>
  </si>
  <si>
    <t>Results of Yale FES Alumni Survey (top skills required for environmental professionals)</t>
  </si>
  <si>
    <t xml:space="preserve">8. Finance </t>
  </si>
  <si>
    <t>9. Strategy</t>
  </si>
  <si>
    <t xml:space="preserve"># of all courses </t>
  </si>
  <si>
    <t># courses Rank 1</t>
  </si>
  <si>
    <t># courses Rank 2</t>
  </si>
  <si>
    <t># courses Rank 3</t>
  </si>
  <si>
    <t>Skill count</t>
  </si>
  <si>
    <t xml:space="preserve">Skill count % </t>
  </si>
  <si>
    <t xml:space="preserve">6. Understanding Institutions, Law and Policy  </t>
  </si>
  <si>
    <t>FES Survey</t>
  </si>
  <si>
    <t>Skill categories</t>
  </si>
  <si>
    <t>I suggest to rearrange the 11-13 slightly to make them more clear cut: 11 is about managing groups/HR issues, 12 - development of personal traits,</t>
  </si>
  <si>
    <t>11 will be: Managing Groups and Organizations (Working effectively with and managing stakeholders, groups, clients, customers, internal teams).</t>
  </si>
  <si>
    <t>12: Leadership and Personal Skills (Leadership, authenticity, persuasive ability and influence, self reflection, people skills, diversity, multicultural awareness, flexibility, conflict resolution, negotiation, change management)</t>
  </si>
  <si>
    <t>13: Communication (verbal and written communication, presentation, translating complex ideas into an understandable form, coaching/teaching)</t>
  </si>
  <si>
    <t>Financial analysis/ROI</t>
  </si>
  <si>
    <t>Strategic planning</t>
  </si>
  <si>
    <t>Vendor management</t>
  </si>
  <si>
    <t>Sustainability accounting and reporting</t>
  </si>
  <si>
    <t>Auditing (GHG, sustainability)</t>
  </si>
  <si>
    <t>Scientific expertise (chemistry, climate)</t>
  </si>
  <si>
    <t>Policy expertise (compliance,  res. management)</t>
  </si>
  <si>
    <t>Technology and/or engineering expertise</t>
  </si>
  <si>
    <t>Ranked top 3 skills, % (n=299)</t>
  </si>
  <si>
    <t>Soft skills needed for success now</t>
  </si>
  <si>
    <t>Hard skills needed for success now</t>
  </si>
  <si>
    <t>Ranked top 3 skills, % (n=369)</t>
  </si>
  <si>
    <t># of respondents answered (n)</t>
  </si>
  <si>
    <t># Respondents (out of n) who placed skill in top 3</t>
  </si>
  <si>
    <t>Skill categories (hard skills are highlighted)</t>
  </si>
  <si>
    <t>Hard skills priority counts total</t>
  </si>
  <si>
    <t>Soft skills priority counts total</t>
  </si>
  <si>
    <t>2010 Competence Survey Report, ISSP</t>
  </si>
  <si>
    <t xml:space="preserve"># respondents out of n who prioritized this FES Survey skill category </t>
  </si>
  <si>
    <t>Total priority counts</t>
  </si>
  <si>
    <t>% of respondents who prioritized this FES Survey skill category</t>
  </si>
  <si>
    <t>FES Survey skills vs. 2010 Report: converting results of the 2010 Competence Survey Report into FES Survey classification</t>
  </si>
  <si>
    <t>Skill Frequencies from Yale Course Analysis</t>
  </si>
  <si>
    <t>Skill Categories</t>
  </si>
  <si>
    <t>Review economic studies in the environment and natural resources. Areas of concern will be global lelnvironmental issues, conceptual issues in environmental economics, energy economics, and mathematical modeling of this area.</t>
  </si>
  <si>
    <t>How is pursuit of profit reconciled with non-financial goals?  This class addresses the question by focusing on management of social ventures -- enterprises equally concerned with profitability and social objectives -- as they address specific challenges:  How does Greyston Bakery hire and train “undesirable” employees?  How does Deja Shoe’s decision to utilize recycled materials affect the manufacturing process?  Can Phoenix Organic achieve growth potential and remain true to principles?  Such cases of companies seeking to create social good at different steps of the “value chain” reveal how the complexities of reconciling competing goals are rarely confined to one aspect of a business operation.  The interaction of core management tasks is highlighted, making this a course in general management, addressing key issues such as performance measurement, finance, operations and marketing, along with issues particular to social ventures.</t>
  </si>
  <si>
    <t>An introduction to energy and environmental issues faced by the discipline of architecture. Global environmental issues, basic principles of energy generation and energy use, and fundamental climatic precursors and patterns. The complexity of developing solutions that address a wide range of local and global concerns.</t>
  </si>
  <si>
    <t>Constraints on permanent human settlements caused by limited availability of reliable water sources. Environmental problems that arise when either the quality of naturally occurring water is deficient, or its quantity is excessive (floods) or insufficient (droughts). The designing of modifications to supplement the natural hydrologic cycle at a specific location.</t>
  </si>
  <si>
    <t xml:space="preserve">Analysis of the transport and reactions of chemical species as applied to problems in chemical, biochemical, and environmental systems. Emphasis on the interpretation of laboratory experiments, mathematical modeling, and dimensional analysis. </t>
  </si>
  <si>
    <t>Ethical norms and values as they are incorporated in business decisions in the United States. Corporate culture and reward systems that influence ethical concerns; corporate responses to societal pressures to protect  individuals and groups; emerging trends in corporate social responsibility, shareholder activism, and civil society organizations; changes in core concepts of economic efficiency and profitability.</t>
  </si>
  <si>
    <t>Environmental Transport Processes</t>
  </si>
  <si>
    <t>Fundamental aspects of microbiology and biochemistry, including stoichiometry, kinetics, and energetics of biochemical reactions, microbial growth, and microbial ecology as they pertain to biological processes for the transformation of environmental contaminants; principles for analysis and design of aerobic and anaerobic processes, including suspended- and attached-growth systems, for treatment of conventional and hazardous pollutants in municipal and industrial wastewaters and in groundwater.</t>
  </si>
  <si>
    <t>This course will explore legal and policy developments pertaining to climate change and the regulation of greenhouse gas emissions. Approaches considered will range in scale (state, regional, national, international), temporal scope (incremental measures, multi-decade emissions goals, constitutional amendments), policy orientation (voluntary initiatives, disclosures rules, subsidization, tort litigation, command-and-control regulation, cap-and-trade schemes, emissions taxes), regulatory target (industry and manufacturing, commercial and retail firms, financial and insurance companies, consumers and workers), and regulatory objective (stabilization of greenhouse gas concentrations, reduction of emissions levels or intensity, energy security, optimal balancing of costs and benefits, adaption to unavoidable impacts).</t>
  </si>
  <si>
    <t xml:space="preserve">This class will address how environmental issues are part of U.S. politics. Students can focus on political situations in other countries. We will review the current state of the environment in political discourse and what obstacles exist to increasing its political importance. This course has student groups focus on particular national and local analyses. </t>
  </si>
  <si>
    <t xml:space="preserve">A major goal of the Obama Administration, as well as many other groups and authors, is to wean the U.S. from its dependence on fossil fuels by promoting energy efficiency and renewable sources of energy. This research seminar considers what legal policies and instruments may be available to accomplish these policy goals. The course will begin with the arguments that a transformation of the U.S. energy system is needed for environmental as well as other reasons. Other cross-cutting goals such as national security, economic development and decreasing dependence on foreign sources of energy will also be considered. Next the course will explore past attempts to develop and implement a national energy policy and to promote various technologies. Then we will consider various existing policies and subsidies that discourage efficiency and renewable energy. Next we will consider successful models, including Germany and California, and various proposals and suggestions to promote energy efficiency and green energy. Supervised Analytic Writing or Substantial paper credit available. Paper required. </t>
  </si>
  <si>
    <t xml:space="preserve">This is a research course/seminar focused on the foundations of natural resources policy and management and is designed for students in any subfield of environmental studies or other disciplines. The seminar’s purpose is to help you improve your skills in thinking more effectively and acting more responsibly in complex policy cases. The seminar will explore comprehensive and integrated methods for thinking about problems in natural resources policy and management and proposing solutions to them. Once students gain familiarity with the core methods of problem identification, clarification, and resolution, they will apply them to particular issues in natural resources policy and management. Each student, alone or in collaboration, will be responsible for researching a particular problem. Each student will circulate a draft of his or her paper to other seminar participants and will lecture on and lead discussion of it in a class session. It is hoped that papers of sufficient quality will be published. The seminar is designed to lay the foundation for all your future policy work and for all other policy courses. </t>
  </si>
  <si>
    <t xml:space="preserve">The purpose of this seminar is to review key works in political science and related disciplines on institutions to assess their direct or indirect implications for environmental governance, stewardship, and effectiveness. The course assesses perspectives from rational choice, historical, and sociological institutionalism that have permeated comparative public scholarship; the treatment of institutions with international relations literature; the attention that common property scholars have placed on understanding the development of local institutions; and the emergence and proliferation of private governance institutions. We will pay particular attention to two institutional scholars who have made significant and sustained contributions: Oran Young and Elinor Ostrom. We will explore the implications of their assumptions and theoretical underpinnings for shaping how practitioners view, solve, and promote, environmental problems. To accomplish this, the second half will assess how each of these scholars views key environmental challenges. </t>
  </si>
  <si>
    <t>Blake, Skinner</t>
  </si>
  <si>
    <t>EVST 261</t>
  </si>
  <si>
    <t>Minerals and Human Health</t>
  </si>
  <si>
    <t>Study of the interrelationships between Earth materials and processes and personal and public health. The transposition from the environment of the chemical elements essential for life.</t>
  </si>
  <si>
    <t>The isotopic composition of atmospheric gases. Focus on carbon dioxide and the use of its isotopes to balance the atmospheric carbon budget. Discussion of other gases associated with the global carbon cycle.</t>
  </si>
  <si>
    <t xml:space="preserve">  Intellectual Property</t>
  </si>
  <si>
    <t>Chabot</t>
  </si>
  <si>
    <t>Science and technology of basic building materials studied together with historic and current design applications. Skills and processes required to create, shape, and connect materials experienced through hands-on projects. Technical notebooks, drawings, design and build exercises, and projects required. Enrollment limited to 20.</t>
  </si>
  <si>
    <t>Democracy, liberty, and the sustainable use of natural resources. Concepts include institutional analysis, democratic consent, property rights, market failure, and common pool resources. Topics of policy substance are related to human use of the environment and to U.S. and global political institutions.</t>
  </si>
  <si>
    <t>The history of finance and capital markets from the Mesopotamian origins of financial instruments, via the mathematical development of compound interest calculations, to modern times. Focus on innovations in the technology of finance.</t>
  </si>
  <si>
    <t>Ethical, political, and economic aspects of a number of contemporary issues in biomedical ethics. Topics include abortion, assisted reproduction, end-of-life care, research on human subjects, and stem cell research.</t>
  </si>
  <si>
    <t>Survey of photovoltaic energy devices, systems, and applications, including review of optical and electrical properties of semiconductors. Topics include solar radiation, solar cell design, performance analysis, solar cell materials, device processing, photovoltaic systems, and economic analysis.</t>
  </si>
  <si>
    <t>Operations and quantitative foundation for decision-making</t>
  </si>
  <si>
    <t>Exploration of how one writes an environmental history of the Middle East. Consideration of what environmental history is; questions of method, sources, and historiography. Topics include irrigation, forestry, agriculture, animal technology, gender and nature, gardens, colonialism, environmentalism, and disease.</t>
  </si>
  <si>
    <t>Traditional questions about state conduct and international relations; more recent questions about intergovernmental agencies, nongovernmental organizations, and the design of global institutional arrangements.</t>
  </si>
  <si>
    <t>Rubin, Harwell</t>
  </si>
  <si>
    <t>The development of the human rights regime from the first appearance of the laws of war in Grotius, through the Hague conventions of 1899 and 1907, the Nuremberg Tribunal, the Universal Declaration of Human Rights, and the Covenant on Civil and Political Rights. Formation of the Yugoslav and Rwanda Tribunals; creation of the International Criminal Court. The politics of human rights law; effects of the Cold War on the human rights regime; the rise of the NGO community; the role of the great power states.</t>
  </si>
  <si>
    <t>% of course counts out of total # of courses</t>
  </si>
  <si>
    <t># of course counts</t>
  </si>
  <si>
    <t>% of course counts for each skill out of total # of skill counts</t>
  </si>
  <si>
    <t>- # of all courses</t>
  </si>
  <si>
    <t>- # of courses with rank 1</t>
  </si>
  <si>
    <t>- # of courses with rank 2</t>
  </si>
  <si>
    <t>- # of courses with rank 3</t>
  </si>
  <si>
    <t>- # of all skill counts</t>
  </si>
  <si>
    <t>% (all respondents)</t>
  </si>
  <si>
    <t>% (Academia)</t>
  </si>
  <si>
    <t>% (NGO)</t>
  </si>
  <si>
    <t>% (Private)</t>
  </si>
  <si>
    <t>% (Government)</t>
  </si>
  <si>
    <t>% of skill priority counts out of  total # of priority counts</t>
  </si>
  <si>
    <t>2007 Becoming a Sustainability
Leader, IISD</t>
  </si>
  <si>
    <t xml:space="preserve">2010 ISSP Sust. Professional Survey Report </t>
  </si>
</sst>
</file>

<file path=xl/styles.xml><?xml version="1.0" encoding="utf-8"?>
<styleSheet xmlns="http://schemas.openxmlformats.org/spreadsheetml/2006/main">
  <numFmts count="1">
    <numFmt numFmtId="164" formatCode="0.000"/>
  </numFmts>
  <fonts count="70">
    <font>
      <sz val="11"/>
      <color theme="1"/>
      <name val="Calibri"/>
      <family val="2"/>
      <scheme val="minor"/>
    </font>
    <font>
      <sz val="10"/>
      <name val="Arial"/>
      <family val="2"/>
    </font>
    <font>
      <sz val="11"/>
      <color indexed="8"/>
      <name val="Calibri"/>
      <family val="2"/>
    </font>
    <font>
      <sz val="8"/>
      <color indexed="8"/>
      <name val="Calibri"/>
      <family val="2"/>
    </font>
    <font>
      <b/>
      <sz val="8"/>
      <color indexed="8"/>
      <name val="Calibri"/>
      <family val="2"/>
    </font>
    <font>
      <sz val="8"/>
      <name val="Calibri"/>
      <family val="2"/>
    </font>
    <font>
      <b/>
      <sz val="8"/>
      <color indexed="9"/>
      <name val="Calibri"/>
      <family val="2"/>
    </font>
    <font>
      <sz val="9"/>
      <color indexed="81"/>
      <name val="Tahoma"/>
      <family val="2"/>
    </font>
    <font>
      <b/>
      <sz val="9"/>
      <color indexed="81"/>
      <name val="Tahoma"/>
      <family val="2"/>
    </font>
    <font>
      <b/>
      <sz val="8"/>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indexed="8"/>
      <name val="Calibri"/>
      <family val="2"/>
    </font>
    <font>
      <sz val="8"/>
      <color rgb="FF000000"/>
      <name val="Calibri"/>
      <family val="2"/>
    </font>
    <font>
      <u/>
      <sz val="13.2"/>
      <color theme="10"/>
      <name val="Calibri"/>
      <family val="2"/>
    </font>
    <font>
      <sz val="11"/>
      <color theme="1"/>
      <name val="Calibri"/>
      <family val="2"/>
    </font>
    <font>
      <sz val="8"/>
      <color theme="1"/>
      <name val="Calibri"/>
      <family val="2"/>
    </font>
    <font>
      <sz val="9"/>
      <color theme="1"/>
      <name val="Calibri"/>
      <family val="2"/>
    </font>
    <font>
      <b/>
      <sz val="11"/>
      <color indexed="8"/>
      <name val="Calibri"/>
      <family val="2"/>
    </font>
    <font>
      <b/>
      <sz val="18"/>
      <color rgb="FF000000"/>
      <name val="Calibri"/>
      <family val="2"/>
      <scheme val="minor"/>
    </font>
    <font>
      <b/>
      <sz val="13"/>
      <color theme="1"/>
      <name val="Calibri"/>
      <family val="2"/>
      <scheme val="minor"/>
    </font>
    <font>
      <b/>
      <sz val="14"/>
      <color theme="1"/>
      <name val="Calibri"/>
      <family val="2"/>
      <scheme val="minor"/>
    </font>
    <font>
      <sz val="15"/>
      <color rgb="FFFF0000"/>
      <name val="Calibri"/>
      <family val="2"/>
      <scheme val="minor"/>
    </font>
    <font>
      <sz val="8"/>
      <color indexed="81"/>
      <name val="Tahoma"/>
      <family val="2"/>
    </font>
    <font>
      <b/>
      <sz val="8"/>
      <color indexed="81"/>
      <name val="Tahoma"/>
      <family val="2"/>
    </font>
    <font>
      <b/>
      <sz val="14"/>
      <color rgb="FFFF0000"/>
      <name val="Calibri"/>
      <family val="2"/>
    </font>
    <font>
      <sz val="15"/>
      <name val="Calibri"/>
      <family val="2"/>
    </font>
    <font>
      <b/>
      <sz val="11"/>
      <color rgb="FFFF0000"/>
      <name val="Calibri"/>
      <family val="2"/>
      <scheme val="minor"/>
    </font>
    <font>
      <b/>
      <sz val="10"/>
      <color rgb="FFFF0000"/>
      <name val="Calibri"/>
      <family val="2"/>
    </font>
    <font>
      <sz val="10"/>
      <color theme="1"/>
      <name val="Calibri"/>
      <family val="2"/>
      <scheme val="minor"/>
    </font>
    <font>
      <sz val="8"/>
      <color theme="1"/>
      <name val="Calibri"/>
      <family val="2"/>
      <scheme val="minor"/>
    </font>
    <font>
      <sz val="10"/>
      <color indexed="8"/>
      <name val="Calibri"/>
      <family val="2"/>
    </font>
    <font>
      <sz val="12"/>
      <color rgb="FFFF0000"/>
      <name val="Calibri"/>
      <family val="2"/>
    </font>
    <font>
      <sz val="8"/>
      <color indexed="8"/>
      <name val="Calibri"/>
      <family val="2"/>
    </font>
    <font>
      <sz val="8"/>
      <color theme="1"/>
      <name val="Calibri"/>
      <family val="2"/>
    </font>
    <font>
      <b/>
      <sz val="25"/>
      <color theme="1"/>
      <name val="Calibri"/>
      <family val="2"/>
      <scheme val="minor"/>
    </font>
    <font>
      <sz val="13"/>
      <color theme="1"/>
      <name val="Calibri"/>
      <family val="2"/>
      <scheme val="minor"/>
    </font>
    <font>
      <sz val="13"/>
      <color rgb="FF000000"/>
      <name val="Calibri"/>
      <family val="2"/>
      <scheme val="minor"/>
    </font>
    <font>
      <b/>
      <sz val="10"/>
      <color rgb="FF000000"/>
      <name val="Garamond"/>
      <family val="1"/>
    </font>
    <font>
      <b/>
      <u/>
      <sz val="20"/>
      <color theme="1"/>
      <name val="Calibri"/>
      <family val="2"/>
      <scheme val="minor"/>
    </font>
    <font>
      <b/>
      <sz val="12"/>
      <color rgb="FF000000"/>
      <name val="Calibri"/>
      <family val="2"/>
      <scheme val="minor"/>
    </font>
    <font>
      <sz val="12"/>
      <color rgb="FF000000"/>
      <name val="Calibri"/>
      <family val="2"/>
      <scheme val="minor"/>
    </font>
    <font>
      <b/>
      <sz val="12"/>
      <color indexed="8"/>
      <name val="Calibri"/>
      <family val="2"/>
    </font>
    <font>
      <sz val="8"/>
      <color indexed="8"/>
      <name val="Calibri"/>
      <family val="2"/>
    </font>
    <font>
      <sz val="8"/>
      <color theme="1"/>
      <name val="Calibri"/>
      <family val="2"/>
    </font>
    <font>
      <b/>
      <sz val="10"/>
      <color indexed="8"/>
      <name val="Calibri"/>
      <family val="2"/>
    </font>
    <font>
      <sz val="10"/>
      <color indexed="81"/>
      <name val="Tahoma"/>
      <family val="2"/>
      <charset val="204"/>
    </font>
    <font>
      <b/>
      <sz val="12"/>
      <color theme="1"/>
      <name val="Calibri"/>
      <family val="2"/>
      <scheme val="minor"/>
    </font>
    <font>
      <sz val="10"/>
      <color indexed="81"/>
      <name val="Tahoma"/>
      <family val="2"/>
    </font>
    <font>
      <sz val="12"/>
      <color theme="1"/>
      <name val="Calibri"/>
      <family val="2"/>
      <scheme val="minor"/>
    </font>
    <font>
      <sz val="8"/>
      <color indexed="8"/>
      <name val="Calibri"/>
      <family val="2"/>
      <charset val="204"/>
    </font>
    <font>
      <sz val="8"/>
      <color theme="1"/>
      <name val="Calibri"/>
      <family val="2"/>
      <charset val="204"/>
    </font>
    <font>
      <b/>
      <sz val="11"/>
      <color theme="0" tint="-0.14999847407452621"/>
      <name val="Calibri"/>
      <family val="2"/>
      <scheme val="minor"/>
    </font>
    <font>
      <sz val="11"/>
      <color theme="0" tint="-0.14999847407452621"/>
      <name val="Calibri"/>
      <family val="2"/>
      <scheme val="minor"/>
    </font>
    <font>
      <sz val="12"/>
      <color indexed="81"/>
      <name val="Tahoma"/>
      <family val="2"/>
    </font>
  </fonts>
  <fills count="57">
    <fill>
      <patternFill patternType="none"/>
    </fill>
    <fill>
      <patternFill patternType="gray125"/>
    </fill>
    <fill>
      <patternFill patternType="solid">
        <fgColor indexed="57"/>
        <bgColor indexed="5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39997558519241921"/>
        <bgColor indexed="57"/>
      </patternFill>
    </fill>
    <fill>
      <patternFill patternType="solid">
        <fgColor rgb="FFC00000"/>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6" tint="0.79998168889431442"/>
        <bgColor theme="6" tint="0.79998168889431442"/>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theme="2" tint="-0.249977111117893"/>
        <bgColor indexed="64"/>
      </patternFill>
    </fill>
    <fill>
      <patternFill patternType="solid">
        <fgColor rgb="FF9BBB59"/>
        <bgColor indexed="64"/>
      </patternFill>
    </fill>
    <fill>
      <patternFill patternType="solid">
        <fgColor rgb="FFFDE9D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bottom/>
      <diagonal/>
    </border>
    <border>
      <left style="thin">
        <color indexed="64"/>
      </left>
      <right/>
      <top/>
      <bottom/>
      <diagonal/>
    </border>
    <border>
      <left style="thin">
        <color indexed="64"/>
      </left>
      <right style="thin">
        <color indexed="64"/>
      </right>
      <top style="thin">
        <color theme="9" tint="0.39997558519241921"/>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9BBB59"/>
      </left>
      <right style="medium">
        <color rgb="FF9BBB59"/>
      </right>
      <top/>
      <bottom style="medium">
        <color rgb="FF9BBB59"/>
      </bottom>
      <diagonal/>
    </border>
    <border>
      <left style="medium">
        <color rgb="FF76923C"/>
      </left>
      <right style="medium">
        <color rgb="FF76923C"/>
      </right>
      <top/>
      <bottom style="medium">
        <color rgb="FF76923C"/>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76923C"/>
      </left>
      <right/>
      <top style="medium">
        <color rgb="FF76923C"/>
      </top>
      <bottom style="medium">
        <color rgb="FF76923C"/>
      </bottom>
      <diagonal/>
    </border>
    <border>
      <left style="medium">
        <color rgb="FF9BBB59"/>
      </left>
      <right/>
      <top/>
      <bottom style="medium">
        <color rgb="FF9BBB59"/>
      </bottom>
      <diagonal/>
    </border>
    <border>
      <left style="medium">
        <color rgb="FF76923C"/>
      </left>
      <right/>
      <top/>
      <bottom style="medium">
        <color rgb="FF76923C"/>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5">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3" fillId="28" borderId="11" applyNumberFormat="0" applyAlignment="0" applyProtection="0"/>
    <xf numFmtId="0" fontId="14" fillId="29" borderId="12" applyNumberFormat="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9" fillId="0" borderId="15" applyNumberFormat="0" applyFill="0" applyAlignment="0" applyProtection="0"/>
    <xf numFmtId="0" fontId="19" fillId="0" borderId="0" applyNumberFormat="0" applyFill="0" applyBorder="0" applyAlignment="0" applyProtection="0"/>
    <xf numFmtId="0" fontId="20" fillId="31" borderId="11" applyNumberFormat="0" applyAlignment="0" applyProtection="0"/>
    <xf numFmtId="0" fontId="21" fillId="0" borderId="16" applyNumberFormat="0" applyFill="0" applyAlignment="0" applyProtection="0"/>
    <xf numFmtId="0" fontId="22" fillId="32" borderId="0" applyNumberFormat="0" applyBorder="0" applyAlignment="0" applyProtection="0"/>
    <xf numFmtId="0" fontId="1" fillId="0" borderId="0"/>
    <xf numFmtId="0" fontId="2" fillId="33" borderId="17" applyNumberFormat="0" applyFont="0" applyAlignment="0" applyProtection="0"/>
    <xf numFmtId="0" fontId="23" fillId="28" borderId="18" applyNumberFormat="0" applyAlignment="0" applyProtection="0"/>
    <xf numFmtId="0" fontId="24" fillId="0" borderId="0" applyNumberFormat="0" applyFill="0" applyBorder="0" applyAlignment="0" applyProtection="0"/>
    <xf numFmtId="0" fontId="25" fillId="0" borderId="19" applyNumberFormat="0" applyFill="0" applyAlignment="0" applyProtection="0"/>
    <xf numFmtId="0" fontId="26" fillId="0" borderId="0" applyNumberFormat="0" applyFill="0" applyBorder="0" applyAlignment="0" applyProtection="0"/>
    <xf numFmtId="0" fontId="29" fillId="0" borderId="0" applyNumberFormat="0" applyFill="0" applyBorder="0" applyAlignment="0" applyProtection="0">
      <alignment vertical="top"/>
      <protection locked="0"/>
    </xf>
    <xf numFmtId="9" fontId="10" fillId="0" borderId="0" applyFont="0" applyFill="0" applyBorder="0" applyAlignment="0" applyProtection="0"/>
  </cellStyleXfs>
  <cellXfs count="570">
    <xf numFmtId="0" fontId="0" fillId="0" borderId="0" xfId="0"/>
    <xf numFmtId="0" fontId="3" fillId="0" borderId="1" xfId="0" applyFont="1" applyBorder="1"/>
    <xf numFmtId="0" fontId="3" fillId="0" borderId="1" xfId="0" applyFont="1" applyFill="1" applyBorder="1"/>
    <xf numFmtId="0" fontId="5" fillId="0" borderId="1" xfId="0" applyFont="1" applyFill="1" applyBorder="1" applyAlignment="1">
      <alignment horizontal="left"/>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Fill="1" applyBorder="1" applyAlignment="1">
      <alignment horizontal="center"/>
    </xf>
    <xf numFmtId="0" fontId="4" fillId="0" borderId="1" xfId="0" applyFont="1" applyBorder="1" applyAlignment="1">
      <alignment horizontal="center" vertical="center"/>
    </xf>
    <xf numFmtId="49" fontId="3" fillId="0" borderId="1" xfId="0" applyNumberFormat="1" applyFont="1" applyBorder="1" applyAlignment="1">
      <alignment horizontal="center"/>
    </xf>
    <xf numFmtId="0" fontId="5" fillId="0" borderId="1" xfId="0" applyFont="1" applyBorder="1"/>
    <xf numFmtId="0" fontId="3" fillId="0" borderId="1" xfId="0" quotePrefix="1" applyFont="1" applyFill="1" applyBorder="1" applyAlignment="1">
      <alignment horizontal="center"/>
    </xf>
    <xf numFmtId="16" fontId="3" fillId="0" borderId="1" xfId="0" quotePrefix="1" applyNumberFormat="1" applyFont="1" applyFill="1" applyBorder="1" applyAlignment="1">
      <alignment horizontal="center"/>
    </xf>
    <xf numFmtId="49" fontId="3" fillId="0" borderId="1" xfId="0" applyNumberFormat="1" applyFont="1" applyFill="1" applyBorder="1" applyAlignment="1">
      <alignment horizontal="center"/>
    </xf>
    <xf numFmtId="0" fontId="5" fillId="0" borderId="1" xfId="0" applyFont="1" applyFill="1" applyBorder="1" applyAlignment="1">
      <alignment horizontal="left" wrapText="1"/>
    </xf>
    <xf numFmtId="0" fontId="5" fillId="0" borderId="1" xfId="0" applyFont="1" applyFill="1" applyBorder="1"/>
    <xf numFmtId="49" fontId="3" fillId="0" borderId="1" xfId="0" applyNumberFormat="1" applyFont="1" applyBorder="1"/>
    <xf numFmtId="0" fontId="3" fillId="0" borderId="2" xfId="0" applyFont="1" applyBorder="1"/>
    <xf numFmtId="0" fontId="3" fillId="0" borderId="2" xfId="0" applyFont="1" applyFill="1" applyBorder="1"/>
    <xf numFmtId="0" fontId="3" fillId="0" borderId="2" xfId="0" applyFont="1" applyFill="1" applyBorder="1" applyAlignment="1">
      <alignment horizontal="left"/>
    </xf>
    <xf numFmtId="0" fontId="5" fillId="0" borderId="2" xfId="0" applyFont="1" applyFill="1" applyBorder="1"/>
    <xf numFmtId="0" fontId="3" fillId="0" borderId="3" xfId="0" applyFont="1" applyBorder="1"/>
    <xf numFmtId="0" fontId="3" fillId="0" borderId="3" xfId="0" applyFont="1" applyFill="1" applyBorder="1"/>
    <xf numFmtId="0" fontId="3" fillId="0" borderId="3" xfId="0" applyFont="1" applyBorder="1" applyAlignment="1">
      <alignment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textRotation="90"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3" fillId="0" borderId="7" xfId="0" applyFont="1" applyFill="1" applyBorder="1"/>
    <xf numFmtId="0" fontId="5" fillId="0" borderId="8" xfId="0" applyFont="1" applyFill="1" applyBorder="1" applyAlignment="1">
      <alignment horizontal="left"/>
    </xf>
    <xf numFmtId="0" fontId="3" fillId="0" borderId="8" xfId="0" applyFont="1" applyBorder="1" applyAlignment="1">
      <alignment horizontal="center"/>
    </xf>
    <xf numFmtId="49" fontId="3" fillId="0" borderId="8" xfId="0" applyNumberFormat="1" applyFont="1" applyBorder="1" applyAlignment="1">
      <alignment horizontal="center"/>
    </xf>
    <xf numFmtId="0" fontId="3" fillId="0" borderId="8" xfId="0" applyFont="1" applyBorder="1"/>
    <xf numFmtId="0" fontId="3" fillId="0" borderId="9" xfId="0" applyFont="1" applyBorder="1"/>
    <xf numFmtId="0" fontId="3" fillId="0" borderId="1" xfId="0" applyFont="1" applyFill="1" applyBorder="1" applyAlignment="1">
      <alignment wrapText="1"/>
    </xf>
    <xf numFmtId="0" fontId="5" fillId="0" borderId="1" xfId="0" applyFont="1" applyBorder="1" applyAlignment="1">
      <alignment wrapText="1"/>
    </xf>
    <xf numFmtId="0" fontId="5" fillId="0" borderId="1" xfId="0" applyFont="1" applyFill="1" applyBorder="1" applyAlignment="1">
      <alignment wrapText="1"/>
    </xf>
    <xf numFmtId="0" fontId="5" fillId="0" borderId="8" xfId="0" applyFont="1" applyFill="1" applyBorder="1" applyAlignment="1">
      <alignment horizontal="left" wrapText="1"/>
    </xf>
    <xf numFmtId="0" fontId="3" fillId="0" borderId="5" xfId="0" applyFont="1" applyFill="1" applyBorder="1"/>
    <xf numFmtId="0" fontId="3" fillId="0" borderId="8" xfId="0" applyFont="1" applyFill="1" applyBorder="1"/>
    <xf numFmtId="0" fontId="4" fillId="0" borderId="5" xfId="0" applyFont="1" applyFill="1" applyBorder="1" applyAlignment="1">
      <alignment horizontal="center" vertical="center" textRotation="90"/>
    </xf>
    <xf numFmtId="0" fontId="4" fillId="0" borderId="5"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textRotation="90" wrapText="1"/>
    </xf>
    <xf numFmtId="0" fontId="3" fillId="35" borderId="1" xfId="0" applyFont="1" applyFill="1" applyBorder="1"/>
    <xf numFmtId="0" fontId="3" fillId="36" borderId="1" xfId="0" applyFont="1" applyFill="1" applyBorder="1"/>
    <xf numFmtId="0" fontId="3" fillId="36" borderId="2" xfId="0" applyFont="1" applyFill="1" applyBorder="1"/>
    <xf numFmtId="0" fontId="3" fillId="36" borderId="1" xfId="0" applyFont="1" applyFill="1" applyBorder="1" applyAlignment="1">
      <alignment wrapText="1"/>
    </xf>
    <xf numFmtId="0" fontId="3" fillId="36" borderId="1" xfId="0" applyFont="1" applyFill="1" applyBorder="1" applyAlignment="1">
      <alignment horizontal="center"/>
    </xf>
    <xf numFmtId="49" fontId="3" fillId="36" borderId="1" xfId="0" applyNumberFormat="1" applyFont="1" applyFill="1" applyBorder="1" applyAlignment="1">
      <alignment horizontal="center"/>
    </xf>
    <xf numFmtId="0" fontId="3" fillId="37" borderId="1" xfId="0" applyFont="1" applyFill="1" applyBorder="1" applyAlignment="1">
      <alignment horizontal="center"/>
    </xf>
    <xf numFmtId="0" fontId="3" fillId="38" borderId="1" xfId="0" applyFont="1" applyFill="1" applyBorder="1"/>
    <xf numFmtId="0" fontId="5" fillId="38" borderId="1" xfId="0" applyFont="1" applyFill="1" applyBorder="1" applyAlignment="1">
      <alignment horizontal="left"/>
    </xf>
    <xf numFmtId="0" fontId="5" fillId="38" borderId="1" xfId="0" applyFont="1" applyFill="1" applyBorder="1" applyAlignment="1">
      <alignment horizontal="left" wrapText="1"/>
    </xf>
    <xf numFmtId="0" fontId="3" fillId="38" borderId="1" xfId="0" applyFont="1" applyFill="1" applyBorder="1" applyAlignment="1">
      <alignment horizontal="center"/>
    </xf>
    <xf numFmtId="49" fontId="3" fillId="38" borderId="1" xfId="0" applyNumberFormat="1" applyFont="1" applyFill="1" applyBorder="1" applyAlignment="1">
      <alignment horizontal="center"/>
    </xf>
    <xf numFmtId="0" fontId="3" fillId="38" borderId="1" xfId="0" applyFont="1" applyFill="1" applyBorder="1" applyAlignment="1">
      <alignment wrapText="1"/>
    </xf>
    <xf numFmtId="0" fontId="4" fillId="39" borderId="5" xfId="0" applyFont="1" applyFill="1" applyBorder="1" applyAlignment="1">
      <alignment horizontal="center" vertical="center" textRotation="90" wrapText="1"/>
    </xf>
    <xf numFmtId="0" fontId="6" fillId="2" borderId="1" xfId="0" applyFont="1" applyFill="1" applyBorder="1" applyAlignment="1">
      <alignment horizontal="center"/>
    </xf>
    <xf numFmtId="0" fontId="6" fillId="34" borderId="3" xfId="0" applyFont="1" applyFill="1" applyBorder="1" applyAlignment="1">
      <alignment horizontal="center"/>
    </xf>
    <xf numFmtId="0" fontId="6" fillId="34" borderId="10" xfId="0" applyFont="1" applyFill="1" applyBorder="1" applyAlignment="1">
      <alignment horizontal="center"/>
    </xf>
    <xf numFmtId="0" fontId="0" fillId="0" borderId="2" xfId="0" applyBorder="1" applyAlignment="1"/>
    <xf numFmtId="0" fontId="6" fillId="2" borderId="1" xfId="0" applyFont="1" applyFill="1" applyBorder="1" applyAlignment="1">
      <alignment horizontal="center"/>
    </xf>
    <xf numFmtId="0" fontId="6" fillId="34" borderId="3" xfId="0" applyFont="1" applyFill="1" applyBorder="1" applyAlignment="1">
      <alignment horizontal="center"/>
    </xf>
    <xf numFmtId="0" fontId="6" fillId="34" borderId="10" xfId="0" applyFont="1" applyFill="1" applyBorder="1" applyAlignment="1">
      <alignment horizontal="center"/>
    </xf>
    <xf numFmtId="0" fontId="0" fillId="0" borderId="2" xfId="0" applyBorder="1" applyAlignment="1"/>
    <xf numFmtId="0" fontId="6" fillId="2" borderId="1" xfId="0" applyFont="1" applyFill="1" applyBorder="1" applyAlignment="1">
      <alignment horizontal="center"/>
    </xf>
    <xf numFmtId="0" fontId="6" fillId="34" borderId="3" xfId="0" applyFont="1" applyFill="1" applyBorder="1" applyAlignment="1">
      <alignment horizontal="center"/>
    </xf>
    <xf numFmtId="0" fontId="6" fillId="34" borderId="10" xfId="0" applyFont="1" applyFill="1" applyBorder="1" applyAlignment="1">
      <alignment horizontal="center"/>
    </xf>
    <xf numFmtId="0" fontId="0" fillId="0" borderId="2" xfId="0" applyBorder="1" applyAlignment="1"/>
    <xf numFmtId="0" fontId="27" fillId="0" borderId="2" xfId="0" applyFont="1" applyFill="1" applyBorder="1"/>
    <xf numFmtId="0" fontId="27" fillId="0" borderId="20" xfId="0" applyFont="1" applyFill="1" applyBorder="1"/>
    <xf numFmtId="49" fontId="27" fillId="0" borderId="1" xfId="0" applyNumberFormat="1" applyFont="1" applyFill="1" applyBorder="1" applyAlignment="1">
      <alignment horizontal="center"/>
    </xf>
    <xf numFmtId="0" fontId="27" fillId="0" borderId="1" xfId="0" applyFont="1" applyFill="1" applyBorder="1" applyAlignment="1">
      <alignment horizontal="center"/>
    </xf>
    <xf numFmtId="0" fontId="27" fillId="0" borderId="1" xfId="0" applyFont="1" applyFill="1" applyBorder="1"/>
    <xf numFmtId="0" fontId="27" fillId="0" borderId="3" xfId="0" applyFont="1" applyFill="1" applyBorder="1"/>
    <xf numFmtId="0" fontId="27" fillId="0" borderId="5" xfId="0" applyFont="1" applyFill="1" applyBorder="1"/>
    <xf numFmtId="0" fontId="6" fillId="2" borderId="1" xfId="0" applyFont="1" applyFill="1" applyBorder="1" applyAlignment="1">
      <alignment horizontal="center"/>
    </xf>
    <xf numFmtId="0" fontId="6" fillId="34" borderId="3" xfId="0" applyFont="1" applyFill="1" applyBorder="1" applyAlignment="1">
      <alignment horizontal="center"/>
    </xf>
    <xf numFmtId="0" fontId="6" fillId="34" borderId="10" xfId="0" applyFont="1" applyFill="1" applyBorder="1" applyAlignment="1">
      <alignment horizontal="center"/>
    </xf>
    <xf numFmtId="0" fontId="0" fillId="0" borderId="2" xfId="0" applyBorder="1" applyAlignment="1"/>
    <xf numFmtId="0" fontId="27" fillId="0" borderId="1" xfId="0" applyNumberFormat="1" applyFont="1" applyFill="1" applyBorder="1" applyAlignment="1">
      <alignment horizontal="right"/>
    </xf>
    <xf numFmtId="0" fontId="3" fillId="0" borderId="1" xfId="0" applyFont="1" applyFill="1" applyBorder="1" applyAlignment="1">
      <alignment horizontal="right"/>
    </xf>
    <xf numFmtId="1" fontId="3" fillId="0" borderId="1" xfId="0" applyNumberFormat="1" applyFont="1" applyFill="1" applyBorder="1" applyAlignment="1">
      <alignment horizontal="center"/>
    </xf>
    <xf numFmtId="1" fontId="27" fillId="0" borderId="1" xfId="0" applyNumberFormat="1" applyFont="1" applyFill="1" applyBorder="1" applyAlignment="1">
      <alignment horizontal="center"/>
    </xf>
    <xf numFmtId="1" fontId="3" fillId="0" borderId="1" xfId="0" applyNumberFormat="1" applyFont="1" applyFill="1" applyBorder="1" applyAlignment="1">
      <alignment horizontal="right"/>
    </xf>
    <xf numFmtId="0" fontId="3" fillId="0" borderId="20" xfId="0" applyFont="1" applyFill="1" applyBorder="1"/>
    <xf numFmtId="0" fontId="3" fillId="0" borderId="1" xfId="0" applyNumberFormat="1" applyFont="1" applyFill="1" applyBorder="1" applyAlignment="1">
      <alignment horizontal="right"/>
    </xf>
    <xf numFmtId="0" fontId="4" fillId="0" borderId="4" xfId="0" applyFont="1" applyBorder="1" applyAlignment="1">
      <alignment horizontal="center" vertical="center"/>
    </xf>
    <xf numFmtId="0" fontId="6" fillId="34" borderId="10" xfId="0" applyFont="1" applyFill="1" applyBorder="1" applyAlignment="1">
      <alignment horizontal="center"/>
    </xf>
    <xf numFmtId="0" fontId="3" fillId="0" borderId="20" xfId="0" applyFont="1" applyFill="1" applyBorder="1" applyAlignment="1">
      <alignment wrapText="1"/>
    </xf>
    <xf numFmtId="0" fontId="3" fillId="0" borderId="5" xfId="0" applyFont="1" applyFill="1" applyBorder="1" applyAlignment="1">
      <alignment horizontal="center"/>
    </xf>
    <xf numFmtId="0" fontId="3" fillId="0" borderId="5" xfId="0" applyFont="1" applyBorder="1" applyAlignment="1">
      <alignment horizontal="center"/>
    </xf>
    <xf numFmtId="49" fontId="3" fillId="36" borderId="5" xfId="0" applyNumberFormat="1" applyFont="1" applyFill="1" applyBorder="1" applyAlignment="1">
      <alignment horizontal="center"/>
    </xf>
    <xf numFmtId="0" fontId="3" fillId="0" borderId="1" xfId="0" applyFont="1" applyFill="1" applyBorder="1" applyAlignment="1">
      <alignment horizontal="left"/>
    </xf>
    <xf numFmtId="0" fontId="28" fillId="0" borderId="1" xfId="0" applyFont="1" applyFill="1" applyBorder="1"/>
    <xf numFmtId="0" fontId="28" fillId="0" borderId="1" xfId="0" applyFont="1" applyFill="1" applyBorder="1" applyAlignment="1">
      <alignment wrapText="1"/>
    </xf>
    <xf numFmtId="0" fontId="3" fillId="0" borderId="5" xfId="0" applyFont="1" applyBorder="1"/>
    <xf numFmtId="0" fontId="3" fillId="0" borderId="20" xfId="0" applyFont="1" applyBorder="1"/>
    <xf numFmtId="49" fontId="3" fillId="0" borderId="5" xfId="0" applyNumberFormat="1" applyFont="1" applyFill="1" applyBorder="1" applyAlignment="1">
      <alignment horizontal="center"/>
    </xf>
    <xf numFmtId="0" fontId="3" fillId="0" borderId="1" xfId="0" applyNumberFormat="1" applyFont="1" applyBorder="1"/>
    <xf numFmtId="0" fontId="3" fillId="0" borderId="1" xfId="0" applyNumberFormat="1" applyFont="1" applyFill="1" applyBorder="1" applyAlignment="1">
      <alignment horizontal="center"/>
    </xf>
    <xf numFmtId="0" fontId="27" fillId="0" borderId="7" xfId="43" applyFont="1" applyFill="1" applyBorder="1" applyAlignment="1" applyProtection="1"/>
    <xf numFmtId="0" fontId="3" fillId="0" borderId="8" xfId="0" applyFont="1" applyBorder="1" applyAlignment="1">
      <alignment wrapText="1"/>
    </xf>
    <xf numFmtId="49" fontId="27" fillId="0" borderId="8" xfId="0" applyNumberFormat="1" applyFont="1" applyFill="1" applyBorder="1" applyAlignment="1">
      <alignment horizontal="center"/>
    </xf>
    <xf numFmtId="0" fontId="27" fillId="0" borderId="8" xfId="0" applyFont="1" applyFill="1" applyBorder="1" applyAlignment="1">
      <alignment horizontal="center"/>
    </xf>
    <xf numFmtId="0" fontId="27" fillId="0" borderId="8" xfId="0" applyFont="1" applyBorder="1" applyAlignment="1">
      <alignment horizontal="center"/>
    </xf>
    <xf numFmtId="49" fontId="27" fillId="0" borderId="8" xfId="0" applyNumberFormat="1" applyFont="1" applyBorder="1" applyAlignment="1">
      <alignment horizontal="center"/>
    </xf>
    <xf numFmtId="0" fontId="27" fillId="0" borderId="8" xfId="0" applyFont="1" applyFill="1" applyBorder="1"/>
    <xf numFmtId="0" fontId="27" fillId="0" borderId="9" xfId="0" applyFont="1" applyFill="1" applyBorder="1"/>
    <xf numFmtId="0" fontId="27" fillId="0" borderId="7" xfId="0" applyFont="1" applyFill="1" applyBorder="1"/>
    <xf numFmtId="0" fontId="3" fillId="0" borderId="8" xfId="0" applyFont="1" applyFill="1" applyBorder="1" applyAlignment="1">
      <alignment wrapText="1"/>
    </xf>
    <xf numFmtId="1" fontId="3" fillId="0" borderId="1" xfId="0" applyNumberFormat="1" applyFont="1" applyBorder="1"/>
    <xf numFmtId="0" fontId="3" fillId="0" borderId="7" xfId="43" applyFont="1" applyFill="1" applyBorder="1" applyAlignment="1" applyProtection="1"/>
    <xf numFmtId="49" fontId="3" fillId="0" borderId="8" xfId="0" applyNumberFormat="1"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xf numFmtId="0" fontId="3" fillId="0" borderId="21" xfId="0" applyFont="1" applyFill="1" applyBorder="1"/>
    <xf numFmtId="0" fontId="0" fillId="0" borderId="0" xfId="0" applyBorder="1" applyAlignment="1">
      <alignment wrapText="1"/>
    </xf>
    <xf numFmtId="0" fontId="0" fillId="0" borderId="0" xfId="0" applyBorder="1"/>
    <xf numFmtId="0" fontId="3" fillId="40" borderId="22" xfId="0" applyFont="1" applyFill="1" applyBorder="1"/>
    <xf numFmtId="0" fontId="3" fillId="0" borderId="22" xfId="43" applyFont="1" applyFill="1" applyBorder="1" applyAlignment="1" applyProtection="1"/>
    <xf numFmtId="0" fontId="3" fillId="40" borderId="21" xfId="0" applyFont="1" applyFill="1" applyBorder="1"/>
    <xf numFmtId="0" fontId="3" fillId="40" borderId="23" xfId="0" applyFont="1" applyFill="1" applyBorder="1"/>
    <xf numFmtId="1" fontId="3" fillId="0" borderId="1" xfId="0" applyNumberFormat="1" applyFont="1" applyBorder="1" applyAlignment="1">
      <alignment horizontal="right"/>
    </xf>
    <xf numFmtId="1" fontId="3" fillId="36" borderId="1" xfId="0" applyNumberFormat="1" applyFont="1" applyFill="1" applyBorder="1" applyAlignment="1">
      <alignment horizontal="right"/>
    </xf>
    <xf numFmtId="1" fontId="3" fillId="38" borderId="1" xfId="0" applyNumberFormat="1" applyFont="1" applyFill="1" applyBorder="1" applyAlignment="1">
      <alignment horizontal="right"/>
    </xf>
    <xf numFmtId="1" fontId="3" fillId="0" borderId="5" xfId="0" applyNumberFormat="1" applyFont="1" applyBorder="1" applyAlignment="1">
      <alignment horizontal="right"/>
    </xf>
    <xf numFmtId="1" fontId="0" fillId="0" borderId="0" xfId="0" applyNumberFormat="1" applyAlignment="1">
      <alignment horizontal="right"/>
    </xf>
    <xf numFmtId="0" fontId="4" fillId="0" borderId="2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0" xfId="0" applyFont="1" applyFill="1" applyBorder="1" applyAlignment="1">
      <alignment horizontal="center" vertical="center" textRotation="90" wrapText="1"/>
    </xf>
    <xf numFmtId="0" fontId="4" fillId="39" borderId="20" xfId="0" applyFont="1" applyFill="1" applyBorder="1" applyAlignment="1">
      <alignment horizontal="center" vertical="center" textRotation="90" wrapText="1"/>
    </xf>
    <xf numFmtId="1" fontId="4"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textRotation="90" wrapText="1"/>
    </xf>
    <xf numFmtId="0" fontId="4" fillId="0" borderId="20" xfId="0" applyFont="1" applyFill="1" applyBorder="1" applyAlignment="1">
      <alignment horizontal="center" vertical="center" textRotation="90"/>
    </xf>
    <xf numFmtId="0" fontId="4" fillId="0" borderId="20" xfId="0" applyNumberFormat="1" applyFont="1" applyFill="1" applyBorder="1" applyAlignment="1">
      <alignment horizontal="center" vertical="center" textRotation="90" wrapText="1"/>
    </xf>
    <xf numFmtId="49" fontId="4" fillId="0" borderId="20" xfId="0" applyNumberFormat="1" applyFont="1" applyFill="1" applyBorder="1" applyAlignment="1">
      <alignment horizontal="center" vertical="center" wrapText="1"/>
    </xf>
    <xf numFmtId="1" fontId="4" fillId="0" borderId="20" xfId="0" applyNumberFormat="1" applyFont="1" applyFill="1" applyBorder="1" applyAlignment="1">
      <alignment horizontal="center" vertical="center"/>
    </xf>
    <xf numFmtId="0" fontId="4" fillId="0" borderId="25" xfId="0" applyFont="1" applyFill="1" applyBorder="1" applyAlignment="1">
      <alignment horizontal="center" vertical="center"/>
    </xf>
    <xf numFmtId="49" fontId="3" fillId="0" borderId="5" xfId="0" applyNumberFormat="1" applyFont="1" applyBorder="1"/>
    <xf numFmtId="1" fontId="30" fillId="0" borderId="1" xfId="0" applyNumberFormat="1" applyFont="1" applyBorder="1" applyAlignment="1">
      <alignment horizontal="right"/>
    </xf>
    <xf numFmtId="0" fontId="30" fillId="0" borderId="1" xfId="0" applyFont="1" applyBorder="1"/>
    <xf numFmtId="0" fontId="31" fillId="0" borderId="1" xfId="0" applyFont="1" applyBorder="1" applyAlignment="1">
      <alignment wrapText="1"/>
    </xf>
    <xf numFmtId="0" fontId="28" fillId="0" borderId="2" xfId="0" applyFont="1" applyFill="1" applyBorder="1"/>
    <xf numFmtId="0" fontId="28" fillId="0" borderId="2" xfId="0" applyFont="1" applyFill="1" applyBorder="1" applyAlignment="1">
      <alignment wrapText="1"/>
    </xf>
    <xf numFmtId="0" fontId="4" fillId="41" borderId="5" xfId="0" applyFont="1" applyFill="1" applyBorder="1" applyAlignment="1">
      <alignment horizontal="center" vertical="center"/>
    </xf>
    <xf numFmtId="0" fontId="4" fillId="41" borderId="5" xfId="0" applyFont="1" applyFill="1" applyBorder="1" applyAlignment="1">
      <alignment horizontal="center" vertical="center" textRotation="90" wrapText="1"/>
    </xf>
    <xf numFmtId="1" fontId="4" fillId="41" borderId="5" xfId="0" applyNumberFormat="1" applyFont="1" applyFill="1" applyBorder="1" applyAlignment="1">
      <alignment horizontal="center" vertical="center" wrapText="1"/>
    </xf>
    <xf numFmtId="49" fontId="4" fillId="41" borderId="5" xfId="0" applyNumberFormat="1" applyFont="1" applyFill="1" applyBorder="1" applyAlignment="1">
      <alignment horizontal="center" vertical="center" wrapText="1"/>
    </xf>
    <xf numFmtId="1" fontId="4" fillId="41" borderId="5" xfId="0" applyNumberFormat="1" applyFont="1" applyFill="1" applyBorder="1" applyAlignment="1">
      <alignment horizontal="center" vertical="center"/>
    </xf>
    <xf numFmtId="49" fontId="3" fillId="0" borderId="1" xfId="0" applyNumberFormat="1" applyFont="1" applyFill="1" applyBorder="1"/>
    <xf numFmtId="0" fontId="3" fillId="42" borderId="1" xfId="0" applyFont="1" applyFill="1" applyBorder="1"/>
    <xf numFmtId="0" fontId="3" fillId="42" borderId="2" xfId="0" applyFont="1" applyFill="1" applyBorder="1"/>
    <xf numFmtId="0" fontId="3" fillId="42" borderId="1" xfId="0" applyFont="1" applyFill="1" applyBorder="1" applyAlignment="1">
      <alignment wrapText="1"/>
    </xf>
    <xf numFmtId="0" fontId="3" fillId="42" borderId="1" xfId="0" applyFont="1" applyFill="1" applyBorder="1" applyAlignment="1">
      <alignment horizontal="center"/>
    </xf>
    <xf numFmtId="49" fontId="3" fillId="42" borderId="1" xfId="0" applyNumberFormat="1" applyFont="1" applyFill="1" applyBorder="1" applyAlignment="1">
      <alignment horizontal="center"/>
    </xf>
    <xf numFmtId="0" fontId="3" fillId="42" borderId="3" xfId="0" applyFont="1" applyFill="1" applyBorder="1"/>
    <xf numFmtId="0" fontId="3" fillId="0" borderId="1" xfId="0" applyFont="1" applyFill="1" applyBorder="1" applyAlignment="1">
      <alignment vertical="top"/>
    </xf>
    <xf numFmtId="0" fontId="3" fillId="43" borderId="1" xfId="0" applyFont="1" applyFill="1" applyBorder="1" applyAlignment="1">
      <alignment horizontal="center"/>
    </xf>
    <xf numFmtId="1" fontId="3" fillId="0" borderId="1" xfId="0" applyNumberFormat="1" applyFont="1" applyBorder="1" applyAlignment="1">
      <alignment horizontal="center"/>
    </xf>
    <xf numFmtId="0" fontId="0" fillId="0" borderId="0" xfId="0" applyAlignment="1">
      <alignment horizontal="center"/>
    </xf>
    <xf numFmtId="0" fontId="4" fillId="41" borderId="5" xfId="0" applyFont="1" applyFill="1" applyBorder="1" applyAlignment="1">
      <alignment horizontal="center" vertical="center" wrapText="1"/>
    </xf>
    <xf numFmtId="0" fontId="3" fillId="0" borderId="1" xfId="0" applyNumberFormat="1" applyFont="1" applyBorder="1" applyAlignment="1">
      <alignment wrapText="1"/>
    </xf>
    <xf numFmtId="0" fontId="0" fillId="0" borderId="0" xfId="0" applyAlignment="1">
      <alignment wrapText="1"/>
    </xf>
    <xf numFmtId="0" fontId="3" fillId="43" borderId="1" xfId="0" applyFont="1" applyFill="1" applyBorder="1"/>
    <xf numFmtId="0" fontId="3" fillId="43" borderId="2" xfId="0" applyFont="1" applyFill="1" applyBorder="1"/>
    <xf numFmtId="0" fontId="5" fillId="43" borderId="1" xfId="0" applyFont="1" applyFill="1" applyBorder="1"/>
    <xf numFmtId="0" fontId="5" fillId="43" borderId="1" xfId="0" applyFont="1" applyFill="1" applyBorder="1" applyAlignment="1">
      <alignment wrapText="1"/>
    </xf>
    <xf numFmtId="0" fontId="3" fillId="43" borderId="1" xfId="0" applyFont="1" applyFill="1" applyBorder="1" applyAlignment="1">
      <alignment wrapText="1"/>
    </xf>
    <xf numFmtId="1" fontId="3" fillId="43" borderId="1" xfId="0" applyNumberFormat="1" applyFont="1" applyFill="1" applyBorder="1" applyAlignment="1">
      <alignment horizontal="center"/>
    </xf>
    <xf numFmtId="49" fontId="3" fillId="43" borderId="1" xfId="0" applyNumberFormat="1" applyFont="1" applyFill="1" applyBorder="1" applyAlignment="1">
      <alignment horizontal="center"/>
    </xf>
    <xf numFmtId="1" fontId="3" fillId="43" borderId="1" xfId="0" applyNumberFormat="1" applyFont="1" applyFill="1" applyBorder="1" applyAlignment="1">
      <alignment horizontal="right"/>
    </xf>
    <xf numFmtId="0" fontId="3" fillId="41" borderId="5" xfId="0" applyFont="1" applyFill="1" applyBorder="1" applyAlignment="1">
      <alignment horizontal="center" vertical="center" wrapText="1"/>
    </xf>
    <xf numFmtId="0" fontId="3" fillId="41" borderId="5" xfId="0" applyNumberFormat="1" applyFont="1" applyFill="1" applyBorder="1" applyAlignment="1">
      <alignment horizontal="center" vertical="center" wrapText="1"/>
    </xf>
    <xf numFmtId="0" fontId="3" fillId="0" borderId="1" xfId="0" applyFont="1" applyBorder="1" applyAlignment="1">
      <alignment vertical="top"/>
    </xf>
    <xf numFmtId="0" fontId="3" fillId="0" borderId="20" xfId="0" applyFont="1" applyBorder="1" applyAlignment="1">
      <alignment vertical="top"/>
    </xf>
    <xf numFmtId="0" fontId="0" fillId="0" borderId="0" xfId="0" applyAlignment="1">
      <alignment vertical="top"/>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26" xfId="0" applyFont="1" applyFill="1" applyBorder="1" applyAlignment="1">
      <alignment vertical="top"/>
    </xf>
    <xf numFmtId="0" fontId="3" fillId="0" borderId="0" xfId="0" applyFont="1" applyBorder="1"/>
    <xf numFmtId="1" fontId="3" fillId="0" borderId="0" xfId="0" applyNumberFormat="1" applyFont="1" applyBorder="1" applyAlignment="1">
      <alignment horizontal="center"/>
    </xf>
    <xf numFmtId="0" fontId="3" fillId="0" borderId="0" xfId="0" applyFont="1" applyBorder="1" applyAlignment="1">
      <alignment horizontal="center"/>
    </xf>
    <xf numFmtId="49" fontId="3" fillId="0" borderId="0" xfId="0" applyNumberFormat="1" applyFont="1" applyBorder="1"/>
    <xf numFmtId="0" fontId="3" fillId="0" borderId="0" xfId="0" applyFont="1" applyBorder="1" applyAlignment="1">
      <alignment wrapText="1"/>
    </xf>
    <xf numFmtId="0" fontId="32" fillId="0" borderId="0" xfId="0" applyFont="1" applyBorder="1" applyAlignment="1">
      <alignment wrapText="1"/>
    </xf>
    <xf numFmtId="0" fontId="3" fillId="0" borderId="0" xfId="0" applyFont="1" applyFill="1" applyBorder="1" applyAlignment="1">
      <alignment vertical="top" wrapText="1"/>
    </xf>
    <xf numFmtId="0" fontId="33" fillId="36" borderId="0" xfId="0" applyFont="1"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left"/>
    </xf>
    <xf numFmtId="0" fontId="0" fillId="0" borderId="28" xfId="0" applyFill="1" applyBorder="1" applyAlignment="1">
      <alignment horizontal="center"/>
    </xf>
    <xf numFmtId="0" fontId="0" fillId="0" borderId="0" xfId="0" applyFill="1" applyBorder="1"/>
    <xf numFmtId="0" fontId="0" fillId="0" borderId="0" xfId="0" applyFill="1" applyBorder="1" applyAlignment="1">
      <alignment horizontal="left"/>
    </xf>
    <xf numFmtId="0" fontId="4" fillId="41" borderId="1" xfId="0" applyFont="1" applyFill="1" applyBorder="1" applyAlignment="1">
      <alignment horizontal="center" vertical="center" wrapText="1"/>
    </xf>
    <xf numFmtId="0" fontId="4" fillId="41" borderId="1" xfId="0" applyFont="1" applyFill="1" applyBorder="1" applyAlignment="1">
      <alignment horizontal="center" vertical="center"/>
    </xf>
    <xf numFmtId="0" fontId="4" fillId="41" borderId="1" xfId="0" applyNumberFormat="1" applyFont="1" applyFill="1" applyBorder="1" applyAlignment="1">
      <alignment horizontal="center" vertical="center" wrapText="1"/>
    </xf>
    <xf numFmtId="0" fontId="25" fillId="0" borderId="0" xfId="0" applyFont="1"/>
    <xf numFmtId="0" fontId="25" fillId="0" borderId="0" xfId="0" applyFont="1" applyAlignment="1">
      <alignment horizontal="center"/>
    </xf>
    <xf numFmtId="0" fontId="34" fillId="0" borderId="0" xfId="0" applyFont="1" applyAlignment="1">
      <alignment horizontal="left" readingOrder="1"/>
    </xf>
    <xf numFmtId="0" fontId="0" fillId="0" borderId="0" xfId="0" applyAlignment="1">
      <alignment horizontal="center" vertical="top"/>
    </xf>
    <xf numFmtId="0" fontId="0" fillId="0" borderId="29" xfId="0" applyBorder="1" applyAlignment="1">
      <alignment horizontal="center" vertical="top" wrapText="1"/>
    </xf>
    <xf numFmtId="0" fontId="0" fillId="0" borderId="24" xfId="0" applyBorder="1" applyAlignment="1">
      <alignment wrapText="1"/>
    </xf>
    <xf numFmtId="0" fontId="25" fillId="0" borderId="31" xfId="0" applyFont="1" applyBorder="1" applyAlignment="1">
      <alignment horizontal="center" vertical="top"/>
    </xf>
    <xf numFmtId="0" fontId="0" fillId="0" borderId="30" xfId="0" applyBorder="1"/>
    <xf numFmtId="0" fontId="36" fillId="44" borderId="29" xfId="0" applyFont="1" applyFill="1" applyBorder="1" applyAlignment="1">
      <alignment horizontal="center" vertical="top" wrapText="1"/>
    </xf>
    <xf numFmtId="0" fontId="25" fillId="44" borderId="31" xfId="0" applyFont="1" applyFill="1" applyBorder="1" applyAlignment="1">
      <alignment horizontal="center" vertical="top"/>
    </xf>
    <xf numFmtId="0" fontId="25" fillId="44" borderId="0" xfId="0" applyFont="1" applyFill="1" applyAlignment="1">
      <alignment horizontal="center" vertical="top"/>
    </xf>
    <xf numFmtId="0" fontId="0" fillId="45" borderId="29" xfId="0" applyFill="1" applyBorder="1" applyAlignment="1">
      <alignment horizontal="center" vertical="top" wrapText="1"/>
    </xf>
    <xf numFmtId="0" fontId="0" fillId="45" borderId="0" xfId="0" applyFill="1" applyAlignment="1">
      <alignment horizontal="center" vertical="top"/>
    </xf>
    <xf numFmtId="0" fontId="25" fillId="45" borderId="31" xfId="0" applyFont="1" applyFill="1" applyBorder="1" applyAlignment="1">
      <alignment horizontal="center" vertical="top"/>
    </xf>
    <xf numFmtId="0" fontId="0" fillId="46" borderId="0" xfId="0" applyFill="1" applyAlignment="1">
      <alignment horizontal="center" vertical="top"/>
    </xf>
    <xf numFmtId="0" fontId="25" fillId="46" borderId="31" xfId="0" applyFont="1" applyFill="1" applyBorder="1" applyAlignment="1">
      <alignment horizontal="center" vertical="top"/>
    </xf>
    <xf numFmtId="0" fontId="25" fillId="0" borderId="32" xfId="0" applyFont="1" applyBorder="1"/>
    <xf numFmtId="0" fontId="0" fillId="0" borderId="33" xfId="0" applyBorder="1"/>
    <xf numFmtId="0" fontId="25" fillId="0" borderId="33" xfId="0" applyFont="1" applyBorder="1"/>
    <xf numFmtId="0" fontId="25" fillId="0" borderId="34" xfId="0" applyFont="1" applyBorder="1"/>
    <xf numFmtId="0" fontId="37" fillId="36" borderId="0" xfId="0" applyFont="1" applyFill="1" applyAlignment="1">
      <alignment vertical="center"/>
    </xf>
    <xf numFmtId="0" fontId="37" fillId="36" borderId="29" xfId="0" applyFont="1" applyFill="1" applyBorder="1" applyAlignment="1">
      <alignment vertical="center"/>
    </xf>
    <xf numFmtId="0" fontId="0" fillId="0" borderId="29" xfId="0" applyBorder="1" applyAlignment="1">
      <alignment vertical="top" wrapText="1"/>
    </xf>
    <xf numFmtId="0" fontId="0" fillId="47" borderId="0" xfId="0" applyFill="1" applyAlignment="1">
      <alignment vertical="top"/>
    </xf>
    <xf numFmtId="0" fontId="25" fillId="0" borderId="0" xfId="0" applyFont="1" applyAlignment="1">
      <alignment vertical="top"/>
    </xf>
    <xf numFmtId="0" fontId="25" fillId="47" borderId="0" xfId="0" applyFont="1" applyFill="1" applyAlignment="1">
      <alignment vertical="top"/>
    </xf>
    <xf numFmtId="0" fontId="40" fillId="0" borderId="0" xfId="0" applyFont="1" applyBorder="1"/>
    <xf numFmtId="49" fontId="3" fillId="0" borderId="0" xfId="0" applyNumberFormat="1" applyFont="1" applyBorder="1" applyAlignment="1">
      <alignment horizontal="center"/>
    </xf>
    <xf numFmtId="1" fontId="30" fillId="0" borderId="0" xfId="0" applyNumberFormat="1" applyFont="1" applyBorder="1" applyAlignment="1">
      <alignment horizontal="center"/>
    </xf>
    <xf numFmtId="0" fontId="41" fillId="42" borderId="20" xfId="0" applyFont="1" applyFill="1" applyBorder="1" applyAlignment="1">
      <alignment horizontal="center" vertical="center"/>
    </xf>
    <xf numFmtId="0" fontId="0" fillId="47" borderId="29" xfId="0" applyFill="1" applyBorder="1" applyAlignment="1">
      <alignment vertical="top" wrapText="1"/>
    </xf>
    <xf numFmtId="0" fontId="0" fillId="48" borderId="29" xfId="0" applyFill="1" applyBorder="1" applyAlignment="1">
      <alignment vertical="top" wrapText="1"/>
    </xf>
    <xf numFmtId="0" fontId="0" fillId="48" borderId="0" xfId="0" applyFill="1" applyAlignment="1">
      <alignment vertical="top"/>
    </xf>
    <xf numFmtId="0" fontId="25" fillId="48" borderId="0" xfId="0" applyFont="1" applyFill="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0" fillId="47" borderId="0" xfId="0" applyFill="1" applyAlignment="1">
      <alignment horizontal="center" vertical="top"/>
    </xf>
    <xf numFmtId="0" fontId="0" fillId="44" borderId="0" xfId="0" applyFill="1" applyAlignment="1">
      <alignment horizontal="center" vertical="top"/>
    </xf>
    <xf numFmtId="0" fontId="25" fillId="0" borderId="0" xfId="0" applyFont="1" applyAlignment="1">
      <alignment horizontal="center" vertical="top"/>
    </xf>
    <xf numFmtId="0" fontId="25" fillId="47" borderId="0" xfId="0" applyFont="1" applyFill="1" applyAlignment="1">
      <alignment horizontal="center" vertical="top"/>
    </xf>
    <xf numFmtId="0" fontId="0" fillId="38" borderId="29" xfId="0" applyFill="1" applyBorder="1" applyAlignment="1">
      <alignment vertical="top" wrapText="1"/>
    </xf>
    <xf numFmtId="1" fontId="25" fillId="36" borderId="0" xfId="0" applyNumberFormat="1" applyFont="1" applyFill="1"/>
    <xf numFmtId="1" fontId="0" fillId="0" borderId="0" xfId="0" applyNumberFormat="1" applyAlignment="1">
      <alignment horizontal="center"/>
    </xf>
    <xf numFmtId="164" fontId="43" fillId="0" borderId="0" xfId="0" applyNumberFormat="1" applyFont="1" applyBorder="1" applyAlignment="1">
      <alignment horizontal="center"/>
    </xf>
    <xf numFmtId="0" fontId="42" fillId="0" borderId="1" xfId="0" applyFont="1" applyBorder="1" applyAlignment="1">
      <alignment vertical="top"/>
    </xf>
    <xf numFmtId="0" fontId="0" fillId="0" borderId="1" xfId="0" applyBorder="1" applyAlignment="1">
      <alignment vertical="top"/>
    </xf>
    <xf numFmtId="1" fontId="0" fillId="0" borderId="1" xfId="0" applyNumberFormat="1" applyBorder="1" applyAlignment="1">
      <alignment horizontal="left" vertical="top" wrapText="1"/>
    </xf>
    <xf numFmtId="164" fontId="0" fillId="0" borderId="1" xfId="0" applyNumberFormat="1" applyBorder="1" applyAlignment="1">
      <alignment horizontal="center" vertical="top"/>
    </xf>
    <xf numFmtId="0" fontId="25" fillId="0" borderId="1" xfId="0" applyFont="1" applyBorder="1" applyAlignment="1">
      <alignment vertical="top"/>
    </xf>
    <xf numFmtId="0" fontId="3" fillId="0" borderId="5" xfId="0" applyFont="1" applyBorder="1" applyAlignment="1">
      <alignment vertical="top" wrapText="1"/>
    </xf>
    <xf numFmtId="0" fontId="3" fillId="49" borderId="1" xfId="0" applyFont="1" applyFill="1" applyBorder="1" applyAlignment="1">
      <alignment wrapText="1"/>
    </xf>
    <xf numFmtId="1" fontId="3" fillId="0" borderId="8" xfId="0" applyNumberFormat="1" applyFont="1" applyFill="1" applyBorder="1" applyAlignment="1">
      <alignment horizontal="center"/>
    </xf>
    <xf numFmtId="0" fontId="0" fillId="0" borderId="0" xfId="0" applyFont="1" applyAlignment="1">
      <alignment horizontal="center" vertical="center"/>
    </xf>
    <xf numFmtId="0" fontId="0" fillId="0" borderId="0" xfId="0" applyFont="1" applyAlignment="1">
      <alignment horizontal="center" vertical="top"/>
    </xf>
    <xf numFmtId="1" fontId="31" fillId="0" borderId="1" xfId="0" applyNumberFormat="1" applyFont="1" applyFill="1" applyBorder="1" applyAlignment="1">
      <alignment horizontal="center"/>
    </xf>
    <xf numFmtId="0" fontId="31" fillId="0" borderId="1" xfId="0" applyFont="1" applyFill="1" applyBorder="1" applyAlignment="1">
      <alignment wrapText="1"/>
    </xf>
    <xf numFmtId="0" fontId="31" fillId="0" borderId="1" xfId="0" applyFont="1" applyFill="1" applyBorder="1"/>
    <xf numFmtId="0" fontId="3" fillId="0" borderId="2" xfId="0" applyFont="1" applyFill="1" applyBorder="1" applyAlignment="1">
      <alignment wrapText="1"/>
    </xf>
    <xf numFmtId="0" fontId="45" fillId="0" borderId="1" xfId="0" applyFont="1" applyBorder="1" applyAlignment="1">
      <alignment wrapText="1"/>
    </xf>
    <xf numFmtId="0" fontId="5" fillId="0" borderId="2" xfId="0" applyFont="1" applyBorder="1"/>
    <xf numFmtId="0" fontId="46" fillId="38" borderId="36" xfId="0" applyFont="1" applyFill="1" applyBorder="1" applyAlignment="1">
      <alignment horizontal="center"/>
    </xf>
    <xf numFmtId="9" fontId="44" fillId="38" borderId="44" xfId="44" applyFont="1" applyFill="1" applyBorder="1" applyAlignment="1">
      <alignment horizontal="center" vertical="top"/>
    </xf>
    <xf numFmtId="1" fontId="3" fillId="0" borderId="8" xfId="0" applyNumberFormat="1" applyFont="1" applyBorder="1" applyAlignment="1">
      <alignment horizontal="center"/>
    </xf>
    <xf numFmtId="0" fontId="47" fillId="0" borderId="20" xfId="0" applyFont="1" applyBorder="1"/>
    <xf numFmtId="0" fontId="0" fillId="0" borderId="1" xfId="0" applyBorder="1"/>
    <xf numFmtId="0" fontId="0" fillId="0" borderId="38" xfId="0" applyBorder="1"/>
    <xf numFmtId="0" fontId="0" fillId="0" borderId="39" xfId="0" applyBorder="1"/>
    <xf numFmtId="0" fontId="0" fillId="0" borderId="43" xfId="0" applyBorder="1"/>
    <xf numFmtId="0" fontId="0" fillId="0" borderId="44" xfId="0" applyBorder="1"/>
    <xf numFmtId="0" fontId="0" fillId="0" borderId="45" xfId="0" applyBorder="1"/>
    <xf numFmtId="0" fontId="0" fillId="47" borderId="35" xfId="0" applyFill="1" applyBorder="1"/>
    <xf numFmtId="16" fontId="25" fillId="47" borderId="36" xfId="0" applyNumberFormat="1" applyFont="1" applyFill="1" applyBorder="1" applyAlignment="1">
      <alignment vertical="top"/>
    </xf>
    <xf numFmtId="0" fontId="25" fillId="47" borderId="37" xfId="0" applyFont="1" applyFill="1" applyBorder="1" applyAlignment="1">
      <alignment vertical="top"/>
    </xf>
    <xf numFmtId="0" fontId="25" fillId="47" borderId="1" xfId="0" applyFont="1" applyFill="1" applyBorder="1" applyAlignment="1">
      <alignment vertical="top"/>
    </xf>
    <xf numFmtId="0" fontId="0" fillId="0" borderId="1" xfId="0" applyBorder="1" applyAlignment="1">
      <alignment horizontal="center"/>
    </xf>
    <xf numFmtId="0" fontId="25" fillId="47" borderId="35" xfId="0" applyFont="1" applyFill="1" applyBorder="1" applyAlignment="1">
      <alignment vertical="top"/>
    </xf>
    <xf numFmtId="0" fontId="25" fillId="47" borderId="36" xfId="0" applyFont="1" applyFill="1" applyBorder="1" applyAlignment="1">
      <alignment vertical="top"/>
    </xf>
    <xf numFmtId="0" fontId="0" fillId="0" borderId="44" xfId="0" applyBorder="1" applyAlignment="1">
      <alignment horizontal="center"/>
    </xf>
    <xf numFmtId="0" fontId="25" fillId="47" borderId="46" xfId="0" applyFont="1" applyFill="1" applyBorder="1" applyAlignment="1">
      <alignment vertical="top"/>
    </xf>
    <xf numFmtId="0" fontId="0" fillId="0" borderId="3" xfId="0" applyBorder="1" applyAlignment="1">
      <alignment horizontal="center"/>
    </xf>
    <xf numFmtId="0" fontId="0" fillId="0" borderId="47" xfId="0" applyBorder="1" applyAlignment="1">
      <alignment horizontal="center"/>
    </xf>
    <xf numFmtId="0" fontId="0" fillId="47" borderId="1" xfId="0" applyFill="1" applyBorder="1"/>
    <xf numFmtId="0" fontId="25" fillId="47" borderId="25" xfId="0" applyFont="1" applyFill="1" applyBorder="1" applyAlignment="1">
      <alignment vertical="top"/>
    </xf>
    <xf numFmtId="0" fontId="48" fillId="0" borderId="1" xfId="0" applyFont="1" applyBorder="1"/>
    <xf numFmtId="0" fontId="48" fillId="0" borderId="1" xfId="0" applyFont="1" applyBorder="1" applyAlignment="1">
      <alignment horizontal="center"/>
    </xf>
    <xf numFmtId="0" fontId="48" fillId="0" borderId="1" xfId="0" applyFont="1" applyFill="1" applyBorder="1"/>
    <xf numFmtId="0" fontId="48" fillId="0" borderId="1" xfId="0" applyFont="1" applyFill="1" applyBorder="1" applyAlignment="1">
      <alignment horizontal="center"/>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wrapText="1"/>
    </xf>
    <xf numFmtId="1" fontId="48" fillId="0" borderId="1" xfId="0" applyNumberFormat="1" applyFont="1" applyFill="1" applyBorder="1" applyAlignment="1">
      <alignment horizontal="center"/>
    </xf>
    <xf numFmtId="0" fontId="48" fillId="0" borderId="1" xfId="0" applyFont="1" applyFill="1" applyBorder="1" applyAlignment="1">
      <alignment wrapText="1"/>
    </xf>
    <xf numFmtId="0" fontId="49" fillId="0" borderId="1" xfId="0" applyFont="1" applyFill="1" applyBorder="1" applyAlignment="1">
      <alignment wrapText="1"/>
    </xf>
    <xf numFmtId="0" fontId="25" fillId="47" borderId="0" xfId="0" applyFont="1" applyFill="1" applyBorder="1" applyAlignment="1">
      <alignment vertical="top" wrapText="1"/>
    </xf>
    <xf numFmtId="0" fontId="0" fillId="0" borderId="1" xfId="0" applyFill="1" applyBorder="1" applyAlignment="1">
      <alignment horizontal="center"/>
    </xf>
    <xf numFmtId="0" fontId="0" fillId="0" borderId="0" xfId="0" applyFont="1"/>
    <xf numFmtId="0" fontId="0" fillId="44" borderId="1" xfId="0" applyFill="1" applyBorder="1" applyAlignment="1">
      <alignment horizontal="center"/>
    </xf>
    <xf numFmtId="0" fontId="0" fillId="44" borderId="0" xfId="0" applyFill="1" applyBorder="1"/>
    <xf numFmtId="0" fontId="0" fillId="44" borderId="0" xfId="0" applyFill="1" applyBorder="1" applyAlignment="1">
      <alignment horizontal="center"/>
    </xf>
    <xf numFmtId="0" fontId="0" fillId="44" borderId="0" xfId="0" applyFill="1" applyBorder="1" applyAlignment="1">
      <alignment horizontal="left"/>
    </xf>
    <xf numFmtId="0" fontId="0" fillId="44" borderId="27" xfId="0" applyFill="1" applyBorder="1" applyAlignment="1">
      <alignment horizontal="left"/>
    </xf>
    <xf numFmtId="0" fontId="0" fillId="44" borderId="28" xfId="0" applyFill="1" applyBorder="1" applyAlignment="1">
      <alignment horizontal="center"/>
    </xf>
    <xf numFmtId="0" fontId="0" fillId="50" borderId="0" xfId="0" applyFill="1" applyBorder="1" applyAlignment="1">
      <alignment horizontal="center"/>
    </xf>
    <xf numFmtId="0" fontId="0" fillId="50" borderId="27" xfId="0" applyFill="1" applyBorder="1" applyAlignment="1">
      <alignment horizontal="left"/>
    </xf>
    <xf numFmtId="0" fontId="0" fillId="50" borderId="48" xfId="0" applyFill="1" applyBorder="1"/>
    <xf numFmtId="0" fontId="0" fillId="50" borderId="49" xfId="0" applyFill="1" applyBorder="1" applyAlignment="1">
      <alignment horizontal="center"/>
    </xf>
    <xf numFmtId="0" fontId="0" fillId="50" borderId="50" xfId="0" applyFill="1" applyBorder="1" applyAlignment="1">
      <alignment horizontal="center"/>
    </xf>
    <xf numFmtId="0" fontId="0" fillId="50" borderId="41" xfId="0" applyFill="1" applyBorder="1"/>
    <xf numFmtId="0" fontId="0" fillId="50" borderId="40" xfId="0" applyFill="1" applyBorder="1" applyAlignment="1">
      <alignment horizontal="center"/>
    </xf>
    <xf numFmtId="0" fontId="0" fillId="50" borderId="41" xfId="0" applyFill="1" applyBorder="1" applyAlignment="1">
      <alignment horizontal="left"/>
    </xf>
    <xf numFmtId="0" fontId="0" fillId="50" borderId="28" xfId="0" applyFill="1" applyBorder="1" applyAlignment="1">
      <alignment horizontal="center"/>
    </xf>
    <xf numFmtId="0" fontId="0" fillId="50" borderId="42" xfId="0" applyFill="1" applyBorder="1" applyAlignment="1">
      <alignment horizontal="center"/>
    </xf>
    <xf numFmtId="0" fontId="50" fillId="0" borderId="0" xfId="0" applyFont="1"/>
    <xf numFmtId="0" fontId="0" fillId="0" borderId="35" xfId="0" applyFill="1" applyBorder="1"/>
    <xf numFmtId="0" fontId="0" fillId="0" borderId="36" xfId="0" applyFill="1" applyBorder="1" applyAlignment="1">
      <alignment horizontal="center"/>
    </xf>
    <xf numFmtId="0" fontId="0" fillId="0" borderId="37" xfId="0" applyFill="1" applyBorder="1" applyAlignment="1">
      <alignment horizontal="center"/>
    </xf>
    <xf numFmtId="0" fontId="0" fillId="0" borderId="38" xfId="0" applyFill="1" applyBorder="1"/>
    <xf numFmtId="0" fontId="0" fillId="0" borderId="39" xfId="0" applyFill="1" applyBorder="1" applyAlignment="1">
      <alignment horizontal="center"/>
    </xf>
    <xf numFmtId="0" fontId="0" fillId="0" borderId="38" xfId="0" applyFill="1" applyBorder="1" applyAlignment="1">
      <alignment horizontal="left"/>
    </xf>
    <xf numFmtId="0" fontId="0" fillId="0" borderId="43" xfId="0" applyFill="1" applyBorder="1" applyAlignment="1">
      <alignment horizontal="left"/>
    </xf>
    <xf numFmtId="0" fontId="0" fillId="0" borderId="44" xfId="0" applyFill="1" applyBorder="1" applyAlignment="1">
      <alignment horizontal="center"/>
    </xf>
    <xf numFmtId="0" fontId="0" fillId="0" borderId="44" xfId="0" applyFill="1" applyBorder="1"/>
    <xf numFmtId="0" fontId="0" fillId="0" borderId="1" xfId="0" applyFont="1" applyFill="1" applyBorder="1" applyAlignment="1">
      <alignment horizontal="center"/>
    </xf>
    <xf numFmtId="0" fontId="53" fillId="0" borderId="51" xfId="0" applyFont="1" applyBorder="1" applyAlignment="1">
      <alignment horizontal="center" wrapText="1"/>
    </xf>
    <xf numFmtId="0" fontId="53" fillId="0" borderId="52" xfId="0" applyFont="1" applyBorder="1" applyAlignment="1">
      <alignment horizontal="center" wrapText="1"/>
    </xf>
    <xf numFmtId="0" fontId="48" fillId="0" borderId="1" xfId="0" applyFont="1" applyBorder="1" applyAlignment="1">
      <alignment horizontal="center" vertical="top" wrapText="1"/>
    </xf>
    <xf numFmtId="0" fontId="54" fillId="0" borderId="0" xfId="0" applyFont="1" applyAlignment="1">
      <alignment vertical="top"/>
    </xf>
    <xf numFmtId="0" fontId="25" fillId="47" borderId="36" xfId="0" applyFont="1" applyFill="1" applyBorder="1" applyAlignment="1">
      <alignment vertical="top" wrapText="1"/>
    </xf>
    <xf numFmtId="0" fontId="25" fillId="47" borderId="46" xfId="0" applyFont="1" applyFill="1" applyBorder="1" applyAlignment="1">
      <alignment vertical="top" wrapText="1"/>
    </xf>
    <xf numFmtId="9" fontId="0" fillId="0" borderId="1" xfId="44" applyFont="1" applyBorder="1" applyAlignment="1">
      <alignment horizontal="center"/>
    </xf>
    <xf numFmtId="9" fontId="25" fillId="0" borderId="1" xfId="44" applyFont="1" applyBorder="1" applyAlignment="1">
      <alignment horizontal="center"/>
    </xf>
    <xf numFmtId="0" fontId="55" fillId="0" borderId="53" xfId="0" applyFont="1" applyBorder="1" applyAlignment="1">
      <alignment vertical="top"/>
    </xf>
    <xf numFmtId="0" fontId="55" fillId="0" borderId="54" xfId="0" applyFont="1" applyBorder="1" applyAlignment="1">
      <alignment vertical="top"/>
    </xf>
    <xf numFmtId="0" fontId="0" fillId="0" borderId="34" xfId="0" applyBorder="1" applyAlignment="1">
      <alignment vertical="top"/>
    </xf>
    <xf numFmtId="0" fontId="0" fillId="0" borderId="42" xfId="0" applyBorder="1" applyAlignment="1">
      <alignment vertical="top"/>
    </xf>
    <xf numFmtId="0" fontId="56" fillId="0" borderId="42" xfId="0" applyFont="1" applyBorder="1" applyAlignment="1">
      <alignment vertical="top" wrapText="1"/>
    </xf>
    <xf numFmtId="0" fontId="56" fillId="0" borderId="34" xfId="0" applyFont="1" applyBorder="1" applyAlignment="1">
      <alignment vertical="top"/>
    </xf>
    <xf numFmtId="0" fontId="56" fillId="0" borderId="42" xfId="0" applyFont="1" applyBorder="1" applyAlignment="1">
      <alignment vertical="top"/>
    </xf>
    <xf numFmtId="0" fontId="56" fillId="52" borderId="34" xfId="0" applyFont="1" applyFill="1" applyBorder="1" applyAlignment="1">
      <alignment vertical="top"/>
    </xf>
    <xf numFmtId="0" fontId="56" fillId="52" borderId="42" xfId="0" applyFont="1" applyFill="1" applyBorder="1" applyAlignment="1">
      <alignment vertical="top"/>
    </xf>
    <xf numFmtId="0" fontId="56" fillId="52" borderId="42" xfId="0" applyFont="1" applyFill="1" applyBorder="1" applyAlignment="1">
      <alignment vertical="top" wrapText="1"/>
    </xf>
    <xf numFmtId="0" fontId="55" fillId="0" borderId="55" xfId="0" applyFont="1" applyBorder="1" applyAlignment="1">
      <alignment vertical="top" wrapText="1"/>
    </xf>
    <xf numFmtId="0" fontId="56" fillId="0" borderId="32" xfId="0" applyFont="1" applyBorder="1" applyAlignment="1">
      <alignment vertical="top"/>
    </xf>
    <xf numFmtId="0" fontId="56" fillId="0" borderId="32" xfId="0" applyFont="1" applyBorder="1" applyAlignment="1">
      <alignment vertical="top" wrapText="1"/>
    </xf>
    <xf numFmtId="0" fontId="56" fillId="52" borderId="32" xfId="0" applyFont="1" applyFill="1" applyBorder="1" applyAlignment="1">
      <alignment vertical="top"/>
    </xf>
    <xf numFmtId="0" fontId="56" fillId="52" borderId="32" xfId="0" applyFont="1" applyFill="1" applyBorder="1" applyAlignment="1">
      <alignment vertical="top" wrapText="1"/>
    </xf>
    <xf numFmtId="0" fontId="55" fillId="0" borderId="0" xfId="0" applyFont="1" applyFill="1" applyBorder="1" applyAlignment="1">
      <alignment horizontal="center" vertical="top" wrapText="1"/>
    </xf>
    <xf numFmtId="9" fontId="0" fillId="0" borderId="0" xfId="44" applyFont="1" applyAlignment="1">
      <alignment horizontal="center"/>
    </xf>
    <xf numFmtId="0" fontId="25" fillId="0" borderId="1" xfId="0" applyFont="1" applyBorder="1" applyAlignment="1">
      <alignment horizontal="center" vertical="top" wrapText="1"/>
    </xf>
    <xf numFmtId="0" fontId="55" fillId="53" borderId="0" xfId="0" applyFont="1" applyFill="1" applyBorder="1" applyAlignment="1">
      <alignment horizontal="center" vertical="top" wrapText="1"/>
    </xf>
    <xf numFmtId="0" fontId="0" fillId="53" borderId="0" xfId="0" applyFill="1" applyAlignment="1">
      <alignment horizontal="center"/>
    </xf>
    <xf numFmtId="9" fontId="0" fillId="53" borderId="0" xfId="44" applyFont="1" applyFill="1" applyAlignment="1">
      <alignment horizontal="center"/>
    </xf>
    <xf numFmtId="0" fontId="55" fillId="53" borderId="54" xfId="0" applyFont="1" applyFill="1" applyBorder="1" applyAlignment="1">
      <alignment vertical="top"/>
    </xf>
    <xf numFmtId="0" fontId="0" fillId="53" borderId="42" xfId="0" applyFill="1" applyBorder="1" applyAlignment="1">
      <alignment vertical="top"/>
    </xf>
    <xf numFmtId="0" fontId="56" fillId="53" borderId="42" xfId="0" applyFont="1" applyFill="1" applyBorder="1" applyAlignment="1">
      <alignment vertical="top"/>
    </xf>
    <xf numFmtId="0" fontId="56" fillId="53" borderId="32" xfId="0" applyFont="1" applyFill="1" applyBorder="1" applyAlignment="1">
      <alignment vertical="top"/>
    </xf>
    <xf numFmtId="9" fontId="0" fillId="0" borderId="0" xfId="0" applyNumberFormat="1"/>
    <xf numFmtId="0" fontId="52" fillId="0" borderId="1" xfId="0" applyFont="1" applyBorder="1" applyAlignment="1">
      <alignment horizontal="left" readingOrder="1"/>
    </xf>
    <xf numFmtId="0" fontId="0" fillId="54" borderId="1" xfId="0" applyFill="1" applyBorder="1" applyAlignment="1">
      <alignment horizontal="center"/>
    </xf>
    <xf numFmtId="0" fontId="25" fillId="0" borderId="1" xfId="0" applyFont="1" applyBorder="1" applyAlignment="1">
      <alignment horizontal="center"/>
    </xf>
    <xf numFmtId="0" fontId="51" fillId="0" borderId="1" xfId="0" applyFont="1" applyBorder="1"/>
    <xf numFmtId="0" fontId="51" fillId="0" borderId="1" xfId="0" applyFont="1" applyFill="1" applyBorder="1"/>
    <xf numFmtId="0" fontId="25" fillId="0" borderId="1" xfId="0" applyFont="1" applyBorder="1"/>
    <xf numFmtId="0" fontId="25" fillId="54" borderId="1" xfId="0" applyFont="1" applyFill="1" applyBorder="1"/>
    <xf numFmtId="0" fontId="25" fillId="54" borderId="1" xfId="0" applyFont="1" applyFill="1" applyBorder="1" applyAlignment="1">
      <alignment horizontal="center" vertical="top" wrapText="1"/>
    </xf>
    <xf numFmtId="0" fontId="25" fillId="0" borderId="0" xfId="0" applyFont="1" applyAlignment="1">
      <alignment horizontal="center" textRotation="255"/>
    </xf>
    <xf numFmtId="0" fontId="35" fillId="0" borderId="0" xfId="0" applyFont="1" applyAlignment="1">
      <alignment horizontal="center" textRotation="255"/>
    </xf>
    <xf numFmtId="0" fontId="58" fillId="0" borderId="2" xfId="0" applyFont="1" applyFill="1" applyBorder="1"/>
    <xf numFmtId="0" fontId="58" fillId="0" borderId="1" xfId="0" applyFont="1" applyFill="1" applyBorder="1"/>
    <xf numFmtId="0" fontId="58" fillId="0" borderId="1" xfId="0" applyFont="1" applyFill="1" applyBorder="1" applyAlignment="1">
      <alignment wrapText="1"/>
    </xf>
    <xf numFmtId="1" fontId="58" fillId="0" borderId="1" xfId="0" applyNumberFormat="1" applyFont="1" applyFill="1" applyBorder="1" applyAlignment="1">
      <alignment horizontal="center"/>
    </xf>
    <xf numFmtId="0" fontId="58" fillId="0" borderId="1" xfId="0" applyFont="1" applyFill="1" applyBorder="1" applyAlignment="1">
      <alignment horizontal="center"/>
    </xf>
    <xf numFmtId="49" fontId="58" fillId="0" borderId="1" xfId="0" applyNumberFormat="1" applyFont="1" applyFill="1" applyBorder="1" applyAlignment="1">
      <alignment horizontal="center"/>
    </xf>
    <xf numFmtId="1" fontId="59" fillId="0" borderId="1" xfId="0" applyNumberFormat="1" applyFont="1" applyFill="1" applyBorder="1" applyAlignment="1">
      <alignment horizontal="center"/>
    </xf>
    <xf numFmtId="0" fontId="59" fillId="0" borderId="1" xfId="0" applyFont="1" applyFill="1" applyBorder="1" applyAlignment="1">
      <alignment wrapText="1"/>
    </xf>
    <xf numFmtId="0" fontId="58" fillId="0" borderId="1" xfId="0" applyFont="1" applyBorder="1" applyAlignment="1">
      <alignment horizontal="center"/>
    </xf>
    <xf numFmtId="0" fontId="58" fillId="0" borderId="1" xfId="0" applyFont="1" applyBorder="1"/>
    <xf numFmtId="0" fontId="58" fillId="0" borderId="1" xfId="0" applyFont="1" applyBorder="1" applyAlignment="1">
      <alignment wrapText="1"/>
    </xf>
    <xf numFmtId="0" fontId="59" fillId="0" borderId="1" xfId="0" applyFont="1" applyBorder="1" applyAlignment="1">
      <alignment wrapText="1"/>
    </xf>
    <xf numFmtId="0" fontId="3" fillId="0" borderId="1" xfId="0" applyFont="1" applyBorder="1" applyAlignment="1">
      <alignment horizontal="center" vertical="center"/>
    </xf>
    <xf numFmtId="49" fontId="48" fillId="0" borderId="1" xfId="0" applyNumberFormat="1" applyFont="1" applyFill="1" applyBorder="1" applyAlignment="1">
      <alignment horizontal="center"/>
    </xf>
    <xf numFmtId="1" fontId="49" fillId="0" borderId="1" xfId="0" applyNumberFormat="1" applyFont="1" applyFill="1" applyBorder="1" applyAlignment="1">
      <alignment horizontal="center"/>
    </xf>
    <xf numFmtId="49" fontId="58" fillId="0" borderId="1" xfId="0" applyNumberFormat="1" applyFont="1" applyFill="1" applyBorder="1"/>
    <xf numFmtId="0" fontId="58" fillId="0" borderId="2" xfId="0" applyFont="1" applyBorder="1"/>
    <xf numFmtId="0" fontId="48" fillId="0" borderId="1" xfId="0" applyFont="1" applyFill="1" applyBorder="1" applyAlignment="1">
      <alignment horizontal="center" vertical="center"/>
    </xf>
    <xf numFmtId="0" fontId="0" fillId="0" borderId="0" xfId="0" applyFill="1" applyAlignment="1">
      <alignment vertical="top"/>
    </xf>
    <xf numFmtId="0" fontId="0" fillId="0" borderId="0" xfId="0" applyFill="1" applyBorder="1" applyAlignment="1">
      <alignment vertical="top"/>
    </xf>
    <xf numFmtId="0" fontId="3" fillId="0" borderId="5" xfId="0" applyFont="1" applyFill="1" applyBorder="1" applyAlignment="1">
      <alignment vertical="top" wrapText="1"/>
    </xf>
    <xf numFmtId="0" fontId="58" fillId="0" borderId="1" xfId="0" applyFont="1" applyBorder="1" applyAlignment="1">
      <alignment vertical="top" wrapText="1"/>
    </xf>
    <xf numFmtId="0" fontId="58" fillId="0" borderId="1" xfId="0" applyFont="1" applyFill="1" applyBorder="1" applyAlignment="1">
      <alignment vertical="top" wrapText="1"/>
    </xf>
    <xf numFmtId="0" fontId="3" fillId="0" borderId="3" xfId="0" applyFont="1" applyFill="1" applyBorder="1" applyAlignment="1">
      <alignment vertical="top" wrapText="1"/>
    </xf>
    <xf numFmtId="0" fontId="3" fillId="0" borderId="3" xfId="0" applyFont="1" applyBorder="1" applyAlignment="1">
      <alignment vertical="top" wrapText="1"/>
    </xf>
    <xf numFmtId="0" fontId="48" fillId="0" borderId="3" xfId="0" applyFont="1" applyBorder="1" applyAlignment="1">
      <alignment vertical="top" wrapText="1"/>
    </xf>
    <xf numFmtId="0" fontId="3" fillId="0" borderId="9" xfId="0" applyFont="1" applyBorder="1" applyAlignment="1">
      <alignment vertical="top" wrapText="1"/>
    </xf>
    <xf numFmtId="0" fontId="53" fillId="51" borderId="56" xfId="0" applyFont="1" applyFill="1" applyBorder="1" applyAlignment="1">
      <alignment horizontal="center" wrapText="1"/>
    </xf>
    <xf numFmtId="0" fontId="53" fillId="0" borderId="57" xfId="0" applyFont="1" applyBorder="1" applyAlignment="1">
      <alignment horizontal="center" wrapText="1"/>
    </xf>
    <xf numFmtId="0" fontId="3" fillId="36" borderId="39" xfId="0" applyFont="1" applyFill="1" applyBorder="1" applyAlignment="1">
      <alignment horizontal="center"/>
    </xf>
    <xf numFmtId="0" fontId="53" fillId="0" borderId="58" xfId="0" applyFont="1" applyBorder="1" applyAlignment="1">
      <alignment horizontal="center" wrapText="1"/>
    </xf>
    <xf numFmtId="0" fontId="60" fillId="36" borderId="45" xfId="0" applyFont="1" applyFill="1" applyBorder="1" applyAlignment="1">
      <alignment horizontal="center"/>
    </xf>
    <xf numFmtId="0" fontId="3" fillId="36" borderId="35" xfId="0" applyFont="1" applyFill="1" applyBorder="1"/>
    <xf numFmtId="0" fontId="3" fillId="36" borderId="38" xfId="0" applyFont="1" applyFill="1" applyBorder="1"/>
    <xf numFmtId="0" fontId="44" fillId="38" borderId="35" xfId="0" applyFont="1" applyFill="1" applyBorder="1" applyAlignment="1"/>
    <xf numFmtId="0" fontId="44" fillId="38" borderId="43" xfId="0" applyFont="1" applyFill="1" applyBorder="1" applyAlignment="1"/>
    <xf numFmtId="0" fontId="46" fillId="0" borderId="20" xfId="0" applyFont="1" applyFill="1" applyBorder="1" applyAlignment="1">
      <alignment horizontal="center"/>
    </xf>
    <xf numFmtId="0" fontId="44" fillId="36" borderId="43" xfId="0" applyFont="1" applyFill="1" applyBorder="1" applyAlignment="1"/>
    <xf numFmtId="0" fontId="25" fillId="0" borderId="0" xfId="0" applyFont="1" applyFill="1" applyAlignment="1">
      <alignment vertical="top"/>
    </xf>
    <xf numFmtId="0" fontId="0" fillId="0" borderId="43" xfId="0" applyFill="1" applyBorder="1" applyAlignment="1">
      <alignment vertical="top" wrapText="1"/>
    </xf>
    <xf numFmtId="0" fontId="0" fillId="36" borderId="38" xfId="0" applyFill="1" applyBorder="1" applyAlignment="1">
      <alignment vertical="top" wrapText="1"/>
    </xf>
    <xf numFmtId="0" fontId="0" fillId="36" borderId="35" xfId="0" applyFill="1" applyBorder="1" applyAlignment="1">
      <alignment vertical="top" wrapText="1"/>
    </xf>
    <xf numFmtId="0" fontId="0" fillId="36" borderId="60" xfId="0" applyFill="1" applyBorder="1" applyAlignment="1">
      <alignment vertical="top" wrapText="1"/>
    </xf>
    <xf numFmtId="0" fontId="0" fillId="36" borderId="43" xfId="0" applyFill="1" applyBorder="1" applyAlignment="1">
      <alignment vertical="top" wrapText="1"/>
    </xf>
    <xf numFmtId="0" fontId="0" fillId="36" borderId="61" xfId="0" applyFill="1" applyBorder="1" applyAlignment="1">
      <alignment vertical="top" wrapText="1"/>
    </xf>
    <xf numFmtId="0" fontId="0" fillId="0" borderId="61" xfId="0" applyFill="1" applyBorder="1" applyAlignment="1">
      <alignment vertical="top"/>
    </xf>
    <xf numFmtId="0" fontId="0" fillId="0" borderId="62" xfId="0" applyFill="1" applyBorder="1" applyAlignment="1">
      <alignment vertical="top" wrapText="1"/>
    </xf>
    <xf numFmtId="0" fontId="0" fillId="0" borderId="64" xfId="0" applyFill="1" applyBorder="1" applyAlignment="1">
      <alignment vertical="top" wrapText="1"/>
    </xf>
    <xf numFmtId="0" fontId="0" fillId="0" borderId="65" xfId="0" applyFill="1" applyBorder="1" applyAlignment="1">
      <alignment vertical="top" wrapText="1"/>
    </xf>
    <xf numFmtId="0" fontId="25" fillId="0" borderId="1" xfId="0" applyFont="1" applyFill="1" applyBorder="1" applyAlignment="1">
      <alignment horizontal="center" vertical="top" wrapText="1"/>
    </xf>
    <xf numFmtId="9" fontId="0" fillId="0" borderId="3" xfId="44" applyFont="1" applyFill="1" applyBorder="1" applyAlignment="1">
      <alignment horizontal="center" vertical="top"/>
    </xf>
    <xf numFmtId="9" fontId="0" fillId="0" borderId="9" xfId="44" applyFont="1" applyFill="1" applyBorder="1" applyAlignment="1">
      <alignment horizontal="center" vertical="top"/>
    </xf>
    <xf numFmtId="0" fontId="0" fillId="0" borderId="66" xfId="0" applyFill="1" applyBorder="1" applyAlignment="1">
      <alignment vertical="top"/>
    </xf>
    <xf numFmtId="9" fontId="0" fillId="0" borderId="66" xfId="44" applyFont="1" applyFill="1" applyBorder="1" applyAlignment="1">
      <alignment horizontal="center" vertical="top"/>
    </xf>
    <xf numFmtId="9" fontId="0" fillId="0" borderId="46" xfId="44" applyFont="1" applyFill="1" applyBorder="1" applyAlignment="1">
      <alignment horizontal="center" vertical="top"/>
    </xf>
    <xf numFmtId="9" fontId="0" fillId="0" borderId="47" xfId="44" applyFont="1" applyFill="1" applyBorder="1" applyAlignment="1">
      <alignment horizontal="center" vertical="top"/>
    </xf>
    <xf numFmtId="9" fontId="0" fillId="0" borderId="25" xfId="44" applyFont="1" applyFill="1" applyBorder="1" applyAlignment="1">
      <alignment horizontal="center" vertical="top"/>
    </xf>
    <xf numFmtId="9" fontId="0" fillId="0" borderId="67" xfId="44" applyFont="1" applyFill="1" applyBorder="1" applyAlignment="1">
      <alignment horizontal="center" vertical="top"/>
    </xf>
    <xf numFmtId="9" fontId="0" fillId="0" borderId="68" xfId="44" applyFont="1" applyFill="1" applyBorder="1" applyAlignment="1">
      <alignment horizontal="center" vertical="top"/>
    </xf>
    <xf numFmtId="0" fontId="25" fillId="0" borderId="1" xfId="0" applyFont="1" applyFill="1" applyBorder="1" applyAlignment="1">
      <alignment vertical="top" wrapText="1"/>
    </xf>
    <xf numFmtId="0" fontId="0" fillId="0" borderId="1" xfId="0" applyFill="1" applyBorder="1" applyAlignment="1">
      <alignment vertical="top"/>
    </xf>
    <xf numFmtId="9" fontId="0" fillId="0" borderId="1" xfId="44" applyFont="1" applyFill="1" applyBorder="1" applyAlignment="1">
      <alignment horizontal="center" vertical="top"/>
    </xf>
    <xf numFmtId="0" fontId="0" fillId="0" borderId="44" xfId="0" applyFill="1" applyBorder="1" applyAlignment="1">
      <alignment vertical="top"/>
    </xf>
    <xf numFmtId="0" fontId="25" fillId="0" borderId="38" xfId="0" applyFont="1" applyFill="1" applyBorder="1" applyAlignment="1">
      <alignment horizontal="center" vertical="top" wrapText="1"/>
    </xf>
    <xf numFmtId="0" fontId="25" fillId="0" borderId="39" xfId="0" applyFont="1" applyFill="1" applyBorder="1" applyAlignment="1">
      <alignment horizontal="center" vertical="top" wrapText="1"/>
    </xf>
    <xf numFmtId="0" fontId="0" fillId="0" borderId="38" xfId="0" applyFill="1" applyBorder="1" applyAlignment="1">
      <alignment vertical="top" wrapText="1"/>
    </xf>
    <xf numFmtId="9" fontId="0" fillId="0" borderId="39" xfId="44" applyFont="1" applyFill="1" applyBorder="1" applyAlignment="1">
      <alignment horizontal="center" vertical="top"/>
    </xf>
    <xf numFmtId="0" fontId="0" fillId="0" borderId="38" xfId="0" applyFill="1" applyBorder="1" applyAlignment="1">
      <alignment vertical="top"/>
    </xf>
    <xf numFmtId="0" fontId="0" fillId="0" borderId="43" xfId="0" applyFill="1" applyBorder="1" applyAlignment="1">
      <alignment vertical="top"/>
    </xf>
    <xf numFmtId="9" fontId="0" fillId="0" borderId="44" xfId="44" applyFont="1" applyFill="1" applyBorder="1" applyAlignment="1">
      <alignment horizontal="center" vertical="top"/>
    </xf>
    <xf numFmtId="9" fontId="0" fillId="0" borderId="45" xfId="44" applyFont="1" applyFill="1" applyBorder="1" applyAlignment="1">
      <alignment horizontal="center" vertical="top"/>
    </xf>
    <xf numFmtId="0" fontId="25" fillId="0" borderId="75" xfId="0" applyFont="1" applyFill="1" applyBorder="1" applyAlignment="1">
      <alignment horizontal="center" vertical="top"/>
    </xf>
    <xf numFmtId="0" fontId="0" fillId="36" borderId="62" xfId="0" applyFill="1" applyBorder="1" applyAlignment="1">
      <alignment vertical="top" wrapText="1"/>
    </xf>
    <xf numFmtId="0" fontId="0" fillId="0" borderId="61" xfId="0" applyFill="1" applyBorder="1" applyAlignment="1">
      <alignment vertical="top" wrapText="1"/>
    </xf>
    <xf numFmtId="0" fontId="25" fillId="0" borderId="48" xfId="0" applyFont="1" applyFill="1" applyBorder="1" applyAlignment="1">
      <alignment horizontal="center" vertical="top" wrapText="1"/>
    </xf>
    <xf numFmtId="0" fontId="25" fillId="0" borderId="49" xfId="0" applyFont="1" applyFill="1" applyBorder="1" applyAlignment="1">
      <alignment horizontal="center" vertical="top" wrapText="1"/>
    </xf>
    <xf numFmtId="0" fontId="25" fillId="48" borderId="32" xfId="0" applyFont="1" applyFill="1" applyBorder="1" applyAlignment="1">
      <alignment horizontal="center" vertical="top" wrapText="1"/>
    </xf>
    <xf numFmtId="0" fontId="25" fillId="48" borderId="53" xfId="0" applyFont="1" applyFill="1" applyBorder="1" applyAlignment="1">
      <alignment horizontal="center" vertical="top"/>
    </xf>
    <xf numFmtId="0" fontId="0" fillId="48" borderId="53" xfId="0" applyFill="1" applyBorder="1" applyAlignment="1">
      <alignment horizontal="left" vertical="center"/>
    </xf>
    <xf numFmtId="0" fontId="0" fillId="48" borderId="32" xfId="0" applyFill="1" applyBorder="1" applyAlignment="1">
      <alignment horizontal="left" vertical="center"/>
    </xf>
    <xf numFmtId="0" fontId="25" fillId="0" borderId="61" xfId="0" applyFont="1" applyFill="1" applyBorder="1" applyAlignment="1">
      <alignment horizontal="center" vertical="top" wrapText="1"/>
    </xf>
    <xf numFmtId="0" fontId="62" fillId="0" borderId="0" xfId="0" applyFont="1" applyFill="1" applyAlignment="1">
      <alignment vertical="top"/>
    </xf>
    <xf numFmtId="0" fontId="64" fillId="0" borderId="1" xfId="0" applyFont="1" applyFill="1" applyBorder="1" applyAlignment="1">
      <alignment horizontal="center" vertical="top"/>
    </xf>
    <xf numFmtId="0" fontId="64" fillId="0" borderId="1" xfId="0" applyFont="1" applyFill="1" applyBorder="1" applyAlignment="1">
      <alignment vertical="top"/>
    </xf>
    <xf numFmtId="0" fontId="62" fillId="54" borderId="1" xfId="0" applyFont="1" applyFill="1" applyBorder="1" applyAlignment="1">
      <alignment horizontal="center" vertical="top" wrapText="1"/>
    </xf>
    <xf numFmtId="0" fontId="62" fillId="47" borderId="1" xfId="0" applyFont="1" applyFill="1" applyBorder="1" applyAlignment="1">
      <alignment horizontal="center" vertical="top"/>
    </xf>
    <xf numFmtId="0" fontId="64" fillId="0" borderId="1" xfId="0" applyFont="1" applyFill="1" applyBorder="1" applyAlignment="1">
      <alignment vertical="top" wrapText="1"/>
    </xf>
    <xf numFmtId="0" fontId="4" fillId="41" borderId="20"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65" fillId="0" borderId="2" xfId="0" applyFont="1" applyBorder="1"/>
    <xf numFmtId="0" fontId="65" fillId="0" borderId="1" xfId="0" applyFont="1" applyFill="1" applyBorder="1"/>
    <xf numFmtId="0" fontId="65" fillId="0" borderId="1" xfId="0" applyFont="1" applyBorder="1"/>
    <xf numFmtId="0" fontId="65" fillId="0" borderId="1" xfId="0" applyFont="1" applyBorder="1" applyAlignment="1">
      <alignment wrapText="1"/>
    </xf>
    <xf numFmtId="1" fontId="65" fillId="0" borderId="1" xfId="0" applyNumberFormat="1" applyFont="1" applyFill="1" applyBorder="1" applyAlignment="1">
      <alignment horizontal="center"/>
    </xf>
    <xf numFmtId="0" fontId="65" fillId="0" borderId="1" xfId="0" applyFont="1" applyFill="1" applyBorder="1" applyAlignment="1">
      <alignment horizontal="center"/>
    </xf>
    <xf numFmtId="49" fontId="65" fillId="0" borderId="1" xfId="0" applyNumberFormat="1" applyFont="1" applyFill="1" applyBorder="1" applyAlignment="1">
      <alignment horizontal="center"/>
    </xf>
    <xf numFmtId="1" fontId="66" fillId="0" borderId="1" xfId="0" applyNumberFormat="1" applyFont="1" applyFill="1" applyBorder="1" applyAlignment="1">
      <alignment horizontal="center"/>
    </xf>
    <xf numFmtId="0" fontId="65" fillId="0" borderId="1" xfId="0" applyFont="1" applyBorder="1" applyAlignment="1">
      <alignment horizontal="center"/>
    </xf>
    <xf numFmtId="0" fontId="65" fillId="0" borderId="1" xfId="0" applyFont="1" applyFill="1" applyBorder="1" applyAlignment="1">
      <alignment wrapText="1"/>
    </xf>
    <xf numFmtId="0" fontId="66" fillId="0" borderId="1" xfId="0" applyFont="1" applyBorder="1" applyAlignment="1">
      <alignment wrapText="1"/>
    </xf>
    <xf numFmtId="0" fontId="65" fillId="0" borderId="1" xfId="0" applyFont="1" applyFill="1" applyBorder="1" applyAlignment="1">
      <alignment vertical="top" wrapText="1"/>
    </xf>
    <xf numFmtId="0" fontId="3" fillId="0" borderId="1" xfId="0" applyFont="1" applyBorder="1" applyAlignment="1">
      <alignment horizontal="center" vertical="top" wrapText="1"/>
    </xf>
    <xf numFmtId="1" fontId="3" fillId="42" borderId="1" xfId="0" applyNumberFormat="1" applyFont="1" applyFill="1" applyBorder="1" applyAlignment="1">
      <alignment horizontal="center"/>
    </xf>
    <xf numFmtId="49" fontId="3" fillId="42" borderId="1" xfId="0" applyNumberFormat="1" applyFont="1" applyFill="1" applyBorder="1"/>
    <xf numFmtId="1" fontId="31" fillId="42" borderId="1" xfId="0" applyNumberFormat="1" applyFont="1" applyFill="1" applyBorder="1" applyAlignment="1">
      <alignment horizontal="center"/>
    </xf>
    <xf numFmtId="0" fontId="31" fillId="42" borderId="1" xfId="0" applyFont="1" applyFill="1" applyBorder="1" applyAlignment="1">
      <alignment wrapText="1"/>
    </xf>
    <xf numFmtId="0" fontId="3" fillId="42" borderId="1" xfId="0" applyFont="1" applyFill="1" applyBorder="1" applyAlignment="1">
      <alignment vertical="top" wrapText="1"/>
    </xf>
    <xf numFmtId="0" fontId="48" fillId="42" borderId="1" xfId="0" applyFont="1" applyFill="1" applyBorder="1" applyAlignment="1">
      <alignment horizontal="center"/>
    </xf>
    <xf numFmtId="0" fontId="48" fillId="0" borderId="8" xfId="0" applyFont="1" applyFill="1" applyBorder="1" applyAlignment="1">
      <alignment horizontal="center"/>
    </xf>
    <xf numFmtId="0" fontId="46" fillId="0" borderId="24" xfId="0" quotePrefix="1" applyFont="1" applyFill="1" applyBorder="1" applyAlignment="1">
      <alignment horizontal="left"/>
    </xf>
    <xf numFmtId="0" fontId="3" fillId="0" borderId="5" xfId="0" quotePrefix="1" applyFont="1" applyBorder="1" applyAlignment="1">
      <alignment horizontal="left"/>
    </xf>
    <xf numFmtId="0" fontId="3" fillId="36" borderId="5" xfId="0" applyFont="1" applyFill="1" applyBorder="1" applyAlignment="1">
      <alignment horizontal="center"/>
    </xf>
    <xf numFmtId="9" fontId="25" fillId="0" borderId="0" xfId="0" applyNumberFormat="1" applyFont="1" applyFill="1" applyAlignment="1">
      <alignment horizontal="center" vertical="top"/>
    </xf>
    <xf numFmtId="0" fontId="25" fillId="0" borderId="0" xfId="0" applyFont="1" applyFill="1" applyBorder="1" applyAlignment="1">
      <alignment horizontal="center" vertical="top" wrapText="1"/>
    </xf>
    <xf numFmtId="0" fontId="0" fillId="0" borderId="0" xfId="0" applyBorder="1" applyAlignment="1">
      <alignment horizontal="center"/>
    </xf>
    <xf numFmtId="0" fontId="3" fillId="0" borderId="0" xfId="0" applyFont="1" applyFill="1" applyBorder="1"/>
    <xf numFmtId="0" fontId="0" fillId="0" borderId="0" xfId="0" applyFont="1" applyBorder="1" applyAlignment="1">
      <alignment horizontal="center" vertical="center"/>
    </xf>
    <xf numFmtId="0" fontId="3" fillId="36" borderId="79" xfId="0" applyFont="1" applyFill="1" applyBorder="1" applyAlignment="1">
      <alignment horizontal="center"/>
    </xf>
    <xf numFmtId="0" fontId="60" fillId="36" borderId="1" xfId="0" applyFont="1" applyFill="1" applyBorder="1" applyAlignment="1">
      <alignment horizontal="center"/>
    </xf>
    <xf numFmtId="0" fontId="46" fillId="0" borderId="1" xfId="0" quotePrefix="1" applyFont="1" applyFill="1" applyBorder="1" applyAlignment="1">
      <alignment horizontal="left"/>
    </xf>
    <xf numFmtId="0" fontId="3" fillId="0" borderId="0" xfId="0" applyFont="1" applyFill="1" applyBorder="1" applyAlignment="1">
      <alignment horizontal="center"/>
    </xf>
    <xf numFmtId="0" fontId="4" fillId="41" borderId="3" xfId="0" applyNumberFormat="1" applyFont="1" applyFill="1" applyBorder="1" applyAlignment="1">
      <alignment horizontal="center" vertical="center" wrapText="1"/>
    </xf>
    <xf numFmtId="0" fontId="0" fillId="44" borderId="3" xfId="0" applyFill="1" applyBorder="1" applyAlignment="1">
      <alignment horizontal="center"/>
    </xf>
    <xf numFmtId="9" fontId="44" fillId="38" borderId="1" xfId="44" applyFont="1" applyFill="1" applyBorder="1" applyAlignment="1">
      <alignment horizontal="center" vertical="top"/>
    </xf>
    <xf numFmtId="0" fontId="67" fillId="0" borderId="75" xfId="0" applyFont="1" applyFill="1" applyBorder="1" applyAlignment="1">
      <alignment horizontal="center" vertical="top" wrapText="1"/>
    </xf>
    <xf numFmtId="0" fontId="67" fillId="0" borderId="66" xfId="0" applyFont="1" applyFill="1" applyBorder="1" applyAlignment="1">
      <alignment horizontal="center" vertical="top" wrapText="1"/>
    </xf>
    <xf numFmtId="0" fontId="67" fillId="53" borderId="54" xfId="0" applyFont="1" applyFill="1" applyBorder="1" applyAlignment="1">
      <alignment horizontal="center" vertical="top" wrapText="1"/>
    </xf>
    <xf numFmtId="0" fontId="67" fillId="0" borderId="54" xfId="0" applyFont="1" applyFill="1" applyBorder="1" applyAlignment="1">
      <alignment horizontal="center" vertical="top" wrapText="1"/>
    </xf>
    <xf numFmtId="0" fontId="68" fillId="0" borderId="36" xfId="0" applyFont="1" applyFill="1" applyBorder="1" applyAlignment="1">
      <alignment horizontal="center" vertical="top"/>
    </xf>
    <xf numFmtId="1" fontId="68" fillId="0" borderId="36" xfId="0" applyNumberFormat="1" applyFont="1" applyFill="1" applyBorder="1" applyAlignment="1">
      <alignment horizontal="center" vertical="top"/>
    </xf>
    <xf numFmtId="0" fontId="68" fillId="0" borderId="1" xfId="0" applyFont="1" applyFill="1" applyBorder="1" applyAlignment="1">
      <alignment horizontal="center" vertical="top"/>
    </xf>
    <xf numFmtId="1" fontId="68" fillId="0" borderId="1" xfId="0" applyNumberFormat="1" applyFont="1" applyFill="1" applyBorder="1" applyAlignment="1">
      <alignment horizontal="center" vertical="top"/>
    </xf>
    <xf numFmtId="0" fontId="68" fillId="0" borderId="8" xfId="0" applyFont="1" applyFill="1" applyBorder="1" applyAlignment="1">
      <alignment horizontal="center" vertical="top"/>
    </xf>
    <xf numFmtId="1" fontId="68" fillId="0" borderId="8" xfId="0" applyNumberFormat="1" applyFont="1" applyFill="1" applyBorder="1" applyAlignment="1">
      <alignment horizontal="center" vertical="top"/>
    </xf>
    <xf numFmtId="0" fontId="68" fillId="0" borderId="75" xfId="0" applyFont="1" applyFill="1" applyBorder="1" applyAlignment="1">
      <alignment horizontal="center" vertical="top"/>
    </xf>
    <xf numFmtId="1" fontId="68" fillId="0" borderId="75" xfId="0" applyNumberFormat="1" applyFont="1" applyFill="1" applyBorder="1" applyAlignment="1">
      <alignment horizontal="center" vertical="top"/>
    </xf>
    <xf numFmtId="1" fontId="68" fillId="0" borderId="71" xfId="0" applyNumberFormat="1" applyFont="1" applyFill="1" applyBorder="1" applyAlignment="1">
      <alignment horizontal="center" vertical="center"/>
    </xf>
    <xf numFmtId="9" fontId="68" fillId="53" borderId="54" xfId="44" applyFont="1" applyFill="1" applyBorder="1" applyAlignment="1">
      <alignment horizontal="center" vertical="center"/>
    </xf>
    <xf numFmtId="9" fontId="68" fillId="0" borderId="54" xfId="44" applyFont="1" applyFill="1" applyBorder="1" applyAlignment="1">
      <alignment horizontal="center" vertical="center"/>
    </xf>
    <xf numFmtId="1" fontId="68" fillId="0" borderId="73" xfId="0" applyNumberFormat="1" applyFont="1" applyFill="1" applyBorder="1" applyAlignment="1">
      <alignment horizontal="center" vertical="center"/>
    </xf>
    <xf numFmtId="9" fontId="68" fillId="53" borderId="53" xfId="44" applyFont="1" applyFill="1" applyBorder="1" applyAlignment="1">
      <alignment horizontal="center" vertical="center"/>
    </xf>
    <xf numFmtId="9" fontId="68" fillId="0" borderId="53" xfId="44" applyFont="1" applyFill="1" applyBorder="1" applyAlignment="1">
      <alignment horizontal="center" vertical="center"/>
    </xf>
    <xf numFmtId="0" fontId="68" fillId="0" borderId="77" xfId="0" applyFont="1" applyFill="1" applyBorder="1" applyAlignment="1">
      <alignment horizontal="center" vertical="top"/>
    </xf>
    <xf numFmtId="1" fontId="68" fillId="0" borderId="77" xfId="0" applyNumberFormat="1" applyFont="1" applyFill="1" applyBorder="1" applyAlignment="1">
      <alignment horizontal="center" vertical="top"/>
    </xf>
    <xf numFmtId="1" fontId="68" fillId="0" borderId="74" xfId="0" applyNumberFormat="1" applyFont="1" applyFill="1" applyBorder="1" applyAlignment="1">
      <alignment horizontal="center" vertical="center"/>
    </xf>
    <xf numFmtId="9" fontId="68" fillId="53" borderId="32" xfId="44" applyFont="1" applyFill="1" applyBorder="1" applyAlignment="1">
      <alignment horizontal="center" vertical="center"/>
    </xf>
    <xf numFmtId="9" fontId="68" fillId="0" borderId="32" xfId="44" applyFont="1" applyFill="1" applyBorder="1" applyAlignment="1">
      <alignment horizontal="center" vertical="center"/>
    </xf>
    <xf numFmtId="0" fontId="68" fillId="0" borderId="44" xfId="0" applyFont="1" applyFill="1" applyBorder="1" applyAlignment="1">
      <alignment horizontal="center" vertical="top"/>
    </xf>
    <xf numFmtId="1" fontId="68" fillId="0" borderId="44" xfId="0" applyNumberFormat="1" applyFont="1" applyFill="1" applyBorder="1" applyAlignment="1">
      <alignment horizontal="center" vertical="top"/>
    </xf>
    <xf numFmtId="0" fontId="68" fillId="0" borderId="0" xfId="0" applyFont="1" applyFill="1" applyAlignment="1">
      <alignment vertical="top"/>
    </xf>
    <xf numFmtId="1" fontId="67" fillId="0" borderId="0" xfId="0" applyNumberFormat="1" applyFont="1" applyFill="1" applyAlignment="1">
      <alignment horizontal="right" vertical="top"/>
    </xf>
    <xf numFmtId="1" fontId="67" fillId="0" borderId="53" xfId="0" applyNumberFormat="1" applyFont="1" applyFill="1" applyBorder="1" applyAlignment="1">
      <alignment horizontal="center" vertical="top"/>
    </xf>
    <xf numFmtId="1" fontId="67" fillId="0" borderId="0" xfId="0" applyNumberFormat="1" applyFont="1" applyFill="1" applyAlignment="1">
      <alignment horizontal="center" vertical="top"/>
    </xf>
    <xf numFmtId="9" fontId="68" fillId="0" borderId="0" xfId="0" applyNumberFormat="1" applyFont="1" applyFill="1" applyAlignment="1">
      <alignment vertical="top"/>
    </xf>
    <xf numFmtId="0" fontId="67" fillId="0" borderId="0" xfId="0" applyFont="1" applyFill="1" applyAlignment="1">
      <alignment horizontal="right" vertical="top"/>
    </xf>
    <xf numFmtId="1" fontId="67" fillId="0" borderId="76" xfId="0" applyNumberFormat="1" applyFont="1" applyFill="1" applyBorder="1" applyAlignment="1">
      <alignment horizontal="center" vertical="top" wrapText="1"/>
    </xf>
    <xf numFmtId="0" fontId="67" fillId="0" borderId="0" xfId="0" applyFont="1" applyFill="1" applyAlignment="1">
      <alignment vertical="top"/>
    </xf>
    <xf numFmtId="9" fontId="64" fillId="55" borderId="1" xfId="0" applyNumberFormat="1" applyFont="1" applyFill="1" applyBorder="1" applyAlignment="1">
      <alignment horizontal="center" vertical="top"/>
    </xf>
    <xf numFmtId="0" fontId="64" fillId="55" borderId="1" xfId="0" applyFont="1" applyFill="1" applyBorder="1" applyAlignment="1">
      <alignment horizontal="center" vertical="top"/>
    </xf>
    <xf numFmtId="9" fontId="64" fillId="55" borderId="1" xfId="44" applyFont="1" applyFill="1" applyBorder="1" applyAlignment="1">
      <alignment horizontal="center" vertical="top"/>
    </xf>
    <xf numFmtId="0" fontId="5" fillId="56" borderId="2" xfId="0" applyFont="1" applyFill="1" applyBorder="1"/>
    <xf numFmtId="0" fontId="3" fillId="56" borderId="1" xfId="0" applyFont="1" applyFill="1" applyBorder="1"/>
    <xf numFmtId="0" fontId="3" fillId="56" borderId="1" xfId="0" applyFont="1" applyFill="1" applyBorder="1" applyAlignment="1">
      <alignment wrapText="1"/>
    </xf>
    <xf numFmtId="1" fontId="3" fillId="56" borderId="1" xfId="0" applyNumberFormat="1" applyFont="1" applyFill="1" applyBorder="1" applyAlignment="1">
      <alignment horizontal="center"/>
    </xf>
    <xf numFmtId="0" fontId="3" fillId="56" borderId="1" xfId="0" applyFont="1" applyFill="1" applyBorder="1" applyAlignment="1">
      <alignment horizontal="center"/>
    </xf>
    <xf numFmtId="49" fontId="3" fillId="56" borderId="1" xfId="0" applyNumberFormat="1" applyFont="1" applyFill="1" applyBorder="1" applyAlignment="1">
      <alignment horizontal="center"/>
    </xf>
    <xf numFmtId="0" fontId="57" fillId="0" borderId="3" xfId="0" applyFont="1" applyBorder="1" applyAlignment="1">
      <alignment horizontal="center" vertical="center"/>
    </xf>
    <xf numFmtId="0" fontId="57" fillId="0" borderId="10" xfId="0" applyFont="1" applyBorder="1" applyAlignment="1">
      <alignment horizontal="center" vertical="center"/>
    </xf>
    <xf numFmtId="0" fontId="0" fillId="0" borderId="0" xfId="0"/>
    <xf numFmtId="0" fontId="25" fillId="0" borderId="0" xfId="0" applyFont="1" applyAlignment="1">
      <alignment horizontal="center" textRotation="255"/>
    </xf>
    <xf numFmtId="0" fontId="6" fillId="2" borderId="3" xfId="0" applyFont="1" applyFill="1" applyBorder="1" applyAlignment="1">
      <alignment horizontal="center"/>
    </xf>
    <xf numFmtId="0" fontId="6" fillId="2" borderId="10" xfId="0" applyFont="1" applyFill="1" applyBorder="1" applyAlignment="1">
      <alignment horizontal="center"/>
    </xf>
    <xf numFmtId="0" fontId="6" fillId="2" borderId="2" xfId="0" applyFont="1" applyFill="1" applyBorder="1" applyAlignment="1">
      <alignment horizontal="center"/>
    </xf>
    <xf numFmtId="0" fontId="6" fillId="34" borderId="3" xfId="0" applyFont="1" applyFill="1" applyBorder="1" applyAlignment="1">
      <alignment horizontal="center"/>
    </xf>
    <xf numFmtId="0" fontId="0" fillId="0" borderId="10" xfId="0" applyBorder="1"/>
    <xf numFmtId="0" fontId="0" fillId="0" borderId="2" xfId="0" applyBorder="1"/>
    <xf numFmtId="0" fontId="35" fillId="0" borderId="0" xfId="0" applyFont="1" applyAlignment="1">
      <alignment horizontal="center" textRotation="255"/>
    </xf>
    <xf numFmtId="0" fontId="6" fillId="2" borderId="1" xfId="0" applyFont="1" applyFill="1" applyBorder="1" applyAlignment="1">
      <alignment horizontal="center"/>
    </xf>
    <xf numFmtId="0" fontId="6" fillId="34" borderId="10" xfId="0" applyFont="1" applyFill="1" applyBorder="1" applyAlignment="1">
      <alignment horizontal="center"/>
    </xf>
    <xf numFmtId="0" fontId="0" fillId="0" borderId="2" xfId="0" applyBorder="1" applyAlignment="1"/>
    <xf numFmtId="0" fontId="62" fillId="54" borderId="6" xfId="0" applyFont="1" applyFill="1" applyBorder="1" applyAlignment="1">
      <alignment horizontal="center" vertical="top" wrapText="1"/>
    </xf>
    <xf numFmtId="0" fontId="62" fillId="54" borderId="29" xfId="0" applyFont="1" applyFill="1" applyBorder="1" applyAlignment="1">
      <alignment horizontal="center" vertical="top" wrapText="1"/>
    </xf>
    <xf numFmtId="0" fontId="0" fillId="0" borderId="29" xfId="0" applyBorder="1" applyAlignment="1">
      <alignment vertical="top"/>
    </xf>
    <xf numFmtId="0" fontId="0" fillId="0" borderId="4" xfId="0" applyBorder="1" applyAlignment="1">
      <alignment vertical="top"/>
    </xf>
    <xf numFmtId="1" fontId="68" fillId="0" borderId="63" xfId="0" applyNumberFormat="1" applyFont="1" applyFill="1" applyBorder="1" applyAlignment="1">
      <alignment horizontal="center" vertical="center"/>
    </xf>
    <xf numFmtId="1" fontId="68" fillId="0" borderId="59" xfId="0" applyNumberFormat="1" applyFont="1" applyFill="1" applyBorder="1" applyAlignment="1">
      <alignment horizontal="center" vertical="center"/>
    </xf>
    <xf numFmtId="0" fontId="25" fillId="0" borderId="55" xfId="0" applyFont="1" applyFill="1" applyBorder="1" applyAlignment="1">
      <alignment horizontal="center" vertical="top" wrapText="1"/>
    </xf>
    <xf numFmtId="0" fontId="25" fillId="0" borderId="71" xfId="0" applyFont="1" applyFill="1" applyBorder="1" applyAlignment="1">
      <alignment horizontal="center" vertical="top" wrapText="1"/>
    </xf>
    <xf numFmtId="0" fontId="25" fillId="0" borderId="54" xfId="0" applyFont="1" applyFill="1" applyBorder="1" applyAlignment="1">
      <alignment horizontal="center" vertical="top" wrapText="1"/>
    </xf>
    <xf numFmtId="1" fontId="68" fillId="0" borderId="77" xfId="0" applyNumberFormat="1" applyFont="1" applyFill="1" applyBorder="1" applyAlignment="1">
      <alignment horizontal="center" vertical="center"/>
    </xf>
    <xf numFmtId="1" fontId="68" fillId="0" borderId="20" xfId="0" applyNumberFormat="1" applyFont="1" applyFill="1" applyBorder="1" applyAlignment="1">
      <alignment horizontal="center" vertical="center"/>
    </xf>
    <xf numFmtId="1" fontId="68" fillId="0" borderId="78" xfId="0" applyNumberFormat="1" applyFont="1" applyFill="1" applyBorder="1" applyAlignment="1">
      <alignment horizontal="center" vertical="center"/>
    </xf>
    <xf numFmtId="9" fontId="68" fillId="53" borderId="32" xfId="44" applyFont="1" applyFill="1" applyBorder="1" applyAlignment="1">
      <alignment horizontal="center" vertical="center"/>
    </xf>
    <xf numFmtId="9" fontId="68" fillId="53" borderId="33" xfId="44" applyFont="1" applyFill="1" applyBorder="1" applyAlignment="1">
      <alignment horizontal="center" vertical="center"/>
    </xf>
    <xf numFmtId="9" fontId="68" fillId="53" borderId="34" xfId="44" applyFont="1" applyFill="1" applyBorder="1" applyAlignment="1">
      <alignment horizontal="center" vertical="center"/>
    </xf>
    <xf numFmtId="0" fontId="0" fillId="48" borderId="32" xfId="0" applyFill="1" applyBorder="1" applyAlignment="1">
      <alignment horizontal="left" vertical="center"/>
    </xf>
    <xf numFmtId="0" fontId="0" fillId="48" borderId="33" xfId="0" applyFill="1" applyBorder="1" applyAlignment="1">
      <alignment horizontal="left" vertical="center"/>
    </xf>
    <xf numFmtId="0" fontId="0" fillId="48" borderId="34" xfId="0" applyFill="1" applyBorder="1" applyAlignment="1">
      <alignment horizontal="left" vertical="center"/>
    </xf>
    <xf numFmtId="0" fontId="0" fillId="48" borderId="69" xfId="0" applyFill="1" applyBorder="1" applyAlignment="1">
      <alignment horizontal="left" vertical="center"/>
    </xf>
    <xf numFmtId="0" fontId="0" fillId="48" borderId="72" xfId="0" applyFill="1" applyBorder="1" applyAlignment="1">
      <alignment horizontal="left" vertical="center"/>
    </xf>
    <xf numFmtId="0" fontId="0" fillId="48" borderId="76" xfId="0" applyFill="1" applyBorder="1" applyAlignment="1">
      <alignment horizontal="left" vertical="center"/>
    </xf>
    <xf numFmtId="0" fontId="0" fillId="48" borderId="70" xfId="0" applyFill="1" applyBorder="1" applyAlignment="1">
      <alignment horizontal="left" vertical="center"/>
    </xf>
    <xf numFmtId="9" fontId="68" fillId="0" borderId="32" xfId="44" applyFont="1" applyFill="1" applyBorder="1" applyAlignment="1">
      <alignment horizontal="center" vertical="center"/>
    </xf>
    <xf numFmtId="9" fontId="68" fillId="0" borderId="33" xfId="44" applyFont="1" applyFill="1" applyBorder="1" applyAlignment="1">
      <alignment horizontal="center" vertical="center"/>
    </xf>
    <xf numFmtId="9" fontId="68" fillId="0" borderId="34" xfId="44" applyFont="1" applyFill="1"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Percent" xfId="44" builtinId="5"/>
    <cellStyle name="Title" xfId="40" builtinId="15" customBuiltin="1"/>
    <cellStyle name="Total" xfId="41" builtinId="25" customBuiltin="1"/>
    <cellStyle name="Warning Text" xfId="42" builtinId="11" customBuiltin="1"/>
  </cellStyles>
  <dxfs count="593">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alignment vertical="bottom" textRotation="0" wrapText="1" justifyLastLine="0" shrinkToFit="0" mergeCell="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1" formatCode="0"/>
      <alignment horizontal="right"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1" formatCode="0"/>
      <fill>
        <patternFill patternType="none">
          <fgColor indexed="64"/>
          <bgColor indexed="65"/>
        </patternFill>
      </fill>
      <alignment horizontal="right"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none"/>
      </font>
      <alignment vertical="bottom" textRotation="0" wrapText="1"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8"/>
        <color indexed="8"/>
        <name val="Calibri"/>
        <scheme val="none"/>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8"/>
        <name val="Calibri"/>
        <scheme val="none"/>
      </font>
    </dxf>
    <dxf>
      <font>
        <b val="0"/>
        <i val="0"/>
        <strike val="0"/>
        <condense val="0"/>
        <extend val="0"/>
        <outline val="0"/>
        <shadow val="0"/>
        <u val="none"/>
        <vertAlign val="baseline"/>
        <sz val="8"/>
        <color indexed="8"/>
        <name val="Calibri"/>
        <scheme val="none"/>
      </font>
    </dxf>
    <dxf>
      <font>
        <b val="0"/>
        <i val="0"/>
        <strike val="0"/>
        <condense val="0"/>
        <extend val="0"/>
        <outline val="0"/>
        <shadow val="0"/>
        <u val="none"/>
        <vertAlign val="baseline"/>
        <sz val="8"/>
        <color indexed="8"/>
        <name val="Calibri"/>
        <scheme val="none"/>
      </font>
    </dxf>
    <dxf>
      <font>
        <b val="0"/>
        <i val="0"/>
        <strike val="0"/>
        <condense val="0"/>
        <extend val="0"/>
        <outline val="0"/>
        <shadow val="0"/>
        <u val="none"/>
        <vertAlign val="baseline"/>
        <sz val="8"/>
        <color indexed="8"/>
        <name val="Calibri"/>
        <scheme val="none"/>
      </font>
      <border outline="0">
        <left style="thin">
          <color indexed="64"/>
        </left>
      </border>
    </dxf>
    <dxf>
      <font>
        <b val="0"/>
        <i val="0"/>
        <strike val="0"/>
        <condense val="0"/>
        <extend val="0"/>
        <outline val="0"/>
        <shadow val="0"/>
        <u val="none"/>
        <vertAlign val="baseline"/>
        <sz val="8"/>
        <color indexed="8"/>
        <name val="Calibri"/>
        <scheme val="none"/>
      </font>
      <alignment horizontal="general"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textRotation="0" wrapText="1"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none"/>
      </font>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none"/>
      </font>
      <numFmt numFmtId="1" formatCode="0"/>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alignment horizontal="center" textRotation="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center" vertical="bottom" textRotation="0" wrapText="0"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numFmt numFmtId="1" formatCode="0"/>
      <alignment horizontal="center" vertical="bottom"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dxf>
    <dxf>
      <font>
        <b val="0"/>
        <i val="0"/>
        <strike val="0"/>
        <condense val="0"/>
        <extend val="0"/>
        <outline val="0"/>
        <shadow val="0"/>
        <u val="none"/>
        <vertAlign val="baseline"/>
        <sz val="8"/>
        <color indexed="8"/>
        <name val="Calibri"/>
        <scheme val="none"/>
      </font>
      <border diagonalUp="0" diagonalDown="0" outline="0">
        <left style="thin">
          <color indexed="64"/>
        </left>
        <right style="thin">
          <color indexed="64"/>
        </right>
        <top/>
        <bottom/>
      </border>
    </dxf>
  </dxfs>
  <tableStyles count="0" defaultTableStyle="TableStyleMedium9" defaultPivotStyle="PivotStyleLight16"/>
  <colors>
    <mruColors>
      <color rgb="FFFFFFFF"/>
      <color rgb="FFFF0000"/>
      <color rgb="FF00B0F0"/>
      <color rgb="FF92D050"/>
      <color rgb="FFD9D9D9"/>
      <color rgb="FF000000"/>
      <color rgb="FFB2B2B2"/>
      <color rgb="FF00CCFF"/>
      <color rgb="FFCC00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Counts Ranked 2-3</a:t>
            </a:r>
            <a:r>
              <a:rPr lang="en-US" baseline="0"/>
              <a:t> </a:t>
            </a:r>
            <a:r>
              <a:rPr lang="en-US"/>
              <a:t>in 'Relevance'</a:t>
            </a:r>
            <a:r>
              <a:rPr lang="en-US" baseline="0"/>
              <a:t> Category  per B+E +Sc Area</a:t>
            </a:r>
            <a:endParaRPr lang="en-US"/>
          </a:p>
        </c:rich>
      </c:tx>
      <c:overlay val="1"/>
    </c:title>
    <c:plotArea>
      <c:layout/>
      <c:barChart>
        <c:barDir val="col"/>
        <c:grouping val="clustered"/>
        <c:varyColors val="1"/>
        <c:ser>
          <c:idx val="0"/>
          <c:order val="0"/>
          <c:spPr>
            <a:ln>
              <a:noFill/>
            </a:ln>
          </c:spPr>
          <c:dLbls>
            <c:txPr>
              <a:bodyPr/>
              <a:lstStyle/>
              <a:p>
                <a:pPr>
                  <a:defRPr sz="1300"/>
                </a:pPr>
                <a:endParaRPr lang="en-US"/>
              </a:p>
            </c:txPr>
            <c:dLblPos val="inEnd"/>
            <c:showVal val="1"/>
          </c:dLbls>
          <c:cat>
            <c:strRef>
              <c:f>charts!$B$1:$V$1</c:f>
              <c:strCache>
                <c:ptCount val="21"/>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pt idx="16">
                  <c:v>Air</c:v>
                </c:pt>
                <c:pt idx="17">
                  <c:v>Soils</c:v>
                </c:pt>
                <c:pt idx="18">
                  <c:v>Water</c:v>
                </c:pt>
                <c:pt idx="19">
                  <c:v>Ecosystems</c:v>
                </c:pt>
                <c:pt idx="20">
                  <c:v>Forests</c:v>
                </c:pt>
              </c:strCache>
            </c:strRef>
          </c:cat>
          <c:val>
            <c:numRef>
              <c:f>charts!$B$24:$V$24</c:f>
              <c:numCache>
                <c:formatCode>General</c:formatCode>
                <c:ptCount val="21"/>
                <c:pt idx="0">
                  <c:v>31</c:v>
                </c:pt>
                <c:pt idx="1">
                  <c:v>20</c:v>
                </c:pt>
                <c:pt idx="2">
                  <c:v>34</c:v>
                </c:pt>
                <c:pt idx="3">
                  <c:v>47</c:v>
                </c:pt>
                <c:pt idx="4">
                  <c:v>28</c:v>
                </c:pt>
                <c:pt idx="5">
                  <c:v>59</c:v>
                </c:pt>
                <c:pt idx="6">
                  <c:v>31</c:v>
                </c:pt>
                <c:pt idx="7">
                  <c:v>19</c:v>
                </c:pt>
                <c:pt idx="8">
                  <c:v>27</c:v>
                </c:pt>
                <c:pt idx="9">
                  <c:v>29</c:v>
                </c:pt>
                <c:pt idx="10">
                  <c:v>33</c:v>
                </c:pt>
                <c:pt idx="11">
                  <c:v>15</c:v>
                </c:pt>
                <c:pt idx="12">
                  <c:v>61</c:v>
                </c:pt>
                <c:pt idx="13">
                  <c:v>40</c:v>
                </c:pt>
                <c:pt idx="14">
                  <c:v>20</c:v>
                </c:pt>
                <c:pt idx="15">
                  <c:v>34</c:v>
                </c:pt>
                <c:pt idx="16">
                  <c:v>30</c:v>
                </c:pt>
                <c:pt idx="17">
                  <c:v>34</c:v>
                </c:pt>
                <c:pt idx="18">
                  <c:v>42</c:v>
                </c:pt>
                <c:pt idx="19">
                  <c:v>40</c:v>
                </c:pt>
                <c:pt idx="20">
                  <c:v>26</c:v>
                </c:pt>
              </c:numCache>
            </c:numRef>
          </c:val>
        </c:ser>
        <c:gapWidth val="20"/>
        <c:axId val="108858368"/>
        <c:axId val="108868352"/>
      </c:barChart>
      <c:catAx>
        <c:axId val="108858368"/>
        <c:scaling>
          <c:orientation val="minMax"/>
        </c:scaling>
        <c:axPos val="b"/>
        <c:tickLblPos val="nextTo"/>
        <c:txPr>
          <a:bodyPr/>
          <a:lstStyle/>
          <a:p>
            <a:pPr>
              <a:defRPr sz="1200"/>
            </a:pPr>
            <a:endParaRPr lang="en-US"/>
          </a:p>
        </c:txPr>
        <c:crossAx val="108868352"/>
        <c:crosses val="autoZero"/>
        <c:auto val="1"/>
        <c:lblAlgn val="ctr"/>
        <c:lblOffset val="100"/>
      </c:catAx>
      <c:valAx>
        <c:axId val="108868352"/>
        <c:scaling>
          <c:orientation val="minMax"/>
        </c:scaling>
        <c:axPos val="l"/>
        <c:majorGridlines/>
        <c:numFmt formatCode="General" sourceLinked="1"/>
        <c:tickLblPos val="nextTo"/>
        <c:crossAx val="108858368"/>
        <c:crosses val="autoZero"/>
        <c:crossBetween val="between"/>
      </c:valAx>
    </c:plotArea>
    <c:plotVisOnly val="1"/>
  </c:chart>
  <c:printSettings>
    <c:headerFooter/>
    <c:pageMargins b="0.75000000000001099" l="0.70000000000000062" r="0.70000000000000062" t="0.750000000000010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a:t>
            </a:r>
            <a:r>
              <a:rPr lang="en-US" sz="1800" b="1" i="0" u="none" strike="noStrike" baseline="0"/>
              <a:t>Counts </a:t>
            </a:r>
            <a:r>
              <a:rPr lang="en-US"/>
              <a:t>Ranked 2-3 in 'Relevance'</a:t>
            </a:r>
            <a:r>
              <a:rPr lang="en-US" baseline="0"/>
              <a:t> Category  per  School</a:t>
            </a:r>
            <a:endParaRPr lang="en-US"/>
          </a:p>
        </c:rich>
      </c:tx>
      <c:layout>
        <c:manualLayout>
          <c:xMode val="edge"/>
          <c:yMode val="edge"/>
          <c:x val="0.35799343602508976"/>
          <c:y val="1.4435696134734102E-2"/>
        </c:manualLayout>
      </c:layout>
      <c:overlay val="1"/>
    </c:title>
    <c:plotArea>
      <c:layout>
        <c:manualLayout>
          <c:layoutTarget val="inner"/>
          <c:xMode val="edge"/>
          <c:yMode val="edge"/>
          <c:x val="9.2431737906211189E-2"/>
          <c:y val="3.2054520100627031E-2"/>
          <c:w val="0.90756826209378882"/>
          <c:h val="0.69973638372853797"/>
        </c:manualLayout>
      </c:layout>
      <c:barChart>
        <c:barDir val="col"/>
        <c:grouping val="clustered"/>
        <c:varyColors val="1"/>
        <c:ser>
          <c:idx val="0"/>
          <c:order val="0"/>
          <c:spPr>
            <a:ln>
              <a:noFill/>
            </a:ln>
          </c:spPr>
          <c:dLbls>
            <c:txPr>
              <a:bodyPr/>
              <a:lstStyle/>
              <a:p>
                <a:pPr>
                  <a:defRPr sz="1300"/>
                </a:pPr>
                <a:endParaRPr lang="en-US"/>
              </a:p>
            </c:txPr>
            <c:dLblPos val="inEnd"/>
            <c:showVal val="1"/>
          </c:dLbls>
          <c:cat>
            <c:strRef>
              <c:f>charts!$A$2:$A$23</c:f>
              <c:strCache>
                <c:ptCount val="22"/>
                <c:pt idx="0">
                  <c:v>Afr.-Afr./Amer. studies</c:v>
                </c:pt>
                <c:pt idx="1">
                  <c:v>Anthropology</c:v>
                </c:pt>
                <c:pt idx="2">
                  <c:v>Architecture</c:v>
                </c:pt>
                <c:pt idx="3">
                  <c:v>Biology</c:v>
                </c:pt>
                <c:pt idx="4">
                  <c:v>Chemistry</c:v>
                </c:pt>
                <c:pt idx="5">
                  <c:v>Divinity</c:v>
                </c:pt>
                <c:pt idx="6">
                  <c:v>Economics</c:v>
                </c:pt>
                <c:pt idx="7">
                  <c:v>Engineering</c:v>
                </c:pt>
                <c:pt idx="8">
                  <c:v>Environmental studies</c:v>
                </c:pt>
                <c:pt idx="9">
                  <c:v>FES</c:v>
                </c:pt>
                <c:pt idx="10">
                  <c:v>Genetics</c:v>
                </c:pt>
                <c:pt idx="11">
                  <c:v>Geology &amp; geophysics</c:v>
                </c:pt>
                <c:pt idx="12">
                  <c:v>History</c:v>
                </c:pt>
                <c:pt idx="13">
                  <c:v>International relations</c:v>
                </c:pt>
                <c:pt idx="14">
                  <c:v>Law</c:v>
                </c:pt>
                <c:pt idx="15">
                  <c:v>Political science</c:v>
                </c:pt>
                <c:pt idx="16">
                  <c:v>Psychology</c:v>
                </c:pt>
                <c:pt idx="17">
                  <c:v>Public health</c:v>
                </c:pt>
                <c:pt idx="18">
                  <c:v>Sociology</c:v>
                </c:pt>
                <c:pt idx="19">
                  <c:v>SOM</c:v>
                </c:pt>
                <c:pt idx="20">
                  <c:v>South asian studies</c:v>
                </c:pt>
                <c:pt idx="21">
                  <c:v>Women's, gend.&amp;sex. </c:v>
                </c:pt>
              </c:strCache>
            </c:strRef>
          </c:cat>
          <c:val>
            <c:numRef>
              <c:f>charts!$Y$2:$Y$23</c:f>
              <c:numCache>
                <c:formatCode>General</c:formatCode>
                <c:ptCount val="22"/>
                <c:pt idx="0">
                  <c:v>0</c:v>
                </c:pt>
                <c:pt idx="1">
                  <c:v>4</c:v>
                </c:pt>
                <c:pt idx="2">
                  <c:v>11</c:v>
                </c:pt>
                <c:pt idx="3">
                  <c:v>14</c:v>
                </c:pt>
                <c:pt idx="4">
                  <c:v>0</c:v>
                </c:pt>
                <c:pt idx="5">
                  <c:v>0</c:v>
                </c:pt>
                <c:pt idx="6">
                  <c:v>41</c:v>
                </c:pt>
                <c:pt idx="7">
                  <c:v>47</c:v>
                </c:pt>
                <c:pt idx="8">
                  <c:v>42</c:v>
                </c:pt>
                <c:pt idx="9">
                  <c:v>423</c:v>
                </c:pt>
                <c:pt idx="10">
                  <c:v>0</c:v>
                </c:pt>
                <c:pt idx="11">
                  <c:v>9</c:v>
                </c:pt>
                <c:pt idx="12">
                  <c:v>7</c:v>
                </c:pt>
                <c:pt idx="13">
                  <c:v>0</c:v>
                </c:pt>
                <c:pt idx="14">
                  <c:v>23</c:v>
                </c:pt>
                <c:pt idx="15">
                  <c:v>4</c:v>
                </c:pt>
                <c:pt idx="16">
                  <c:v>0</c:v>
                </c:pt>
                <c:pt idx="17">
                  <c:v>18</c:v>
                </c:pt>
                <c:pt idx="18">
                  <c:v>0</c:v>
                </c:pt>
                <c:pt idx="19">
                  <c:v>57</c:v>
                </c:pt>
                <c:pt idx="20">
                  <c:v>0</c:v>
                </c:pt>
                <c:pt idx="21">
                  <c:v>0</c:v>
                </c:pt>
              </c:numCache>
            </c:numRef>
          </c:val>
        </c:ser>
        <c:gapWidth val="26"/>
        <c:axId val="108897024"/>
        <c:axId val="108898560"/>
      </c:barChart>
      <c:catAx>
        <c:axId val="108897024"/>
        <c:scaling>
          <c:orientation val="minMax"/>
        </c:scaling>
        <c:axPos val="b"/>
        <c:tickLblPos val="nextTo"/>
        <c:txPr>
          <a:bodyPr rot="1560000" vert="horz"/>
          <a:lstStyle/>
          <a:p>
            <a:pPr>
              <a:defRPr sz="1200"/>
            </a:pPr>
            <a:endParaRPr lang="en-US"/>
          </a:p>
        </c:txPr>
        <c:crossAx val="108898560"/>
        <c:crosses val="autoZero"/>
        <c:auto val="1"/>
        <c:lblAlgn val="ctr"/>
        <c:lblOffset val="100"/>
        <c:tickLblSkip val="1"/>
      </c:catAx>
      <c:valAx>
        <c:axId val="108898560"/>
        <c:scaling>
          <c:orientation val="minMax"/>
        </c:scaling>
        <c:axPos val="l"/>
        <c:majorGridlines/>
        <c:numFmt formatCode="General" sourceLinked="1"/>
        <c:tickLblPos val="nextTo"/>
        <c:crossAx val="108897024"/>
        <c:crosses val="autoZero"/>
        <c:crossBetween val="between"/>
      </c:valAx>
    </c:plotArea>
    <c:plotVisOnly val="1"/>
  </c:chart>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26"/>
  <c:chart>
    <c:autoTitleDeleted val="1"/>
    <c:plotArea>
      <c:layout>
        <c:manualLayout>
          <c:layoutTarget val="inner"/>
          <c:xMode val="edge"/>
          <c:yMode val="edge"/>
          <c:x val="0.20632614334930274"/>
          <c:y val="0.10312718709320152"/>
          <c:w val="0.51806345964828704"/>
          <c:h val="0.74258534306476642"/>
        </c:manualLayout>
      </c:layout>
      <c:pieChart>
        <c:varyColors val="1"/>
        <c:ser>
          <c:idx val="0"/>
          <c:order val="0"/>
          <c:dLbls>
            <c:dLbl>
              <c:idx val="0"/>
              <c:layout>
                <c:manualLayout>
                  <c:x val="4.4136929556959033E-2"/>
                  <c:y val="2.7250729579044415E-6"/>
                </c:manualLayout>
              </c:layout>
              <c:tx>
                <c:rich>
                  <a:bodyPr/>
                  <a:lstStyle/>
                  <a:p>
                    <a:r>
                      <a:rPr lang="en-US" sz="2500"/>
                      <a:t>Corp. Env </a:t>
                    </a:r>
                  </a:p>
                  <a:p>
                    <a:r>
                      <a:rPr lang="en-US" sz="2500"/>
                      <a:t>Strat.,</a:t>
                    </a:r>
                    <a:r>
                      <a:rPr lang="en-US" sz="2500" b="1"/>
                      <a:t>43</a:t>
                    </a:r>
                  </a:p>
                </c:rich>
              </c:tx>
              <c:dLblPos val="bestFit"/>
              <c:showVal val="1"/>
              <c:showCatName val="1"/>
            </c:dLbl>
            <c:dLbl>
              <c:idx val="1"/>
              <c:layout>
                <c:manualLayout>
                  <c:x val="0.11237142179107992"/>
                  <c:y val="2.4094858130924591E-2"/>
                </c:manualLayout>
              </c:layout>
              <c:tx>
                <c:rich>
                  <a:bodyPr/>
                  <a:lstStyle/>
                  <a:p>
                    <a:r>
                      <a:rPr lang="en-US" sz="2500"/>
                      <a:t>Soc/Env </a:t>
                    </a:r>
                  </a:p>
                  <a:p>
                    <a:r>
                      <a:rPr lang="en-US" sz="2500"/>
                      <a:t>Vent., </a:t>
                    </a:r>
                    <a:r>
                      <a:rPr lang="en-US" sz="2500" b="1"/>
                      <a:t>32</a:t>
                    </a:r>
                  </a:p>
                </c:rich>
              </c:tx>
              <c:dLblPos val="bestFit"/>
              <c:showVal val="1"/>
              <c:showCatName val="1"/>
            </c:dLbl>
            <c:dLbl>
              <c:idx val="2"/>
              <c:layout>
                <c:manualLayout>
                  <c:x val="4.3040218178445715E-2"/>
                  <c:y val="9.3311592780264421E-2"/>
                </c:manualLayout>
              </c:layout>
              <c:tx>
                <c:rich>
                  <a:bodyPr/>
                  <a:lstStyle/>
                  <a:p>
                    <a:r>
                      <a:rPr lang="en-US"/>
                      <a:t>Env.Finance, </a:t>
                    </a:r>
                  </a:p>
                  <a:p>
                    <a:r>
                      <a:rPr lang="en-US" b="1"/>
                      <a:t>61</a:t>
                    </a:r>
                  </a:p>
                </c:rich>
              </c:tx>
              <c:dLblPos val="bestFit"/>
              <c:showVal val="1"/>
              <c:showCatName val="1"/>
            </c:dLbl>
            <c:dLbl>
              <c:idx val="3"/>
              <c:layout>
                <c:manualLayout>
                  <c:x val="5.9859875861992567E-2"/>
                  <c:y val="9.6301708703681627E-2"/>
                </c:manualLayout>
              </c:layout>
              <c:tx>
                <c:rich>
                  <a:bodyPr/>
                  <a:lstStyle/>
                  <a:p>
                    <a:r>
                      <a:rPr lang="en-US"/>
                      <a:t>Clim. Change, </a:t>
                    </a:r>
                  </a:p>
                  <a:p>
                    <a:r>
                      <a:rPr lang="en-US" b="1"/>
                      <a:t>76</a:t>
                    </a:r>
                  </a:p>
                </c:rich>
              </c:tx>
              <c:dLblPos val="bestFit"/>
              <c:showVal val="1"/>
              <c:showCatName val="1"/>
            </c:dLbl>
            <c:dLbl>
              <c:idx val="4"/>
              <c:layout>
                <c:manualLayout>
                  <c:x val="1.1523900629088318E-2"/>
                  <c:y val="5.5654994389311832E-2"/>
                </c:manualLayout>
              </c:layout>
              <c:tx>
                <c:rich>
                  <a:bodyPr/>
                  <a:lstStyle/>
                  <a:p>
                    <a:r>
                      <a:rPr lang="en-US"/>
                      <a:t>Env.Just. &amp; Ethics, </a:t>
                    </a:r>
                    <a:r>
                      <a:rPr lang="en-US" b="1"/>
                      <a:t>67</a:t>
                    </a:r>
                  </a:p>
                </c:rich>
              </c:tx>
              <c:dLblPos val="bestFit"/>
              <c:showVal val="1"/>
              <c:showCatName val="1"/>
            </c:dLbl>
            <c:dLbl>
              <c:idx val="5"/>
              <c:layout>
                <c:manualLayout>
                  <c:x val="-3.131672527661669E-3"/>
                  <c:y val="3.0482975138374107E-3"/>
                </c:manualLayout>
              </c:layout>
              <c:tx>
                <c:rich>
                  <a:bodyPr/>
                  <a:lstStyle/>
                  <a:p>
                    <a:r>
                      <a:rPr lang="en-US"/>
                      <a:t>Env. Policy &amp; Law, </a:t>
                    </a:r>
                    <a:r>
                      <a:rPr lang="en-US" b="1"/>
                      <a:t>137</a:t>
                    </a:r>
                  </a:p>
                </c:rich>
              </c:tx>
              <c:dLblPos val="bestFit"/>
              <c:showVal val="1"/>
              <c:showCatName val="1"/>
            </c:dLbl>
            <c:dLbl>
              <c:idx val="6"/>
              <c:layout>
                <c:manualLayout>
                  <c:x val="2.3071276237939441E-2"/>
                  <c:y val="-3.1657291033408093E-2"/>
                </c:manualLayout>
              </c:layout>
              <c:tx>
                <c:rich>
                  <a:bodyPr/>
                  <a:lstStyle/>
                  <a:p>
                    <a:r>
                      <a:rPr lang="en-US"/>
                      <a:t>Env. Econ., </a:t>
                    </a:r>
                  </a:p>
                  <a:p>
                    <a:r>
                      <a:rPr lang="en-US" b="1"/>
                      <a:t>73</a:t>
                    </a:r>
                  </a:p>
                </c:rich>
              </c:tx>
              <c:dLblPos val="bestFit"/>
              <c:showVal val="1"/>
              <c:showCatName val="1"/>
            </c:dLbl>
            <c:dLbl>
              <c:idx val="7"/>
              <c:layout>
                <c:manualLayout>
                  <c:x val="1.3646815788444885E-2"/>
                  <c:y val="-3.7637285917380359E-2"/>
                </c:manualLayout>
              </c:layout>
              <c:tx>
                <c:rich>
                  <a:bodyPr/>
                  <a:lstStyle/>
                  <a:p>
                    <a:r>
                      <a:rPr lang="en-US"/>
                      <a:t> EH&amp;S, </a:t>
                    </a:r>
                  </a:p>
                  <a:p>
                    <a:r>
                      <a:rPr lang="en-US" b="1"/>
                      <a:t>43</a:t>
                    </a:r>
                  </a:p>
                </c:rich>
              </c:tx>
              <c:dLblPos val="bestFit"/>
              <c:showVal val="1"/>
              <c:showCatName val="1"/>
            </c:dLbl>
            <c:dLbl>
              <c:idx val="8"/>
              <c:layout>
                <c:manualLayout>
                  <c:x val="-1.4702528610751726E-2"/>
                  <c:y val="3.0094283969900552E-3"/>
                </c:manualLayout>
              </c:layout>
              <c:tx>
                <c:rich>
                  <a:bodyPr/>
                  <a:lstStyle/>
                  <a:p>
                    <a:r>
                      <a:rPr lang="en-US"/>
                      <a:t>Green Desgn &amp;</a:t>
                    </a:r>
                    <a:r>
                      <a:rPr lang="en-US" baseline="0"/>
                      <a:t> </a:t>
                    </a:r>
                    <a:r>
                      <a:rPr lang="en-US"/>
                      <a:t>Build., </a:t>
                    </a:r>
                    <a:r>
                      <a:rPr lang="en-US" b="1"/>
                      <a:t>41</a:t>
                    </a:r>
                  </a:p>
                </c:rich>
              </c:tx>
              <c:dLblPos val="bestFit"/>
              <c:showVal val="1"/>
              <c:showCatName val="1"/>
            </c:dLbl>
            <c:dLbl>
              <c:idx val="9"/>
              <c:layout>
                <c:manualLayout>
                  <c:x val="6.3161747487412573E-3"/>
                  <c:y val="7.5235709924751301E-2"/>
                </c:manualLayout>
              </c:layout>
              <c:tx>
                <c:rich>
                  <a:bodyPr/>
                  <a:lstStyle/>
                  <a:p>
                    <a:r>
                      <a:rPr lang="en-US"/>
                      <a:t>CSR, </a:t>
                    </a:r>
                    <a:r>
                      <a:rPr lang="en-US" b="1"/>
                      <a:t>32</a:t>
                    </a:r>
                  </a:p>
                </c:rich>
              </c:tx>
              <c:dLblPos val="bestFit"/>
              <c:showVal val="1"/>
              <c:showCatName val="1"/>
            </c:dLbl>
            <c:dLbl>
              <c:idx val="10"/>
              <c:layout>
                <c:manualLayout>
                  <c:x val="-2.8325952077812615E-2"/>
                  <c:y val="4.5141425954851894E-3"/>
                </c:manualLayout>
              </c:layout>
              <c:tx>
                <c:rich>
                  <a:bodyPr/>
                  <a:lstStyle/>
                  <a:p>
                    <a:r>
                      <a:rPr lang="en-US"/>
                      <a:t>Energy, </a:t>
                    </a:r>
                  </a:p>
                  <a:p>
                    <a:r>
                      <a:rPr lang="en-US" b="1"/>
                      <a:t>51</a:t>
                    </a:r>
                  </a:p>
                </c:rich>
              </c:tx>
              <c:dLblPos val="bestFit"/>
              <c:showVal val="1"/>
              <c:showCatName val="1"/>
            </c:dLbl>
            <c:dLbl>
              <c:idx val="11"/>
              <c:layout>
                <c:manualLayout>
                  <c:x val="-7.2257392903464029E-2"/>
                  <c:y val="1.061072320948225E-2"/>
                </c:manualLayout>
              </c:layout>
              <c:tx>
                <c:rich>
                  <a:bodyPr/>
                  <a:lstStyle/>
                  <a:p>
                    <a:r>
                      <a:rPr lang="en-US"/>
                      <a:t>Ind. Ecol., </a:t>
                    </a:r>
                  </a:p>
                  <a:p>
                    <a:r>
                      <a:rPr lang="en-US" b="1"/>
                      <a:t>21</a:t>
                    </a:r>
                  </a:p>
                </c:rich>
              </c:tx>
              <c:dLblPos val="bestFit"/>
              <c:showVal val="1"/>
              <c:showCatName val="1"/>
            </c:dLbl>
            <c:dLbl>
              <c:idx val="12"/>
              <c:layout>
                <c:manualLayout>
                  <c:x val="-2.6255772964544052E-2"/>
                  <c:y val="-2.7065424617906154E-2"/>
                </c:manualLayout>
              </c:layout>
              <c:tx>
                <c:rich>
                  <a:bodyPr/>
                  <a:lstStyle/>
                  <a:p>
                    <a:r>
                      <a:rPr lang="en-US"/>
                      <a:t>NR Managmt, </a:t>
                    </a:r>
                  </a:p>
                  <a:p>
                    <a:r>
                      <a:rPr lang="en-US" b="1">
                        <a:solidFill>
                          <a:sysClr val="windowText" lastClr="000000"/>
                        </a:solidFill>
                      </a:rPr>
                      <a:t>125</a:t>
                    </a:r>
                  </a:p>
                </c:rich>
              </c:tx>
              <c:dLblPos val="bestFit"/>
              <c:showVal val="1"/>
              <c:showCatName val="1"/>
            </c:dLbl>
            <c:dLbl>
              <c:idx val="13"/>
              <c:layout>
                <c:manualLayout>
                  <c:x val="-1.0438908425538704E-3"/>
                  <c:y val="0"/>
                </c:manualLayout>
              </c:layout>
              <c:tx>
                <c:rich>
                  <a:bodyPr/>
                  <a:lstStyle/>
                  <a:p>
                    <a:r>
                      <a:rPr lang="en-US"/>
                      <a:t>Intern. Dev., </a:t>
                    </a:r>
                  </a:p>
                  <a:p>
                    <a:r>
                      <a:rPr lang="en-US" b="1">
                        <a:solidFill>
                          <a:sysClr val="windowText" lastClr="000000"/>
                        </a:solidFill>
                      </a:rPr>
                      <a:t>110</a:t>
                    </a:r>
                  </a:p>
                </c:rich>
              </c:tx>
              <c:dLblPos val="bestFit"/>
              <c:showVal val="1"/>
              <c:showCatName val="1"/>
            </c:dLbl>
            <c:dLbl>
              <c:idx val="14"/>
              <c:layout>
                <c:manualLayout>
                  <c:x val="1.0438908425538897E-3"/>
                  <c:y val="1.5241487569186906E-3"/>
                </c:manualLayout>
              </c:layout>
              <c:tx>
                <c:rich>
                  <a:bodyPr/>
                  <a:lstStyle/>
                  <a:p>
                    <a:r>
                      <a:rPr lang="en-US"/>
                      <a:t>Env. Chem., </a:t>
                    </a:r>
                  </a:p>
                  <a:p>
                    <a:r>
                      <a:rPr lang="en-US" b="1"/>
                      <a:t>37</a:t>
                    </a:r>
                  </a:p>
                </c:rich>
              </c:tx>
              <c:dLblPos val="bestFit"/>
              <c:showVal val="1"/>
              <c:showCatName val="1"/>
            </c:dLbl>
            <c:dLbl>
              <c:idx val="15"/>
              <c:layout>
                <c:manualLayout>
                  <c:x val="3.131672527661669E-3"/>
                  <c:y val="-1.5241487569186906E-3"/>
                </c:manualLayout>
              </c:layout>
              <c:tx>
                <c:rich>
                  <a:bodyPr/>
                  <a:lstStyle/>
                  <a:p>
                    <a:r>
                      <a:rPr lang="en-US"/>
                      <a:t>Pollution, </a:t>
                    </a:r>
                  </a:p>
                  <a:p>
                    <a:r>
                      <a:rPr lang="en-US" b="1"/>
                      <a:t>53</a:t>
                    </a:r>
                  </a:p>
                </c:rich>
              </c:tx>
              <c:dLblPos val="bestFit"/>
              <c:showVal val="1"/>
              <c:showCatName val="1"/>
            </c:dLbl>
            <c:dLbl>
              <c:idx val="16"/>
              <c:layout>
                <c:manualLayout>
                  <c:x val="6.2633450553234134E-3"/>
                  <c:y val="0"/>
                </c:manualLayout>
              </c:layout>
              <c:tx>
                <c:rich>
                  <a:bodyPr/>
                  <a:lstStyle/>
                  <a:p>
                    <a:r>
                      <a:rPr lang="en-US"/>
                      <a:t>Air, </a:t>
                    </a:r>
                  </a:p>
                  <a:p>
                    <a:r>
                      <a:rPr lang="en-US" b="1"/>
                      <a:t>47</a:t>
                    </a:r>
                  </a:p>
                </c:rich>
              </c:tx>
              <c:dLblPos val="bestFit"/>
              <c:showVal val="1"/>
              <c:showCatName val="1"/>
            </c:dLbl>
            <c:dLbl>
              <c:idx val="17"/>
              <c:layout>
                <c:manualLayout>
                  <c:x val="5.219454212769448E-3"/>
                  <c:y val="0"/>
                </c:manualLayout>
              </c:layout>
              <c:tx>
                <c:rich>
                  <a:bodyPr/>
                  <a:lstStyle/>
                  <a:p>
                    <a:r>
                      <a:rPr lang="en-US"/>
                      <a:t>Soils, </a:t>
                    </a:r>
                  </a:p>
                  <a:p>
                    <a:r>
                      <a:rPr lang="en-US" b="1"/>
                      <a:t>65</a:t>
                    </a:r>
                  </a:p>
                </c:rich>
              </c:tx>
              <c:dLblPos val="bestFit"/>
              <c:showVal val="1"/>
              <c:showCatName val="1"/>
            </c:dLbl>
            <c:dLbl>
              <c:idx val="18"/>
              <c:layout>
                <c:manualLayout>
                  <c:x val="-2.7317271873411812E-2"/>
                  <c:y val="3.1618429123399718E-2"/>
                </c:manualLayout>
              </c:layout>
              <c:tx>
                <c:rich>
                  <a:bodyPr/>
                  <a:lstStyle/>
                  <a:p>
                    <a:r>
                      <a:rPr lang="en-US"/>
                      <a:t>Water, </a:t>
                    </a:r>
                    <a:br>
                      <a:rPr lang="en-US"/>
                    </a:br>
                    <a:r>
                      <a:rPr lang="en-US" b="1"/>
                      <a:t>73</a:t>
                    </a:r>
                  </a:p>
                </c:rich>
              </c:tx>
              <c:dLblPos val="bestFit"/>
              <c:showVal val="1"/>
              <c:showCatName val="1"/>
            </c:dLbl>
            <c:dLbl>
              <c:idx val="19"/>
              <c:layout>
                <c:manualLayout>
                  <c:x val="-5.3561307348073704E-2"/>
                  <c:y val="3.3103712366890546E-2"/>
                </c:manualLayout>
              </c:layout>
              <c:tx>
                <c:rich>
                  <a:bodyPr/>
                  <a:lstStyle/>
                  <a:p>
                    <a:r>
                      <a:rPr lang="en-US"/>
                      <a:t>Ecosyst., </a:t>
                    </a:r>
                  </a:p>
                  <a:p>
                    <a:r>
                      <a:rPr lang="en-US" b="1"/>
                      <a:t>89</a:t>
                    </a:r>
                  </a:p>
                </c:rich>
              </c:tx>
              <c:dLblPos val="bestFit"/>
              <c:showVal val="1"/>
              <c:showCatName val="1"/>
            </c:dLbl>
            <c:dLbl>
              <c:idx val="20"/>
              <c:layout>
                <c:manualLayout>
                  <c:x val="-7.0228377663159675E-2"/>
                  <c:y val="4.5724354604976414E-3"/>
                </c:manualLayout>
              </c:layout>
              <c:tx>
                <c:rich>
                  <a:bodyPr/>
                  <a:lstStyle/>
                  <a:p>
                    <a:r>
                      <a:rPr lang="en-US"/>
                      <a:t>Forests, </a:t>
                    </a:r>
                  </a:p>
                  <a:p>
                    <a:r>
                      <a:rPr lang="en-US" b="1"/>
                      <a:t>45</a:t>
                    </a:r>
                  </a:p>
                </c:rich>
              </c:tx>
              <c:dLblPos val="bestFit"/>
              <c:showVal val="1"/>
              <c:showCatName val="1"/>
            </c:dLbl>
            <c:txPr>
              <a:bodyPr/>
              <a:lstStyle/>
              <a:p>
                <a:pPr>
                  <a:defRPr sz="2500"/>
                </a:pPr>
                <a:endParaRPr lang="en-US"/>
              </a:p>
            </c:txPr>
            <c:dLblPos val="outEnd"/>
            <c:showVal val="1"/>
            <c:showCatName val="1"/>
            <c:showLeaderLines val="1"/>
          </c:dLbls>
          <c:cat>
            <c:strRef>
              <c:f>charts!$B$1:$V$1</c:f>
              <c:strCache>
                <c:ptCount val="21"/>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pt idx="16">
                  <c:v>Air</c:v>
                </c:pt>
                <c:pt idx="17">
                  <c:v>Soils</c:v>
                </c:pt>
                <c:pt idx="18">
                  <c:v>Water</c:v>
                </c:pt>
                <c:pt idx="19">
                  <c:v>Ecosystems</c:v>
                </c:pt>
                <c:pt idx="20">
                  <c:v>Forests</c:v>
                </c:pt>
              </c:strCache>
            </c:strRef>
          </c:cat>
          <c:val>
            <c:numRef>
              <c:f>charts!$AE$24:$AY$24</c:f>
              <c:numCache>
                <c:formatCode>General</c:formatCode>
                <c:ptCount val="21"/>
                <c:pt idx="0">
                  <c:v>56</c:v>
                </c:pt>
                <c:pt idx="1">
                  <c:v>33</c:v>
                </c:pt>
                <c:pt idx="2">
                  <c:v>63</c:v>
                </c:pt>
                <c:pt idx="3">
                  <c:v>78</c:v>
                </c:pt>
                <c:pt idx="4">
                  <c:v>75</c:v>
                </c:pt>
                <c:pt idx="5">
                  <c:v>139</c:v>
                </c:pt>
                <c:pt idx="6">
                  <c:v>74</c:v>
                </c:pt>
                <c:pt idx="7">
                  <c:v>42</c:v>
                </c:pt>
                <c:pt idx="8">
                  <c:v>42</c:v>
                </c:pt>
                <c:pt idx="9">
                  <c:v>36</c:v>
                </c:pt>
                <c:pt idx="10">
                  <c:v>54</c:v>
                </c:pt>
                <c:pt idx="11">
                  <c:v>26</c:v>
                </c:pt>
                <c:pt idx="12">
                  <c:v>129</c:v>
                </c:pt>
                <c:pt idx="13">
                  <c:v>118</c:v>
                </c:pt>
                <c:pt idx="14">
                  <c:v>38</c:v>
                </c:pt>
                <c:pt idx="15">
                  <c:v>57</c:v>
                </c:pt>
                <c:pt idx="16">
                  <c:v>49</c:v>
                </c:pt>
                <c:pt idx="17">
                  <c:v>65</c:v>
                </c:pt>
                <c:pt idx="18">
                  <c:v>75</c:v>
                </c:pt>
                <c:pt idx="19">
                  <c:v>90</c:v>
                </c:pt>
                <c:pt idx="20">
                  <c:v>45</c:v>
                </c:pt>
              </c:numCache>
            </c:numRef>
          </c:val>
        </c:ser>
        <c:dLbls>
          <c:showVal val="1"/>
          <c:showCatName val="1"/>
        </c:dLbls>
        <c:firstSliceAng val="0"/>
      </c:pieChart>
    </c:plotArea>
    <c:plotVisOnly val="1"/>
  </c:chart>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Counts Ranked 1-3 in 'Relevance'</a:t>
            </a:r>
            <a:r>
              <a:rPr lang="en-US" baseline="0"/>
              <a:t> Category  per  School</a:t>
            </a:r>
            <a:endParaRPr lang="en-US"/>
          </a:p>
        </c:rich>
      </c:tx>
      <c:layout>
        <c:manualLayout>
          <c:xMode val="edge"/>
          <c:yMode val="edge"/>
          <c:x val="0.35799343602508976"/>
          <c:y val="1.4435696134734097E-2"/>
        </c:manualLayout>
      </c:layout>
      <c:overlay val="1"/>
    </c:title>
    <c:plotArea>
      <c:layout>
        <c:manualLayout>
          <c:layoutTarget val="inner"/>
          <c:xMode val="edge"/>
          <c:yMode val="edge"/>
          <c:x val="2.671684375652749E-2"/>
          <c:y val="7.5361608504830174E-2"/>
          <c:w val="0.90756826209378882"/>
          <c:h val="0.69973638372853797"/>
        </c:manualLayout>
      </c:layout>
      <c:barChart>
        <c:barDir val="col"/>
        <c:grouping val="clustered"/>
        <c:varyColors val="1"/>
        <c:ser>
          <c:idx val="0"/>
          <c:order val="0"/>
          <c:spPr>
            <a:ln>
              <a:noFill/>
            </a:ln>
          </c:spPr>
          <c:dLbls>
            <c:txPr>
              <a:bodyPr/>
              <a:lstStyle/>
              <a:p>
                <a:pPr>
                  <a:defRPr sz="1300"/>
                </a:pPr>
                <a:endParaRPr lang="en-US"/>
              </a:p>
            </c:txPr>
            <c:dLblPos val="inEnd"/>
            <c:showVal val="1"/>
          </c:dLbls>
          <c:cat>
            <c:strRef>
              <c:f>charts!$A$2:$A$23</c:f>
              <c:strCache>
                <c:ptCount val="22"/>
                <c:pt idx="0">
                  <c:v>Afr.-Afr./Amer. studies</c:v>
                </c:pt>
                <c:pt idx="1">
                  <c:v>Anthropology</c:v>
                </c:pt>
                <c:pt idx="2">
                  <c:v>Architecture</c:v>
                </c:pt>
                <c:pt idx="3">
                  <c:v>Biology</c:v>
                </c:pt>
                <c:pt idx="4">
                  <c:v>Chemistry</c:v>
                </c:pt>
                <c:pt idx="5">
                  <c:v>Divinity</c:v>
                </c:pt>
                <c:pt idx="6">
                  <c:v>Economics</c:v>
                </c:pt>
                <c:pt idx="7">
                  <c:v>Engineering</c:v>
                </c:pt>
                <c:pt idx="8">
                  <c:v>Environmental studies</c:v>
                </c:pt>
                <c:pt idx="9">
                  <c:v>FES</c:v>
                </c:pt>
                <c:pt idx="10">
                  <c:v>Genetics</c:v>
                </c:pt>
                <c:pt idx="11">
                  <c:v>Geology &amp; geophysics</c:v>
                </c:pt>
                <c:pt idx="12">
                  <c:v>History</c:v>
                </c:pt>
                <c:pt idx="13">
                  <c:v>International relations</c:v>
                </c:pt>
                <c:pt idx="14">
                  <c:v>Law</c:v>
                </c:pt>
                <c:pt idx="15">
                  <c:v>Political science</c:v>
                </c:pt>
                <c:pt idx="16">
                  <c:v>Psychology</c:v>
                </c:pt>
                <c:pt idx="17">
                  <c:v>Public health</c:v>
                </c:pt>
                <c:pt idx="18">
                  <c:v>Sociology</c:v>
                </c:pt>
                <c:pt idx="19">
                  <c:v>SOM</c:v>
                </c:pt>
                <c:pt idx="20">
                  <c:v>South asian studies</c:v>
                </c:pt>
                <c:pt idx="21">
                  <c:v>Women's, gend.&amp;sex. </c:v>
                </c:pt>
              </c:strCache>
            </c:strRef>
          </c:cat>
          <c:val>
            <c:numRef>
              <c:f>charts!$BB$2:$BB$23</c:f>
              <c:numCache>
                <c:formatCode>General</c:formatCode>
                <c:ptCount val="22"/>
                <c:pt idx="0">
                  <c:v>18</c:v>
                </c:pt>
                <c:pt idx="1">
                  <c:v>31</c:v>
                </c:pt>
                <c:pt idx="2">
                  <c:v>22</c:v>
                </c:pt>
                <c:pt idx="3">
                  <c:v>57</c:v>
                </c:pt>
                <c:pt idx="4">
                  <c:v>3</c:v>
                </c:pt>
                <c:pt idx="5">
                  <c:v>4</c:v>
                </c:pt>
                <c:pt idx="6">
                  <c:v>117</c:v>
                </c:pt>
                <c:pt idx="7">
                  <c:v>67</c:v>
                </c:pt>
                <c:pt idx="8">
                  <c:v>115</c:v>
                </c:pt>
                <c:pt idx="9">
                  <c:v>595</c:v>
                </c:pt>
                <c:pt idx="10">
                  <c:v>1</c:v>
                </c:pt>
                <c:pt idx="11">
                  <c:v>51</c:v>
                </c:pt>
                <c:pt idx="12">
                  <c:v>10</c:v>
                </c:pt>
                <c:pt idx="13">
                  <c:v>32</c:v>
                </c:pt>
                <c:pt idx="14">
                  <c:v>32</c:v>
                </c:pt>
                <c:pt idx="15">
                  <c:v>30</c:v>
                </c:pt>
                <c:pt idx="16">
                  <c:v>14</c:v>
                </c:pt>
                <c:pt idx="17">
                  <c:v>50</c:v>
                </c:pt>
                <c:pt idx="18">
                  <c:v>6</c:v>
                </c:pt>
                <c:pt idx="19">
                  <c:v>117</c:v>
                </c:pt>
                <c:pt idx="20">
                  <c:v>8</c:v>
                </c:pt>
                <c:pt idx="21">
                  <c:v>4</c:v>
                </c:pt>
              </c:numCache>
            </c:numRef>
          </c:val>
        </c:ser>
        <c:gapWidth val="26"/>
        <c:axId val="215358848"/>
        <c:axId val="161522816"/>
      </c:barChart>
      <c:catAx>
        <c:axId val="215358848"/>
        <c:scaling>
          <c:orientation val="minMax"/>
        </c:scaling>
        <c:axPos val="b"/>
        <c:tickLblPos val="nextTo"/>
        <c:txPr>
          <a:bodyPr rot="1560000" vert="horz"/>
          <a:lstStyle/>
          <a:p>
            <a:pPr>
              <a:defRPr sz="1200"/>
            </a:pPr>
            <a:endParaRPr lang="en-US"/>
          </a:p>
        </c:txPr>
        <c:crossAx val="161522816"/>
        <c:crosses val="autoZero"/>
        <c:auto val="1"/>
        <c:lblAlgn val="ctr"/>
        <c:lblOffset val="100"/>
        <c:tickLblSkip val="1"/>
      </c:catAx>
      <c:valAx>
        <c:axId val="161522816"/>
        <c:scaling>
          <c:orientation val="minMax"/>
        </c:scaling>
        <c:axPos val="l"/>
        <c:majorGridlines/>
        <c:numFmt formatCode="General" sourceLinked="1"/>
        <c:tickLblPos val="nextTo"/>
        <c:crossAx val="215358848"/>
        <c:crosses val="autoZero"/>
        <c:crossBetween val="between"/>
      </c:valAx>
    </c:plotArea>
    <c:plotVisOnly val="1"/>
  </c:chart>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Counts Ranked 3 in 'Relevance'</a:t>
            </a:r>
            <a:r>
              <a:rPr lang="en-US" baseline="0"/>
              <a:t> Category  per B+E +Sc Area</a:t>
            </a:r>
            <a:endParaRPr lang="en-US"/>
          </a:p>
        </c:rich>
      </c:tx>
      <c:overlay val="1"/>
    </c:title>
    <c:plotArea>
      <c:layout>
        <c:manualLayout>
          <c:layoutTarget val="inner"/>
          <c:xMode val="edge"/>
          <c:yMode val="edge"/>
          <c:x val="3.9366585651560426E-2"/>
          <c:y val="8.6569344784673555E-2"/>
          <c:w val="0.94787125477769363"/>
          <c:h val="0.66344877059946539"/>
        </c:manualLayout>
      </c:layout>
      <c:barChart>
        <c:barDir val="col"/>
        <c:grouping val="clustered"/>
        <c:varyColors val="1"/>
        <c:ser>
          <c:idx val="0"/>
          <c:order val="0"/>
          <c:spPr>
            <a:ln>
              <a:noFill/>
            </a:ln>
          </c:spPr>
          <c:dLbls>
            <c:txPr>
              <a:bodyPr/>
              <a:lstStyle/>
              <a:p>
                <a:pPr>
                  <a:defRPr sz="1300"/>
                </a:pPr>
                <a:endParaRPr lang="en-US"/>
              </a:p>
            </c:txPr>
            <c:dLblPos val="inEnd"/>
            <c:showVal val="1"/>
          </c:dLbls>
          <c:cat>
            <c:strRef>
              <c:f>charts!$B$1:$V$1</c:f>
              <c:strCache>
                <c:ptCount val="21"/>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pt idx="16">
                  <c:v>Air</c:v>
                </c:pt>
                <c:pt idx="17">
                  <c:v>Soils</c:v>
                </c:pt>
                <c:pt idx="18">
                  <c:v>Water</c:v>
                </c:pt>
                <c:pt idx="19">
                  <c:v>Ecosystems</c:v>
                </c:pt>
                <c:pt idx="20">
                  <c:v>Forests</c:v>
                </c:pt>
              </c:strCache>
            </c:strRef>
          </c:cat>
          <c:val>
            <c:numRef>
              <c:f>charts!$BG$24:$CA$24</c:f>
              <c:numCache>
                <c:formatCode>General</c:formatCode>
                <c:ptCount val="21"/>
                <c:pt idx="0">
                  <c:v>24</c:v>
                </c:pt>
                <c:pt idx="1">
                  <c:v>14</c:v>
                </c:pt>
                <c:pt idx="2">
                  <c:v>22</c:v>
                </c:pt>
                <c:pt idx="3">
                  <c:v>15</c:v>
                </c:pt>
                <c:pt idx="4">
                  <c:v>10</c:v>
                </c:pt>
                <c:pt idx="5">
                  <c:v>23</c:v>
                </c:pt>
                <c:pt idx="6">
                  <c:v>16</c:v>
                </c:pt>
                <c:pt idx="7">
                  <c:v>10</c:v>
                </c:pt>
                <c:pt idx="8">
                  <c:v>9</c:v>
                </c:pt>
                <c:pt idx="9">
                  <c:v>20</c:v>
                </c:pt>
                <c:pt idx="10">
                  <c:v>13</c:v>
                </c:pt>
                <c:pt idx="11">
                  <c:v>7</c:v>
                </c:pt>
                <c:pt idx="12">
                  <c:v>20</c:v>
                </c:pt>
                <c:pt idx="13">
                  <c:v>13</c:v>
                </c:pt>
                <c:pt idx="14">
                  <c:v>4</c:v>
                </c:pt>
                <c:pt idx="15">
                  <c:v>9</c:v>
                </c:pt>
                <c:pt idx="16">
                  <c:v>8</c:v>
                </c:pt>
                <c:pt idx="17">
                  <c:v>6</c:v>
                </c:pt>
                <c:pt idx="18">
                  <c:v>11</c:v>
                </c:pt>
                <c:pt idx="19">
                  <c:v>11</c:v>
                </c:pt>
                <c:pt idx="20">
                  <c:v>7</c:v>
                </c:pt>
              </c:numCache>
            </c:numRef>
          </c:val>
        </c:ser>
        <c:gapWidth val="20"/>
        <c:axId val="84280064"/>
        <c:axId val="84281600"/>
      </c:barChart>
      <c:catAx>
        <c:axId val="84280064"/>
        <c:scaling>
          <c:orientation val="minMax"/>
        </c:scaling>
        <c:axPos val="b"/>
        <c:tickLblPos val="nextTo"/>
        <c:txPr>
          <a:bodyPr/>
          <a:lstStyle/>
          <a:p>
            <a:pPr>
              <a:defRPr sz="1200"/>
            </a:pPr>
            <a:endParaRPr lang="en-US"/>
          </a:p>
        </c:txPr>
        <c:crossAx val="84281600"/>
        <c:crosses val="autoZero"/>
        <c:auto val="1"/>
        <c:lblAlgn val="ctr"/>
        <c:lblOffset val="100"/>
      </c:catAx>
      <c:valAx>
        <c:axId val="84281600"/>
        <c:scaling>
          <c:orientation val="minMax"/>
          <c:max val="20"/>
        </c:scaling>
        <c:axPos val="l"/>
        <c:majorGridlines/>
        <c:numFmt formatCode="General" sourceLinked="1"/>
        <c:tickLblPos val="nextTo"/>
        <c:crossAx val="84280064"/>
        <c:crosses val="autoZero"/>
        <c:crossBetween val="between"/>
      </c:valAx>
    </c:plotArea>
    <c:plotVisOnly val="1"/>
  </c:chart>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Counts Ranked 3 in 'Relevance'</a:t>
            </a:r>
            <a:r>
              <a:rPr lang="en-US" baseline="0"/>
              <a:t> Category  per  School</a:t>
            </a:r>
            <a:endParaRPr lang="en-US"/>
          </a:p>
        </c:rich>
      </c:tx>
      <c:layout>
        <c:manualLayout>
          <c:xMode val="edge"/>
          <c:yMode val="edge"/>
          <c:x val="0.35799343602508976"/>
          <c:y val="1.4435696134734092E-2"/>
        </c:manualLayout>
      </c:layout>
      <c:overlay val="1"/>
    </c:title>
    <c:plotArea>
      <c:layout>
        <c:manualLayout>
          <c:layoutTarget val="inner"/>
          <c:xMode val="edge"/>
          <c:yMode val="edge"/>
          <c:x val="9.2431737906211189E-2"/>
          <c:y val="3.2054520100627031E-2"/>
          <c:w val="0.90756826209378882"/>
          <c:h val="0.69973638372853797"/>
        </c:manualLayout>
      </c:layout>
      <c:barChart>
        <c:barDir val="col"/>
        <c:grouping val="clustered"/>
        <c:varyColors val="1"/>
        <c:ser>
          <c:idx val="0"/>
          <c:order val="0"/>
          <c:spPr>
            <a:ln>
              <a:noFill/>
            </a:ln>
          </c:spPr>
          <c:dLbls>
            <c:txPr>
              <a:bodyPr/>
              <a:lstStyle/>
              <a:p>
                <a:pPr>
                  <a:defRPr sz="1300"/>
                </a:pPr>
                <a:endParaRPr lang="en-US"/>
              </a:p>
            </c:txPr>
            <c:dLblPos val="inEnd"/>
            <c:showVal val="1"/>
          </c:dLbls>
          <c:cat>
            <c:strRef>
              <c:f>charts!$A$2:$A$23</c:f>
              <c:strCache>
                <c:ptCount val="22"/>
                <c:pt idx="0">
                  <c:v>Afr.-Afr./Amer. studies</c:v>
                </c:pt>
                <c:pt idx="1">
                  <c:v>Anthropology</c:v>
                </c:pt>
                <c:pt idx="2">
                  <c:v>Architecture</c:v>
                </c:pt>
                <c:pt idx="3">
                  <c:v>Biology</c:v>
                </c:pt>
                <c:pt idx="4">
                  <c:v>Chemistry</c:v>
                </c:pt>
                <c:pt idx="5">
                  <c:v>Divinity</c:v>
                </c:pt>
                <c:pt idx="6">
                  <c:v>Economics</c:v>
                </c:pt>
                <c:pt idx="7">
                  <c:v>Engineering</c:v>
                </c:pt>
                <c:pt idx="8">
                  <c:v>Environmental studies</c:v>
                </c:pt>
                <c:pt idx="9">
                  <c:v>FES</c:v>
                </c:pt>
                <c:pt idx="10">
                  <c:v>Genetics</c:v>
                </c:pt>
                <c:pt idx="11">
                  <c:v>Geology &amp; geophysics</c:v>
                </c:pt>
                <c:pt idx="12">
                  <c:v>History</c:v>
                </c:pt>
                <c:pt idx="13">
                  <c:v>International relations</c:v>
                </c:pt>
                <c:pt idx="14">
                  <c:v>Law</c:v>
                </c:pt>
                <c:pt idx="15">
                  <c:v>Political science</c:v>
                </c:pt>
                <c:pt idx="16">
                  <c:v>Psychology</c:v>
                </c:pt>
                <c:pt idx="17">
                  <c:v>Public health</c:v>
                </c:pt>
                <c:pt idx="18">
                  <c:v>Sociology</c:v>
                </c:pt>
                <c:pt idx="19">
                  <c:v>SOM</c:v>
                </c:pt>
                <c:pt idx="20">
                  <c:v>South asian studies</c:v>
                </c:pt>
                <c:pt idx="21">
                  <c:v>Women's, gend.&amp;sex. </c:v>
                </c:pt>
              </c:strCache>
            </c:strRef>
          </c:cat>
          <c:val>
            <c:numRef>
              <c:f>charts!$CD$2:$CD$23</c:f>
              <c:numCache>
                <c:formatCode>General</c:formatCode>
                <c:ptCount val="22"/>
                <c:pt idx="0">
                  <c:v>0</c:v>
                </c:pt>
                <c:pt idx="1">
                  <c:v>0</c:v>
                </c:pt>
                <c:pt idx="2">
                  <c:v>0</c:v>
                </c:pt>
                <c:pt idx="3">
                  <c:v>0</c:v>
                </c:pt>
                <c:pt idx="4">
                  <c:v>0</c:v>
                </c:pt>
                <c:pt idx="5">
                  <c:v>0</c:v>
                </c:pt>
                <c:pt idx="6">
                  <c:v>18</c:v>
                </c:pt>
                <c:pt idx="7">
                  <c:v>14</c:v>
                </c:pt>
                <c:pt idx="8">
                  <c:v>4</c:v>
                </c:pt>
                <c:pt idx="9">
                  <c:v>194</c:v>
                </c:pt>
                <c:pt idx="10">
                  <c:v>0</c:v>
                </c:pt>
                <c:pt idx="11">
                  <c:v>0</c:v>
                </c:pt>
                <c:pt idx="12">
                  <c:v>0</c:v>
                </c:pt>
                <c:pt idx="13">
                  <c:v>0</c:v>
                </c:pt>
                <c:pt idx="14">
                  <c:v>0</c:v>
                </c:pt>
                <c:pt idx="15">
                  <c:v>0</c:v>
                </c:pt>
                <c:pt idx="16">
                  <c:v>0</c:v>
                </c:pt>
                <c:pt idx="17">
                  <c:v>0</c:v>
                </c:pt>
                <c:pt idx="18">
                  <c:v>0</c:v>
                </c:pt>
                <c:pt idx="19">
                  <c:v>42</c:v>
                </c:pt>
                <c:pt idx="20">
                  <c:v>0</c:v>
                </c:pt>
                <c:pt idx="21">
                  <c:v>0</c:v>
                </c:pt>
              </c:numCache>
            </c:numRef>
          </c:val>
        </c:ser>
        <c:gapWidth val="26"/>
        <c:axId val="84318080"/>
        <c:axId val="84319616"/>
      </c:barChart>
      <c:catAx>
        <c:axId val="84318080"/>
        <c:scaling>
          <c:orientation val="minMax"/>
        </c:scaling>
        <c:axPos val="b"/>
        <c:tickLblPos val="nextTo"/>
        <c:txPr>
          <a:bodyPr rot="1560000" vert="horz"/>
          <a:lstStyle/>
          <a:p>
            <a:pPr>
              <a:defRPr sz="1200"/>
            </a:pPr>
            <a:endParaRPr lang="en-US"/>
          </a:p>
        </c:txPr>
        <c:crossAx val="84319616"/>
        <c:crosses val="autoZero"/>
        <c:auto val="1"/>
        <c:lblAlgn val="ctr"/>
        <c:lblOffset val="100"/>
        <c:tickLblSkip val="1"/>
      </c:catAx>
      <c:valAx>
        <c:axId val="84319616"/>
        <c:scaling>
          <c:orientation val="minMax"/>
        </c:scaling>
        <c:axPos val="l"/>
        <c:majorGridlines/>
        <c:numFmt formatCode="General" sourceLinked="1"/>
        <c:tickLblPos val="nextTo"/>
        <c:crossAx val="84318080"/>
        <c:crosses val="autoZero"/>
        <c:crossBetween val="between"/>
      </c:valAx>
    </c:plotArea>
    <c:plotVisOnly val="1"/>
  </c:chart>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a:t>2-3 Rank</a:t>
            </a:r>
            <a:r>
              <a:rPr lang="en-US" baseline="0"/>
              <a:t> </a:t>
            </a:r>
            <a:r>
              <a:rPr lang="en-US"/>
              <a:t>Courses</a:t>
            </a:r>
            <a:r>
              <a:rPr lang="en-US" baseline="0"/>
              <a:t> counts </a:t>
            </a:r>
            <a:r>
              <a:rPr lang="en-US"/>
              <a:t>counts in B+E Areas: FES</a:t>
            </a:r>
          </a:p>
        </c:rich>
      </c:tx>
      <c:overlay val="1"/>
    </c:title>
    <c:plotArea>
      <c:layout/>
      <c:doughnutChart>
        <c:varyColors val="1"/>
        <c:ser>
          <c:idx val="0"/>
          <c:order val="0"/>
          <c:tx>
            <c:strRef>
              <c:f>charts!$A$11</c:f>
              <c:strCache>
                <c:ptCount val="1"/>
                <c:pt idx="0">
                  <c:v>FES</c:v>
                </c:pt>
              </c:strCache>
            </c:strRef>
          </c:tx>
          <c:dLbls>
            <c:showVal val="1"/>
            <c:showLeaderLines val="1"/>
          </c:dLbls>
          <c:cat>
            <c:strRef>
              <c:f>charts!$B$1:$Q$1</c:f>
              <c:strCache>
                <c:ptCount val="16"/>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strCache>
            </c:strRef>
          </c:cat>
          <c:val>
            <c:numRef>
              <c:f>charts!$B$11:$Q$11</c:f>
              <c:numCache>
                <c:formatCode>General</c:formatCode>
                <c:ptCount val="16"/>
                <c:pt idx="0">
                  <c:v>21</c:v>
                </c:pt>
                <c:pt idx="1">
                  <c:v>6</c:v>
                </c:pt>
                <c:pt idx="2">
                  <c:v>21</c:v>
                </c:pt>
                <c:pt idx="3">
                  <c:v>23</c:v>
                </c:pt>
                <c:pt idx="4">
                  <c:v>17</c:v>
                </c:pt>
                <c:pt idx="5">
                  <c:v>41</c:v>
                </c:pt>
                <c:pt idx="6">
                  <c:v>22</c:v>
                </c:pt>
                <c:pt idx="7">
                  <c:v>11</c:v>
                </c:pt>
                <c:pt idx="8">
                  <c:v>19</c:v>
                </c:pt>
                <c:pt idx="9">
                  <c:v>16</c:v>
                </c:pt>
                <c:pt idx="10">
                  <c:v>14</c:v>
                </c:pt>
                <c:pt idx="11">
                  <c:v>8</c:v>
                </c:pt>
                <c:pt idx="12">
                  <c:v>44</c:v>
                </c:pt>
                <c:pt idx="13">
                  <c:v>19</c:v>
                </c:pt>
                <c:pt idx="14">
                  <c:v>11</c:v>
                </c:pt>
                <c:pt idx="15">
                  <c:v>16</c:v>
                </c:pt>
              </c:numCache>
            </c:numRef>
          </c:val>
        </c:ser>
        <c:firstSliceAng val="0"/>
        <c:holeSize val="50"/>
      </c:doughnutChart>
    </c:plotArea>
    <c:legend>
      <c:legendPos val="r"/>
    </c:legend>
    <c:plotVisOnly val="1"/>
  </c:chart>
  <c:printSettings>
    <c:headerFooter/>
    <c:pageMargins b="0.75000000000000877" l="0.70000000000000062" r="0.70000000000000062" t="0.750000000000008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sz="1800" b="1" i="0" u="none" strike="noStrike" baseline="0"/>
              <a:t>2-3 Rank </a:t>
            </a:r>
            <a:r>
              <a:rPr lang="en-US"/>
              <a:t>Course counts in B+E Areas: SOM</a:t>
            </a:r>
          </a:p>
        </c:rich>
      </c:tx>
      <c:overlay val="1"/>
    </c:title>
    <c:plotArea>
      <c:layout/>
      <c:doughnutChart>
        <c:varyColors val="1"/>
        <c:ser>
          <c:idx val="0"/>
          <c:order val="0"/>
          <c:tx>
            <c:v>SOM</c:v>
          </c:tx>
          <c:dLbls>
            <c:showVal val="1"/>
            <c:showLeaderLines val="1"/>
          </c:dLbls>
          <c:cat>
            <c:strRef>
              <c:f>charts!$B$1:$Q$1</c:f>
              <c:strCache>
                <c:ptCount val="16"/>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strCache>
            </c:strRef>
          </c:cat>
          <c:val>
            <c:numRef>
              <c:f>charts!$B$21:$Q$21</c:f>
              <c:numCache>
                <c:formatCode>General</c:formatCode>
                <c:ptCount val="16"/>
                <c:pt idx="0">
                  <c:v>5</c:v>
                </c:pt>
                <c:pt idx="1">
                  <c:v>12</c:v>
                </c:pt>
                <c:pt idx="2">
                  <c:v>7</c:v>
                </c:pt>
                <c:pt idx="3">
                  <c:v>4</c:v>
                </c:pt>
                <c:pt idx="4">
                  <c:v>4</c:v>
                </c:pt>
                <c:pt idx="5">
                  <c:v>1</c:v>
                </c:pt>
                <c:pt idx="6">
                  <c:v>1</c:v>
                </c:pt>
                <c:pt idx="7">
                  <c:v>0</c:v>
                </c:pt>
                <c:pt idx="8">
                  <c:v>0</c:v>
                </c:pt>
                <c:pt idx="9">
                  <c:v>8</c:v>
                </c:pt>
                <c:pt idx="10">
                  <c:v>5</c:v>
                </c:pt>
                <c:pt idx="11">
                  <c:v>0</c:v>
                </c:pt>
                <c:pt idx="12">
                  <c:v>2</c:v>
                </c:pt>
                <c:pt idx="13">
                  <c:v>8</c:v>
                </c:pt>
                <c:pt idx="14">
                  <c:v>0</c:v>
                </c:pt>
                <c:pt idx="15">
                  <c:v>0</c:v>
                </c:pt>
              </c:numCache>
            </c:numRef>
          </c:val>
        </c:ser>
        <c:firstSliceAng val="0"/>
        <c:holeSize val="50"/>
      </c:doughnutChart>
    </c:plotArea>
    <c:legend>
      <c:legendPos val="r"/>
    </c:legend>
    <c:plotVisOnly val="1"/>
  </c:chart>
  <c:printSettings>
    <c:headerFooter/>
    <c:pageMargins b="0.75000000000000899" l="0.70000000000000062" r="0.70000000000000062" t="0.750000000000008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sz="1800" b="1" i="0" u="none" strike="noStrike" baseline="0"/>
              <a:t>2-3 Rank </a:t>
            </a:r>
            <a:r>
              <a:rPr lang="en-US"/>
              <a:t>Course counts in B+E Areas: Economics</a:t>
            </a:r>
          </a:p>
        </c:rich>
      </c:tx>
      <c:overlay val="1"/>
    </c:title>
    <c:plotArea>
      <c:layout/>
      <c:doughnutChart>
        <c:varyColors val="1"/>
        <c:ser>
          <c:idx val="0"/>
          <c:order val="0"/>
          <c:tx>
            <c:v>Economics</c:v>
          </c:tx>
          <c:dLbls>
            <c:showVal val="1"/>
            <c:showLeaderLines val="1"/>
          </c:dLbls>
          <c:cat>
            <c:strRef>
              <c:f>charts!$B$1:$Q$1</c:f>
              <c:strCache>
                <c:ptCount val="16"/>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strCache>
            </c:strRef>
          </c:cat>
          <c:val>
            <c:numRef>
              <c:f>charts!$B$8:$Q$8</c:f>
              <c:numCache>
                <c:formatCode>General</c:formatCode>
                <c:ptCount val="16"/>
                <c:pt idx="0">
                  <c:v>1</c:v>
                </c:pt>
                <c:pt idx="1">
                  <c:v>0</c:v>
                </c:pt>
                <c:pt idx="2">
                  <c:v>3</c:v>
                </c:pt>
                <c:pt idx="3">
                  <c:v>4</c:v>
                </c:pt>
                <c:pt idx="4">
                  <c:v>1</c:v>
                </c:pt>
                <c:pt idx="5">
                  <c:v>5</c:v>
                </c:pt>
                <c:pt idx="6">
                  <c:v>5</c:v>
                </c:pt>
                <c:pt idx="7">
                  <c:v>1</c:v>
                </c:pt>
                <c:pt idx="8">
                  <c:v>0</c:v>
                </c:pt>
                <c:pt idx="9">
                  <c:v>1</c:v>
                </c:pt>
                <c:pt idx="10">
                  <c:v>1</c:v>
                </c:pt>
                <c:pt idx="11">
                  <c:v>0</c:v>
                </c:pt>
                <c:pt idx="12">
                  <c:v>3</c:v>
                </c:pt>
                <c:pt idx="13">
                  <c:v>3</c:v>
                </c:pt>
                <c:pt idx="14">
                  <c:v>0</c:v>
                </c:pt>
                <c:pt idx="15">
                  <c:v>3</c:v>
                </c:pt>
              </c:numCache>
            </c:numRef>
          </c:val>
        </c:ser>
        <c:firstSliceAng val="0"/>
        <c:holeSize val="50"/>
      </c:doughnutChart>
    </c:plotArea>
    <c:legend>
      <c:legendPos val="r"/>
    </c:legend>
    <c:plotVisOnly val="1"/>
  </c:chart>
  <c:printSettings>
    <c:headerFooter/>
    <c:pageMargins b="0.75000000000000944" l="0.70000000000000062" r="0.70000000000000062" t="0.750000000000009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sz="1800" b="1" i="0" u="none" strike="noStrike" baseline="0"/>
              <a:t>2-3 Rank </a:t>
            </a:r>
            <a:r>
              <a:rPr lang="en-US"/>
              <a:t>Course counts in B+E Areas: Architecture</a:t>
            </a:r>
          </a:p>
        </c:rich>
      </c:tx>
      <c:overlay val="1"/>
    </c:title>
    <c:plotArea>
      <c:layout/>
      <c:doughnutChart>
        <c:varyColors val="1"/>
        <c:ser>
          <c:idx val="0"/>
          <c:order val="0"/>
          <c:tx>
            <c:v>Architecture</c:v>
          </c:tx>
          <c:dLbls>
            <c:showVal val="1"/>
            <c:showLeaderLines val="1"/>
          </c:dLbls>
          <c:cat>
            <c:strRef>
              <c:f>charts!$B$1:$Q$1</c:f>
              <c:strCache>
                <c:ptCount val="16"/>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strCache>
            </c:strRef>
          </c:cat>
          <c:val>
            <c:numRef>
              <c:f>charts!$B$4:$Q$4</c:f>
              <c:numCache>
                <c:formatCode>General</c:formatCode>
                <c:ptCount val="16"/>
                <c:pt idx="0">
                  <c:v>0</c:v>
                </c:pt>
                <c:pt idx="1">
                  <c:v>0</c:v>
                </c:pt>
                <c:pt idx="2">
                  <c:v>0</c:v>
                </c:pt>
                <c:pt idx="3">
                  <c:v>1</c:v>
                </c:pt>
                <c:pt idx="4">
                  <c:v>0</c:v>
                </c:pt>
                <c:pt idx="5">
                  <c:v>0</c:v>
                </c:pt>
                <c:pt idx="6">
                  <c:v>0</c:v>
                </c:pt>
                <c:pt idx="7">
                  <c:v>0</c:v>
                </c:pt>
                <c:pt idx="8">
                  <c:v>3</c:v>
                </c:pt>
                <c:pt idx="9">
                  <c:v>1</c:v>
                </c:pt>
                <c:pt idx="10">
                  <c:v>3</c:v>
                </c:pt>
                <c:pt idx="11">
                  <c:v>2</c:v>
                </c:pt>
                <c:pt idx="12">
                  <c:v>0</c:v>
                </c:pt>
                <c:pt idx="13">
                  <c:v>0</c:v>
                </c:pt>
                <c:pt idx="14">
                  <c:v>0</c:v>
                </c:pt>
                <c:pt idx="15">
                  <c:v>0</c:v>
                </c:pt>
              </c:numCache>
            </c:numRef>
          </c:val>
        </c:ser>
        <c:firstSliceAng val="0"/>
        <c:holeSize val="50"/>
      </c:doughnutChart>
    </c:plotArea>
    <c:legend>
      <c:legendPos val="r"/>
    </c:legend>
    <c:plotVisOnly val="1"/>
  </c:chart>
  <c:printSettings>
    <c:headerFooter/>
    <c:pageMargins b="0.75000000000000966" l="0.70000000000000062" r="0.70000000000000062" t="0.750000000000009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sz="1800" b="1" i="0" u="none" strike="noStrike" baseline="0"/>
              <a:t>2-3 Rank </a:t>
            </a:r>
            <a:r>
              <a:rPr lang="en-US"/>
              <a:t>Course counts in B+E Areas: Yale Total</a:t>
            </a:r>
          </a:p>
        </c:rich>
      </c:tx>
      <c:overlay val="1"/>
    </c:title>
    <c:plotArea>
      <c:layout/>
      <c:doughnutChart>
        <c:varyColors val="1"/>
        <c:ser>
          <c:idx val="0"/>
          <c:order val="0"/>
          <c:tx>
            <c:v>Yale Total</c:v>
          </c:tx>
          <c:dLbls>
            <c:showVal val="1"/>
            <c:showLeaderLines val="1"/>
          </c:dLbls>
          <c:cat>
            <c:strRef>
              <c:f>charts!$B$1:$Q$1</c:f>
              <c:strCache>
                <c:ptCount val="16"/>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strCache>
            </c:strRef>
          </c:cat>
          <c:val>
            <c:numRef>
              <c:f>charts!$B$24:$Q$24</c:f>
              <c:numCache>
                <c:formatCode>General</c:formatCode>
                <c:ptCount val="16"/>
                <c:pt idx="0">
                  <c:v>31</c:v>
                </c:pt>
                <c:pt idx="1">
                  <c:v>20</c:v>
                </c:pt>
                <c:pt idx="2">
                  <c:v>34</c:v>
                </c:pt>
                <c:pt idx="3">
                  <c:v>47</c:v>
                </c:pt>
                <c:pt idx="4">
                  <c:v>28</c:v>
                </c:pt>
                <c:pt idx="5">
                  <c:v>59</c:v>
                </c:pt>
                <c:pt idx="6">
                  <c:v>31</c:v>
                </c:pt>
                <c:pt idx="7">
                  <c:v>19</c:v>
                </c:pt>
                <c:pt idx="8">
                  <c:v>27</c:v>
                </c:pt>
                <c:pt idx="9">
                  <c:v>29</c:v>
                </c:pt>
                <c:pt idx="10">
                  <c:v>33</c:v>
                </c:pt>
                <c:pt idx="11">
                  <c:v>15</c:v>
                </c:pt>
                <c:pt idx="12">
                  <c:v>61</c:v>
                </c:pt>
                <c:pt idx="13">
                  <c:v>40</c:v>
                </c:pt>
                <c:pt idx="14">
                  <c:v>20</c:v>
                </c:pt>
                <c:pt idx="15">
                  <c:v>34</c:v>
                </c:pt>
              </c:numCache>
            </c:numRef>
          </c:val>
        </c:ser>
        <c:firstSliceAng val="0"/>
        <c:holeSize val="50"/>
      </c:doughnutChart>
    </c:plotArea>
    <c:legend>
      <c:legendPos val="r"/>
    </c:legend>
    <c:plotVisOnly val="1"/>
  </c:chart>
  <c:printSettings>
    <c:headerFooter/>
    <c:pageMargins b="0.75000000000000988" l="0.70000000000000062" r="0.70000000000000062" t="0.750000000000009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sz="1800" b="1" i="0" u="none" strike="noStrike" baseline="0"/>
              <a:t>1-3 Rank </a:t>
            </a:r>
            <a:r>
              <a:rPr lang="en-US"/>
              <a:t>Course counts in B+E Areas: Yale Total</a:t>
            </a:r>
          </a:p>
        </c:rich>
      </c:tx>
      <c:overlay val="1"/>
    </c:title>
    <c:plotArea>
      <c:layout/>
      <c:doughnutChart>
        <c:varyColors val="1"/>
        <c:ser>
          <c:idx val="0"/>
          <c:order val="0"/>
          <c:tx>
            <c:v>Yale Total</c:v>
          </c:tx>
          <c:dLbls>
            <c:showVal val="1"/>
            <c:showLeaderLines val="1"/>
          </c:dLbls>
          <c:cat>
            <c:strRef>
              <c:f>charts!$B$1:$Q$1</c:f>
              <c:strCache>
                <c:ptCount val="16"/>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strCache>
            </c:strRef>
          </c:cat>
          <c:val>
            <c:numRef>
              <c:f>charts!$AE$24:$AT$24</c:f>
              <c:numCache>
                <c:formatCode>General</c:formatCode>
                <c:ptCount val="16"/>
                <c:pt idx="0">
                  <c:v>56</c:v>
                </c:pt>
                <c:pt idx="1">
                  <c:v>33</c:v>
                </c:pt>
                <c:pt idx="2">
                  <c:v>63</c:v>
                </c:pt>
                <c:pt idx="3">
                  <c:v>78</c:v>
                </c:pt>
                <c:pt idx="4">
                  <c:v>75</c:v>
                </c:pt>
                <c:pt idx="5">
                  <c:v>139</c:v>
                </c:pt>
                <c:pt idx="6">
                  <c:v>74</c:v>
                </c:pt>
                <c:pt idx="7">
                  <c:v>42</c:v>
                </c:pt>
                <c:pt idx="8">
                  <c:v>42</c:v>
                </c:pt>
                <c:pt idx="9">
                  <c:v>36</c:v>
                </c:pt>
                <c:pt idx="10">
                  <c:v>54</c:v>
                </c:pt>
                <c:pt idx="11">
                  <c:v>26</c:v>
                </c:pt>
                <c:pt idx="12">
                  <c:v>129</c:v>
                </c:pt>
                <c:pt idx="13">
                  <c:v>118</c:v>
                </c:pt>
                <c:pt idx="14">
                  <c:v>38</c:v>
                </c:pt>
                <c:pt idx="15">
                  <c:v>57</c:v>
                </c:pt>
              </c:numCache>
            </c:numRef>
          </c:val>
        </c:ser>
        <c:firstSliceAng val="0"/>
        <c:holeSize val="50"/>
      </c:doughnutChart>
    </c:plotArea>
    <c:legend>
      <c:legendPos val="r"/>
    </c:legend>
    <c:plotVisOnly val="1"/>
  </c:chart>
  <c:printSettings>
    <c:headerFooter/>
    <c:pageMargins b="0.7500000000000101" l="0.70000000000000062" r="0.70000000000000062" t="0.750000000000010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7"/>
  <c:chart>
    <c:autoTitleDeleted val="1"/>
    <c:plotArea>
      <c:layout>
        <c:manualLayout>
          <c:layoutTarget val="inner"/>
          <c:xMode val="edge"/>
          <c:yMode val="edge"/>
          <c:x val="0.19537688250133844"/>
          <c:y val="4.7338291133305219E-2"/>
          <c:w val="0.7785812756415228"/>
          <c:h val="0.92560889925016065"/>
        </c:manualLayout>
      </c:layout>
      <c:barChart>
        <c:barDir val="bar"/>
        <c:grouping val="clustered"/>
        <c:ser>
          <c:idx val="0"/>
          <c:order val="0"/>
          <c:dLbls>
            <c:txPr>
              <a:bodyPr/>
              <a:lstStyle/>
              <a:p>
                <a:pPr>
                  <a:defRPr sz="2000"/>
                </a:pPr>
                <a:endParaRPr lang="en-US"/>
              </a:p>
            </c:txPr>
            <c:dLblPos val="inBase"/>
            <c:showVal val="1"/>
          </c:dLbls>
          <c:cat>
            <c:strRef>
              <c:f>charts!$B$1:$V$1</c:f>
              <c:strCache>
                <c:ptCount val="21"/>
                <c:pt idx="0">
                  <c:v>Corpor. Envir Strategy</c:v>
                </c:pt>
                <c:pt idx="1">
                  <c:v>Soc/Envir. Ventures</c:v>
                </c:pt>
                <c:pt idx="2">
                  <c:v>Envir Finance</c:v>
                </c:pt>
                <c:pt idx="3">
                  <c:v>Climate Change</c:v>
                </c:pt>
                <c:pt idx="4">
                  <c:v>Envir Justice &amp; Ethics</c:v>
                </c:pt>
                <c:pt idx="5">
                  <c:v>Envir Policy &amp; Law</c:v>
                </c:pt>
                <c:pt idx="6">
                  <c:v>Envir Economics</c:v>
                </c:pt>
                <c:pt idx="7">
                  <c:v>EH&amp;S</c:v>
                </c:pt>
                <c:pt idx="8">
                  <c:v>Green Design &amp; Building</c:v>
                </c:pt>
                <c:pt idx="9">
                  <c:v>CSR</c:v>
                </c:pt>
                <c:pt idx="10">
                  <c:v>Energy</c:v>
                </c:pt>
                <c:pt idx="11">
                  <c:v>Industrial Ecology</c:v>
                </c:pt>
                <c:pt idx="12">
                  <c:v>Natural Res Managmnt</c:v>
                </c:pt>
                <c:pt idx="13">
                  <c:v>Internat Development</c:v>
                </c:pt>
                <c:pt idx="14">
                  <c:v>Envir Chemistry</c:v>
                </c:pt>
                <c:pt idx="15">
                  <c:v>Pollution</c:v>
                </c:pt>
                <c:pt idx="16">
                  <c:v>Air</c:v>
                </c:pt>
                <c:pt idx="17">
                  <c:v>Soils</c:v>
                </c:pt>
                <c:pt idx="18">
                  <c:v>Water</c:v>
                </c:pt>
                <c:pt idx="19">
                  <c:v>Ecosystems</c:v>
                </c:pt>
                <c:pt idx="20">
                  <c:v>Forests</c:v>
                </c:pt>
              </c:strCache>
            </c:strRef>
          </c:cat>
          <c:val>
            <c:numRef>
              <c:f>charts!$AE$24:$AY$24</c:f>
              <c:numCache>
                <c:formatCode>General</c:formatCode>
                <c:ptCount val="21"/>
                <c:pt idx="0">
                  <c:v>56</c:v>
                </c:pt>
                <c:pt idx="1">
                  <c:v>33</c:v>
                </c:pt>
                <c:pt idx="2">
                  <c:v>63</c:v>
                </c:pt>
                <c:pt idx="3">
                  <c:v>78</c:v>
                </c:pt>
                <c:pt idx="4">
                  <c:v>75</c:v>
                </c:pt>
                <c:pt idx="5">
                  <c:v>139</c:v>
                </c:pt>
                <c:pt idx="6">
                  <c:v>74</c:v>
                </c:pt>
                <c:pt idx="7">
                  <c:v>42</c:v>
                </c:pt>
                <c:pt idx="8">
                  <c:v>42</c:v>
                </c:pt>
                <c:pt idx="9">
                  <c:v>36</c:v>
                </c:pt>
                <c:pt idx="10">
                  <c:v>54</c:v>
                </c:pt>
                <c:pt idx="11">
                  <c:v>26</c:v>
                </c:pt>
                <c:pt idx="12">
                  <c:v>129</c:v>
                </c:pt>
                <c:pt idx="13">
                  <c:v>118</c:v>
                </c:pt>
                <c:pt idx="14">
                  <c:v>38</c:v>
                </c:pt>
                <c:pt idx="15">
                  <c:v>57</c:v>
                </c:pt>
                <c:pt idx="16">
                  <c:v>49</c:v>
                </c:pt>
                <c:pt idx="17">
                  <c:v>65</c:v>
                </c:pt>
                <c:pt idx="18">
                  <c:v>75</c:v>
                </c:pt>
                <c:pt idx="19">
                  <c:v>90</c:v>
                </c:pt>
                <c:pt idx="20">
                  <c:v>45</c:v>
                </c:pt>
              </c:numCache>
            </c:numRef>
          </c:val>
        </c:ser>
        <c:gapWidth val="31"/>
        <c:axId val="155334144"/>
        <c:axId val="155335680"/>
      </c:barChart>
      <c:catAx>
        <c:axId val="155334144"/>
        <c:scaling>
          <c:orientation val="minMax"/>
        </c:scaling>
        <c:axPos val="l"/>
        <c:tickLblPos val="nextTo"/>
        <c:txPr>
          <a:bodyPr/>
          <a:lstStyle/>
          <a:p>
            <a:pPr>
              <a:defRPr sz="2000"/>
            </a:pPr>
            <a:endParaRPr lang="en-US"/>
          </a:p>
        </c:txPr>
        <c:crossAx val="155335680"/>
        <c:crosses val="autoZero"/>
        <c:auto val="1"/>
        <c:lblAlgn val="ctr"/>
        <c:lblOffset val="100"/>
      </c:catAx>
      <c:valAx>
        <c:axId val="155335680"/>
        <c:scaling>
          <c:orientation val="minMax"/>
          <c:max val="140"/>
        </c:scaling>
        <c:delete val="1"/>
        <c:axPos val="b"/>
        <c:numFmt formatCode="General" sourceLinked="1"/>
        <c:tickLblPos val="none"/>
        <c:crossAx val="155334144"/>
        <c:crosses val="autoZero"/>
        <c:crossBetween val="between"/>
      </c:valAx>
    </c:plotArea>
    <c:plotVisOnly val="1"/>
  </c:chart>
  <c:printSettings>
    <c:headerFooter/>
    <c:pageMargins b="0.75000000000001144" l="0.70000000000000062" r="0.70000000000000062" t="0.75000000000001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325221878706941"/>
          <c:y val="6.620477960658315E-2"/>
          <c:w val="0.8214677287045995"/>
          <c:h val="0.78210873192976249"/>
        </c:manualLayout>
      </c:layout>
      <c:bubbleChart>
        <c:ser>
          <c:idx val="0"/>
          <c:order val="0"/>
          <c:tx>
            <c:v>Afr.Amer.</c:v>
          </c:tx>
          <c:xVal>
            <c:numRef>
              <c:f>'bub All'!$B$2:$V$2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All'!$B$1:$V$1</c:f>
              <c:numCache>
                <c:formatCode>General</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numCache>
            </c:numRef>
          </c:yVal>
          <c:bubbleSize>
            <c:numRef>
              <c:f>'bub All'!$B$3:$V$3</c:f>
              <c:numCache>
                <c:formatCode>General</c:formatCode>
                <c:ptCount val="21"/>
                <c:pt idx="0">
                  <c:v>0</c:v>
                </c:pt>
                <c:pt idx="1">
                  <c:v>0</c:v>
                </c:pt>
                <c:pt idx="2">
                  <c:v>1</c:v>
                </c:pt>
                <c:pt idx="3">
                  <c:v>0</c:v>
                </c:pt>
                <c:pt idx="4">
                  <c:v>1</c:v>
                </c:pt>
                <c:pt idx="5">
                  <c:v>5</c:v>
                </c:pt>
                <c:pt idx="6">
                  <c:v>0</c:v>
                </c:pt>
                <c:pt idx="7">
                  <c:v>1</c:v>
                </c:pt>
                <c:pt idx="8">
                  <c:v>1</c:v>
                </c:pt>
                <c:pt idx="9">
                  <c:v>0</c:v>
                </c:pt>
                <c:pt idx="10">
                  <c:v>0</c:v>
                </c:pt>
                <c:pt idx="11">
                  <c:v>0</c:v>
                </c:pt>
                <c:pt idx="12">
                  <c:v>2</c:v>
                </c:pt>
                <c:pt idx="13">
                  <c:v>5</c:v>
                </c:pt>
                <c:pt idx="14">
                  <c:v>0</c:v>
                </c:pt>
                <c:pt idx="15">
                  <c:v>0</c:v>
                </c:pt>
                <c:pt idx="16">
                  <c:v>0</c:v>
                </c:pt>
                <c:pt idx="17">
                  <c:v>1</c:v>
                </c:pt>
                <c:pt idx="18">
                  <c:v>0</c:v>
                </c:pt>
                <c:pt idx="19">
                  <c:v>1</c:v>
                </c:pt>
                <c:pt idx="20">
                  <c:v>0</c:v>
                </c:pt>
              </c:numCache>
            </c:numRef>
          </c:bubbleSize>
          <c:bubble3D val="1"/>
        </c:ser>
        <c:ser>
          <c:idx val="1"/>
          <c:order val="1"/>
          <c:tx>
            <c:strRef>
              <c:f>'bub All'!$A$5</c:f>
              <c:strCache>
                <c:ptCount val="1"/>
                <c:pt idx="0">
                  <c:v>Anthropology</c:v>
                </c:pt>
              </c:strCache>
            </c:strRef>
          </c:tx>
          <c:spPr>
            <a:ln w="25400">
              <a:noFill/>
            </a:ln>
          </c:spPr>
          <c:xVal>
            <c:numRef>
              <c:f>'bub All'!$B$6:$V$6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All'!$B$5:$V$5</c:f>
              <c:numCache>
                <c:formatCode>General</c:formatCode>
                <c:ptCount val="21"/>
                <c:pt idx="0">
                  <c:v>101</c:v>
                </c:pt>
                <c:pt idx="1">
                  <c:v>101</c:v>
                </c:pt>
                <c:pt idx="2">
                  <c:v>101</c:v>
                </c:pt>
                <c:pt idx="3">
                  <c:v>101</c:v>
                </c:pt>
                <c:pt idx="4">
                  <c:v>101</c:v>
                </c:pt>
                <c:pt idx="5">
                  <c:v>101</c:v>
                </c:pt>
                <c:pt idx="6">
                  <c:v>101</c:v>
                </c:pt>
                <c:pt idx="7">
                  <c:v>101</c:v>
                </c:pt>
                <c:pt idx="8">
                  <c:v>101</c:v>
                </c:pt>
                <c:pt idx="9">
                  <c:v>101</c:v>
                </c:pt>
                <c:pt idx="10">
                  <c:v>101</c:v>
                </c:pt>
                <c:pt idx="11">
                  <c:v>101</c:v>
                </c:pt>
                <c:pt idx="12">
                  <c:v>101</c:v>
                </c:pt>
                <c:pt idx="13">
                  <c:v>101</c:v>
                </c:pt>
                <c:pt idx="14">
                  <c:v>101</c:v>
                </c:pt>
                <c:pt idx="15">
                  <c:v>101</c:v>
                </c:pt>
                <c:pt idx="16">
                  <c:v>101</c:v>
                </c:pt>
                <c:pt idx="17">
                  <c:v>101</c:v>
                </c:pt>
                <c:pt idx="18">
                  <c:v>101</c:v>
                </c:pt>
                <c:pt idx="19">
                  <c:v>101</c:v>
                </c:pt>
                <c:pt idx="20">
                  <c:v>101</c:v>
                </c:pt>
              </c:numCache>
            </c:numRef>
          </c:yVal>
          <c:bubbleSize>
            <c:numRef>
              <c:f>'bub All'!$B$7:$V$7</c:f>
              <c:numCache>
                <c:formatCode>General</c:formatCode>
                <c:ptCount val="21"/>
                <c:pt idx="0">
                  <c:v>0</c:v>
                </c:pt>
                <c:pt idx="1">
                  <c:v>0</c:v>
                </c:pt>
                <c:pt idx="2">
                  <c:v>0</c:v>
                </c:pt>
                <c:pt idx="3">
                  <c:v>3</c:v>
                </c:pt>
                <c:pt idx="4">
                  <c:v>6</c:v>
                </c:pt>
                <c:pt idx="5">
                  <c:v>4</c:v>
                </c:pt>
                <c:pt idx="6">
                  <c:v>1</c:v>
                </c:pt>
                <c:pt idx="7">
                  <c:v>0</c:v>
                </c:pt>
                <c:pt idx="8">
                  <c:v>0</c:v>
                </c:pt>
                <c:pt idx="9">
                  <c:v>0</c:v>
                </c:pt>
                <c:pt idx="10">
                  <c:v>1</c:v>
                </c:pt>
                <c:pt idx="11">
                  <c:v>0</c:v>
                </c:pt>
                <c:pt idx="12">
                  <c:v>5</c:v>
                </c:pt>
                <c:pt idx="13">
                  <c:v>5</c:v>
                </c:pt>
                <c:pt idx="14">
                  <c:v>0</c:v>
                </c:pt>
                <c:pt idx="15">
                  <c:v>0</c:v>
                </c:pt>
                <c:pt idx="16">
                  <c:v>0</c:v>
                </c:pt>
                <c:pt idx="17">
                  <c:v>2</c:v>
                </c:pt>
                <c:pt idx="18">
                  <c:v>1</c:v>
                </c:pt>
                <c:pt idx="19">
                  <c:v>3</c:v>
                </c:pt>
                <c:pt idx="20">
                  <c:v>0</c:v>
                </c:pt>
              </c:numCache>
            </c:numRef>
          </c:bubbleSize>
          <c:bubble3D val="1"/>
        </c:ser>
        <c:ser>
          <c:idx val="2"/>
          <c:order val="2"/>
          <c:tx>
            <c:strRef>
              <c:f>'bub All'!$A$9</c:f>
              <c:strCache>
                <c:ptCount val="1"/>
                <c:pt idx="0">
                  <c:v>Architecture</c:v>
                </c:pt>
              </c:strCache>
            </c:strRef>
          </c:tx>
          <c:spPr>
            <a:ln w="25400">
              <a:noFill/>
            </a:ln>
          </c:spPr>
          <c:xVal>
            <c:numRef>
              <c:f>'bub All'!$B$10:$V$10</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All'!$B$9:$V$9</c:f>
              <c:numCache>
                <c:formatCode>General</c:formatCode>
                <c:ptCount val="21"/>
                <c:pt idx="0">
                  <c:v>102</c:v>
                </c:pt>
                <c:pt idx="1">
                  <c:v>102</c:v>
                </c:pt>
                <c:pt idx="2">
                  <c:v>102</c:v>
                </c:pt>
                <c:pt idx="3">
                  <c:v>102</c:v>
                </c:pt>
                <c:pt idx="4">
                  <c:v>102</c:v>
                </c:pt>
                <c:pt idx="5">
                  <c:v>102</c:v>
                </c:pt>
                <c:pt idx="6">
                  <c:v>102</c:v>
                </c:pt>
                <c:pt idx="7">
                  <c:v>102</c:v>
                </c:pt>
                <c:pt idx="8">
                  <c:v>102</c:v>
                </c:pt>
                <c:pt idx="9">
                  <c:v>102</c:v>
                </c:pt>
                <c:pt idx="10">
                  <c:v>102</c:v>
                </c:pt>
                <c:pt idx="11">
                  <c:v>102</c:v>
                </c:pt>
                <c:pt idx="12">
                  <c:v>102</c:v>
                </c:pt>
                <c:pt idx="13">
                  <c:v>102</c:v>
                </c:pt>
                <c:pt idx="14">
                  <c:v>102</c:v>
                </c:pt>
                <c:pt idx="15">
                  <c:v>102</c:v>
                </c:pt>
                <c:pt idx="16">
                  <c:v>102</c:v>
                </c:pt>
                <c:pt idx="17">
                  <c:v>102</c:v>
                </c:pt>
                <c:pt idx="18">
                  <c:v>102</c:v>
                </c:pt>
                <c:pt idx="19">
                  <c:v>102</c:v>
                </c:pt>
                <c:pt idx="20">
                  <c:v>102</c:v>
                </c:pt>
              </c:numCache>
            </c:numRef>
          </c:yVal>
          <c:bubbleSize>
            <c:numRef>
              <c:f>'bub All'!$B$11:$V$11</c:f>
              <c:numCache>
                <c:formatCode>General</c:formatCode>
                <c:ptCount val="21"/>
                <c:pt idx="0">
                  <c:v>0</c:v>
                </c:pt>
                <c:pt idx="1">
                  <c:v>0</c:v>
                </c:pt>
                <c:pt idx="2">
                  <c:v>1</c:v>
                </c:pt>
                <c:pt idx="3">
                  <c:v>1</c:v>
                </c:pt>
                <c:pt idx="4">
                  <c:v>0</c:v>
                </c:pt>
                <c:pt idx="5">
                  <c:v>1</c:v>
                </c:pt>
                <c:pt idx="6">
                  <c:v>0</c:v>
                </c:pt>
                <c:pt idx="7">
                  <c:v>0</c:v>
                </c:pt>
                <c:pt idx="8">
                  <c:v>8</c:v>
                </c:pt>
                <c:pt idx="9">
                  <c:v>1</c:v>
                </c:pt>
                <c:pt idx="10">
                  <c:v>5</c:v>
                </c:pt>
                <c:pt idx="11">
                  <c:v>3</c:v>
                </c:pt>
                <c:pt idx="12">
                  <c:v>0</c:v>
                </c:pt>
                <c:pt idx="13">
                  <c:v>0</c:v>
                </c:pt>
                <c:pt idx="14">
                  <c:v>0</c:v>
                </c:pt>
                <c:pt idx="15">
                  <c:v>0</c:v>
                </c:pt>
                <c:pt idx="16">
                  <c:v>1</c:v>
                </c:pt>
                <c:pt idx="17">
                  <c:v>0</c:v>
                </c:pt>
                <c:pt idx="18">
                  <c:v>1</c:v>
                </c:pt>
                <c:pt idx="19">
                  <c:v>0</c:v>
                </c:pt>
                <c:pt idx="20">
                  <c:v>0</c:v>
                </c:pt>
              </c:numCache>
            </c:numRef>
          </c:bubbleSize>
          <c:bubble3D val="1"/>
        </c:ser>
        <c:ser>
          <c:idx val="3"/>
          <c:order val="3"/>
          <c:tx>
            <c:strRef>
              <c:f>'bub All'!$A$13</c:f>
              <c:strCache>
                <c:ptCount val="1"/>
                <c:pt idx="0">
                  <c:v>Biology</c:v>
                </c:pt>
              </c:strCache>
            </c:strRef>
          </c:tx>
          <c:spPr>
            <a:ln w="25400">
              <a:noFill/>
            </a:ln>
          </c:spPr>
          <c:xVal>
            <c:numRef>
              <c:f>'bub All'!$B$14:$V$14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All'!$B$13:$V$13</c:f>
              <c:numCache>
                <c:formatCode>General</c:formatCode>
                <c:ptCount val="21"/>
                <c:pt idx="0">
                  <c:v>103</c:v>
                </c:pt>
                <c:pt idx="1">
                  <c:v>103</c:v>
                </c:pt>
                <c:pt idx="2">
                  <c:v>103</c:v>
                </c:pt>
                <c:pt idx="3">
                  <c:v>103</c:v>
                </c:pt>
                <c:pt idx="4">
                  <c:v>103</c:v>
                </c:pt>
                <c:pt idx="5">
                  <c:v>103</c:v>
                </c:pt>
                <c:pt idx="6">
                  <c:v>103</c:v>
                </c:pt>
                <c:pt idx="7">
                  <c:v>103</c:v>
                </c:pt>
                <c:pt idx="8">
                  <c:v>103</c:v>
                </c:pt>
                <c:pt idx="9">
                  <c:v>103</c:v>
                </c:pt>
                <c:pt idx="10">
                  <c:v>103</c:v>
                </c:pt>
                <c:pt idx="11">
                  <c:v>103</c:v>
                </c:pt>
                <c:pt idx="12">
                  <c:v>103</c:v>
                </c:pt>
                <c:pt idx="13">
                  <c:v>103</c:v>
                </c:pt>
                <c:pt idx="14">
                  <c:v>103</c:v>
                </c:pt>
                <c:pt idx="15">
                  <c:v>103</c:v>
                </c:pt>
                <c:pt idx="16">
                  <c:v>103</c:v>
                </c:pt>
                <c:pt idx="17">
                  <c:v>103</c:v>
                </c:pt>
                <c:pt idx="18">
                  <c:v>103</c:v>
                </c:pt>
                <c:pt idx="19">
                  <c:v>103</c:v>
                </c:pt>
                <c:pt idx="20">
                  <c:v>103</c:v>
                </c:pt>
              </c:numCache>
            </c:numRef>
          </c:yVal>
          <c:bubbleSize>
            <c:numRef>
              <c:f>'bub All'!$B$15:$V$15</c:f>
              <c:numCache>
                <c:formatCode>General</c:formatCode>
                <c:ptCount val="21"/>
                <c:pt idx="0">
                  <c:v>0</c:v>
                </c:pt>
                <c:pt idx="1">
                  <c:v>0</c:v>
                </c:pt>
                <c:pt idx="2">
                  <c:v>0</c:v>
                </c:pt>
                <c:pt idx="3">
                  <c:v>3</c:v>
                </c:pt>
                <c:pt idx="4">
                  <c:v>1</c:v>
                </c:pt>
                <c:pt idx="5">
                  <c:v>2</c:v>
                </c:pt>
                <c:pt idx="6">
                  <c:v>0</c:v>
                </c:pt>
                <c:pt idx="7">
                  <c:v>1</c:v>
                </c:pt>
                <c:pt idx="8">
                  <c:v>0</c:v>
                </c:pt>
                <c:pt idx="9">
                  <c:v>0</c:v>
                </c:pt>
                <c:pt idx="10">
                  <c:v>1</c:v>
                </c:pt>
                <c:pt idx="11">
                  <c:v>0</c:v>
                </c:pt>
                <c:pt idx="12">
                  <c:v>14</c:v>
                </c:pt>
                <c:pt idx="13">
                  <c:v>2</c:v>
                </c:pt>
                <c:pt idx="14">
                  <c:v>2</c:v>
                </c:pt>
                <c:pt idx="15">
                  <c:v>1</c:v>
                </c:pt>
                <c:pt idx="16">
                  <c:v>2</c:v>
                </c:pt>
                <c:pt idx="17">
                  <c:v>5</c:v>
                </c:pt>
                <c:pt idx="18">
                  <c:v>3</c:v>
                </c:pt>
                <c:pt idx="19">
                  <c:v>15</c:v>
                </c:pt>
                <c:pt idx="20">
                  <c:v>5</c:v>
                </c:pt>
              </c:numCache>
            </c:numRef>
          </c:bubbleSize>
          <c:bubble3D val="1"/>
        </c:ser>
        <c:ser>
          <c:idx val="4"/>
          <c:order val="4"/>
          <c:tx>
            <c:strRef>
              <c:f>'bub All'!$A$21</c:f>
              <c:strCache>
                <c:ptCount val="1"/>
                <c:pt idx="0">
                  <c:v>Divinity</c:v>
                </c:pt>
              </c:strCache>
            </c:strRef>
          </c:tx>
          <c:spPr>
            <a:ln w="25400">
              <a:noFill/>
            </a:ln>
          </c:spPr>
          <c:xVal>
            <c:numRef>
              <c:f>'bub All'!$B$22:$V$22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All'!$B$21:$V$21</c:f>
              <c:numCache>
                <c:formatCode>General</c:formatCode>
                <c:ptCount val="21"/>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numCache>
            </c:numRef>
          </c:yVal>
          <c:bubbleSize>
            <c:numRef>
              <c:f>'bub All'!$B$23:$V$23</c:f>
              <c:numCache>
                <c:formatCode>General</c:formatCode>
                <c:ptCount val="21"/>
                <c:pt idx="0">
                  <c:v>0</c:v>
                </c:pt>
                <c:pt idx="1">
                  <c:v>0</c:v>
                </c:pt>
                <c:pt idx="2">
                  <c:v>0</c:v>
                </c:pt>
                <c:pt idx="3">
                  <c:v>0</c:v>
                </c:pt>
                <c:pt idx="4">
                  <c:v>3</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5"/>
          <c:order val="5"/>
          <c:tx>
            <c:strRef>
              <c:f>'bub All'!$A$25</c:f>
              <c:strCache>
                <c:ptCount val="1"/>
                <c:pt idx="0">
                  <c:v>Economics</c:v>
                </c:pt>
              </c:strCache>
            </c:strRef>
          </c:tx>
          <c:spPr>
            <a:ln w="25400">
              <a:noFill/>
            </a:ln>
          </c:spPr>
          <c:xVal>
            <c:numRef>
              <c:f>'bub All'!$B$26:$V$26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All'!$B$25:$V$25</c:f>
              <c:numCache>
                <c:formatCode>General</c:formatCode>
                <c:ptCount val="21"/>
                <c:pt idx="0">
                  <c:v>106</c:v>
                </c:pt>
                <c:pt idx="1">
                  <c:v>106</c:v>
                </c:pt>
                <c:pt idx="2">
                  <c:v>106</c:v>
                </c:pt>
                <c:pt idx="3">
                  <c:v>106</c:v>
                </c:pt>
                <c:pt idx="4">
                  <c:v>106</c:v>
                </c:pt>
                <c:pt idx="5">
                  <c:v>106</c:v>
                </c:pt>
                <c:pt idx="6">
                  <c:v>106</c:v>
                </c:pt>
                <c:pt idx="7">
                  <c:v>106</c:v>
                </c:pt>
                <c:pt idx="8">
                  <c:v>106</c:v>
                </c:pt>
                <c:pt idx="9">
                  <c:v>106</c:v>
                </c:pt>
                <c:pt idx="10">
                  <c:v>106</c:v>
                </c:pt>
                <c:pt idx="11">
                  <c:v>106</c:v>
                </c:pt>
                <c:pt idx="12">
                  <c:v>106</c:v>
                </c:pt>
                <c:pt idx="13">
                  <c:v>106</c:v>
                </c:pt>
                <c:pt idx="14">
                  <c:v>106</c:v>
                </c:pt>
                <c:pt idx="15">
                  <c:v>106</c:v>
                </c:pt>
                <c:pt idx="16">
                  <c:v>106</c:v>
                </c:pt>
                <c:pt idx="17">
                  <c:v>106</c:v>
                </c:pt>
                <c:pt idx="18">
                  <c:v>106</c:v>
                </c:pt>
                <c:pt idx="19">
                  <c:v>106</c:v>
                </c:pt>
                <c:pt idx="20">
                  <c:v>106</c:v>
                </c:pt>
              </c:numCache>
            </c:numRef>
          </c:yVal>
          <c:bubbleSize>
            <c:numRef>
              <c:f>'bub All'!$B$27:$V$27</c:f>
              <c:numCache>
                <c:formatCode>General</c:formatCode>
                <c:ptCount val="21"/>
                <c:pt idx="0">
                  <c:v>3</c:v>
                </c:pt>
                <c:pt idx="1">
                  <c:v>1</c:v>
                </c:pt>
                <c:pt idx="2">
                  <c:v>11</c:v>
                </c:pt>
                <c:pt idx="3">
                  <c:v>5</c:v>
                </c:pt>
                <c:pt idx="4">
                  <c:v>2</c:v>
                </c:pt>
                <c:pt idx="5">
                  <c:v>16</c:v>
                </c:pt>
                <c:pt idx="6">
                  <c:v>37</c:v>
                </c:pt>
                <c:pt idx="7">
                  <c:v>2</c:v>
                </c:pt>
                <c:pt idx="8">
                  <c:v>0</c:v>
                </c:pt>
                <c:pt idx="9">
                  <c:v>2</c:v>
                </c:pt>
                <c:pt idx="10">
                  <c:v>1</c:v>
                </c:pt>
                <c:pt idx="11">
                  <c:v>0</c:v>
                </c:pt>
                <c:pt idx="12">
                  <c:v>5</c:v>
                </c:pt>
                <c:pt idx="13">
                  <c:v>19</c:v>
                </c:pt>
                <c:pt idx="14">
                  <c:v>0</c:v>
                </c:pt>
                <c:pt idx="15">
                  <c:v>3</c:v>
                </c:pt>
                <c:pt idx="16">
                  <c:v>3</c:v>
                </c:pt>
                <c:pt idx="17">
                  <c:v>1</c:v>
                </c:pt>
                <c:pt idx="18">
                  <c:v>2</c:v>
                </c:pt>
                <c:pt idx="19">
                  <c:v>2</c:v>
                </c:pt>
                <c:pt idx="20">
                  <c:v>2</c:v>
                </c:pt>
              </c:numCache>
            </c:numRef>
          </c:bubbleSize>
          <c:bubble3D val="1"/>
        </c:ser>
        <c:ser>
          <c:idx val="6"/>
          <c:order val="6"/>
          <c:tx>
            <c:strRef>
              <c:f>'bub All'!$A$29</c:f>
              <c:strCache>
                <c:ptCount val="1"/>
                <c:pt idx="0">
                  <c:v>Engineering</c:v>
                </c:pt>
              </c:strCache>
            </c:strRef>
          </c:tx>
          <c:spPr>
            <a:ln w="25400">
              <a:noFill/>
            </a:ln>
          </c:spPr>
          <c:xVal>
            <c:numRef>
              <c:f>'bub All'!$B$30:$V$30</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All'!$B$29:$V$29</c:f>
              <c:numCache>
                <c:formatCode>General</c:formatCode>
                <c:ptCount val="2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107</c:v>
                </c:pt>
              </c:numCache>
            </c:numRef>
          </c:yVal>
          <c:bubbleSize>
            <c:numRef>
              <c:f>'bub All'!$B$31:$V$31</c:f>
              <c:numCache>
                <c:formatCode>General</c:formatCode>
                <c:ptCount val="21"/>
                <c:pt idx="0">
                  <c:v>1</c:v>
                </c:pt>
                <c:pt idx="1">
                  <c:v>0</c:v>
                </c:pt>
                <c:pt idx="2">
                  <c:v>0</c:v>
                </c:pt>
                <c:pt idx="3">
                  <c:v>4</c:v>
                </c:pt>
                <c:pt idx="4">
                  <c:v>1</c:v>
                </c:pt>
                <c:pt idx="5">
                  <c:v>2</c:v>
                </c:pt>
                <c:pt idx="6">
                  <c:v>0</c:v>
                </c:pt>
                <c:pt idx="7">
                  <c:v>3</c:v>
                </c:pt>
                <c:pt idx="8">
                  <c:v>3</c:v>
                </c:pt>
                <c:pt idx="9">
                  <c:v>0</c:v>
                </c:pt>
                <c:pt idx="10">
                  <c:v>8</c:v>
                </c:pt>
                <c:pt idx="11">
                  <c:v>8</c:v>
                </c:pt>
                <c:pt idx="12">
                  <c:v>3</c:v>
                </c:pt>
                <c:pt idx="13">
                  <c:v>1</c:v>
                </c:pt>
                <c:pt idx="14">
                  <c:v>7</c:v>
                </c:pt>
                <c:pt idx="15">
                  <c:v>7</c:v>
                </c:pt>
                <c:pt idx="16">
                  <c:v>5</c:v>
                </c:pt>
                <c:pt idx="17">
                  <c:v>4</c:v>
                </c:pt>
                <c:pt idx="18">
                  <c:v>8</c:v>
                </c:pt>
                <c:pt idx="19">
                  <c:v>1</c:v>
                </c:pt>
                <c:pt idx="20">
                  <c:v>1</c:v>
                </c:pt>
              </c:numCache>
            </c:numRef>
          </c:bubbleSize>
          <c:bubble3D val="1"/>
        </c:ser>
        <c:ser>
          <c:idx val="7"/>
          <c:order val="7"/>
          <c:tx>
            <c:strRef>
              <c:f>'bub All'!$A$33</c:f>
              <c:strCache>
                <c:ptCount val="1"/>
                <c:pt idx="0">
                  <c:v>Environmental studies</c:v>
                </c:pt>
              </c:strCache>
            </c:strRef>
          </c:tx>
          <c:spPr>
            <a:ln w="25400">
              <a:noFill/>
            </a:ln>
          </c:spPr>
          <c:dLbls>
            <c:dLbl>
              <c:idx val="0"/>
              <c:layout>
                <c:manualLayout>
                  <c:x val="-0.17508089601817881"/>
                  <c:y val="0.26214279417987313"/>
                </c:manualLayout>
              </c:layout>
              <c:tx>
                <c:rich>
                  <a:bodyPr/>
                  <a:lstStyle/>
                  <a:p>
                    <a:r>
                      <a:rPr lang="en-US" sz="1400" b="1"/>
                      <a:t>African-african american</a:t>
                    </a:r>
                  </a:p>
                  <a:p>
                    <a:r>
                      <a:rPr lang="en-US" sz="1400" b="1"/>
                      <a:t> studies</a:t>
                    </a:r>
                  </a:p>
                </c:rich>
              </c:tx>
              <c:dLblPos val="r"/>
              <c:showVal val="1"/>
            </c:dLbl>
            <c:dLbl>
              <c:idx val="1"/>
              <c:layout>
                <c:manualLayout>
                  <c:x val="-0.16542995165611371"/>
                  <c:y val="0.21694380318787646"/>
                </c:manualLayout>
              </c:layout>
              <c:tx>
                <c:strRef>
                  <c:f>All!$C$422</c:f>
                  <c:strCache>
                    <c:ptCount val="1"/>
                    <c:pt idx="0">
                      <c:v>Anthropology</c:v>
                    </c:pt>
                  </c:strCache>
                </c:strRef>
              </c:tx>
              <c:dLblPos val="r"/>
              <c:showVal val="1"/>
            </c:dLbl>
            <c:dLbl>
              <c:idx val="2"/>
              <c:layout>
                <c:manualLayout>
                  <c:x val="-0.29199618233406238"/>
                  <c:y val="0"/>
                </c:manualLayout>
              </c:layout>
              <c:tx>
                <c:strRef>
                  <c:f>All!$C$423</c:f>
                  <c:strCache>
                    <c:ptCount val="1"/>
                    <c:pt idx="0">
                      <c:v>Architecture</c:v>
                    </c:pt>
                  </c:strCache>
                </c:strRef>
              </c:tx>
              <c:dLblPos val="r"/>
              <c:showVal val="1"/>
            </c:dLbl>
            <c:dLbl>
              <c:idx val="3"/>
              <c:layout>
                <c:manualLayout>
                  <c:x val="-0.22295400620996092"/>
                  <c:y val="0.14609772114598746"/>
                </c:manualLayout>
              </c:layout>
              <c:tx>
                <c:strRef>
                  <c:f>All!$C$424</c:f>
                  <c:strCache>
                    <c:ptCount val="1"/>
                    <c:pt idx="0">
                      <c:v>Biology</c:v>
                    </c:pt>
                  </c:strCache>
                </c:strRef>
              </c:tx>
              <c:dLblPos val="r"/>
              <c:showVal val="1"/>
            </c:dLbl>
            <c:dLbl>
              <c:idx val="4"/>
              <c:layout>
                <c:manualLayout>
                  <c:x val="-0.26251992732380974"/>
                  <c:y val="0.11254300765320216"/>
                </c:manualLayout>
              </c:layout>
              <c:tx>
                <c:strRef>
                  <c:f>All!$C$426</c:f>
                  <c:strCache>
                    <c:ptCount val="1"/>
                    <c:pt idx="0">
                      <c:v>Divinity</c:v>
                    </c:pt>
                  </c:strCache>
                </c:strRef>
              </c:tx>
              <c:dLblPos val="r"/>
              <c:showVal val="1"/>
            </c:dLbl>
            <c:dLbl>
              <c:idx val="5"/>
              <c:layout>
                <c:manualLayout>
                  <c:x val="-0.31219172465358574"/>
                  <c:y val="7.4068230619631303E-2"/>
                </c:manualLayout>
              </c:layout>
              <c:tx>
                <c:strRef>
                  <c:f>All!$C$427</c:f>
                  <c:strCache>
                    <c:ptCount val="1"/>
                    <c:pt idx="0">
                      <c:v>Economics</c:v>
                    </c:pt>
                  </c:strCache>
                </c:strRef>
              </c:tx>
              <c:dLblPos val="r"/>
              <c:showVal val="1"/>
            </c:dLbl>
            <c:dLbl>
              <c:idx val="6"/>
              <c:layout>
                <c:manualLayout>
                  <c:x val="-0.44253373516929528"/>
                  <c:y val="0"/>
                </c:manualLayout>
              </c:layout>
              <c:tx>
                <c:strRef>
                  <c:f>All!$C$428</c:f>
                  <c:strCache>
                    <c:ptCount val="1"/>
                    <c:pt idx="0">
                      <c:v>Engineering</c:v>
                    </c:pt>
                  </c:strCache>
                </c:strRef>
              </c:tx>
              <c:dLblPos val="r"/>
              <c:showVal val="1"/>
            </c:dLbl>
            <c:dLbl>
              <c:idx val="7"/>
              <c:layout>
                <c:manualLayout>
                  <c:x val="-0.43180448347788059"/>
                  <c:y val="-9.2659108295551728E-4"/>
                </c:manualLayout>
              </c:layout>
              <c:tx>
                <c:strRef>
                  <c:f>All!$C$429</c:f>
                  <c:strCache>
                    <c:ptCount val="1"/>
                    <c:pt idx="0">
                      <c:v>Environmental studies</c:v>
                    </c:pt>
                  </c:strCache>
                </c:strRef>
              </c:tx>
              <c:dLblPos val="r"/>
              <c:showVal val="1"/>
            </c:dLbl>
            <c:dLbl>
              <c:idx val="8"/>
              <c:layout>
                <c:manualLayout>
                  <c:x val="-0.38553909424685057"/>
                  <c:y val="-4.0312813837240905E-2"/>
                </c:manualLayout>
              </c:layout>
              <c:tx>
                <c:strRef>
                  <c:f>All!$C$430</c:f>
                  <c:strCache>
                    <c:ptCount val="1"/>
                    <c:pt idx="0">
                      <c:v>FES</c:v>
                    </c:pt>
                  </c:strCache>
                </c:strRef>
              </c:tx>
              <c:dLblPos val="r"/>
              <c:showVal val="1"/>
            </c:dLbl>
            <c:dLbl>
              <c:idx val="9"/>
              <c:layout>
                <c:manualLayout>
                  <c:x val="-0.44184826521629583"/>
                  <c:y val="-7.3307257886402924E-2"/>
                </c:manualLayout>
              </c:layout>
              <c:tx>
                <c:strRef>
                  <c:f>All!$C$431</c:f>
                  <c:strCache>
                    <c:ptCount val="1"/>
                    <c:pt idx="0">
                      <c:v>Genetics</c:v>
                    </c:pt>
                  </c:strCache>
                </c:strRef>
              </c:tx>
              <c:dLblPos val="r"/>
              <c:showVal val="1"/>
            </c:dLbl>
            <c:dLbl>
              <c:idx val="10"/>
              <c:layout>
                <c:manualLayout>
                  <c:x val="-0.53930670232908173"/>
                  <c:y val="-0.11253483569515638"/>
                </c:manualLayout>
              </c:layout>
              <c:tx>
                <c:strRef>
                  <c:f>All!$C$432</c:f>
                  <c:strCache>
                    <c:ptCount val="1"/>
                    <c:pt idx="0">
                      <c:v>Geology &amp; geophysics</c:v>
                    </c:pt>
                  </c:strCache>
                </c:strRef>
              </c:tx>
              <c:dLblPos val="r"/>
              <c:showVal val="1"/>
            </c:dLbl>
            <c:dLbl>
              <c:idx val="11"/>
              <c:layout>
                <c:manualLayout>
                  <c:x val="-0.57666647336982202"/>
                  <c:y val="-0.15291738357439544"/>
                </c:manualLayout>
              </c:layout>
              <c:tx>
                <c:strRef>
                  <c:f>All!$C$434</c:f>
                  <c:strCache>
                    <c:ptCount val="1"/>
                    <c:pt idx="0">
                      <c:v>International relations</c:v>
                    </c:pt>
                  </c:strCache>
                </c:strRef>
              </c:tx>
              <c:dLblPos val="r"/>
              <c:showVal val="1"/>
            </c:dLbl>
            <c:dLbl>
              <c:idx val="12"/>
              <c:layout>
                <c:manualLayout>
                  <c:x val="-0.54298663403542002"/>
                  <c:y val="-0.18845276177859724"/>
                </c:manualLayout>
              </c:layout>
              <c:tx>
                <c:strRef>
                  <c:f>All!$C$435</c:f>
                  <c:strCache>
                    <c:ptCount val="1"/>
                    <c:pt idx="0">
                      <c:v>Law</c:v>
                    </c:pt>
                  </c:strCache>
                </c:strRef>
              </c:tx>
              <c:dLblPos val="r"/>
              <c:showVal val="1"/>
            </c:dLbl>
            <c:dLbl>
              <c:idx val="13"/>
              <c:layout>
                <c:manualLayout>
                  <c:x val="-0.62930244808760549"/>
                  <c:y val="-0.2297001207379562"/>
                </c:manualLayout>
              </c:layout>
              <c:tx>
                <c:strRef>
                  <c:f>All!$C$436</c:f>
                  <c:strCache>
                    <c:ptCount val="1"/>
                    <c:pt idx="0">
                      <c:v>Political science</c:v>
                    </c:pt>
                  </c:strCache>
                </c:strRef>
              </c:tx>
              <c:dLblPos val="r"/>
              <c:showVal val="1"/>
            </c:dLbl>
            <c:dLbl>
              <c:idx val="14"/>
              <c:layout>
                <c:manualLayout>
                  <c:x val="-0.6380338425166131"/>
                  <c:y val="-0.26757747315866814"/>
                </c:manualLayout>
              </c:layout>
              <c:tx>
                <c:strRef>
                  <c:f>All!$C$437</c:f>
                  <c:strCache>
                    <c:ptCount val="1"/>
                    <c:pt idx="0">
                      <c:v>Psychology</c:v>
                    </c:pt>
                  </c:strCache>
                </c:strRef>
              </c:tx>
              <c:dLblPos val="r"/>
              <c:showVal val="1"/>
            </c:dLbl>
            <c:dLbl>
              <c:idx val="15"/>
              <c:layout>
                <c:manualLayout>
                  <c:x val="-0.68802887752430786"/>
                  <c:y val="-0.30131872521378239"/>
                </c:manualLayout>
              </c:layout>
              <c:tx>
                <c:strRef>
                  <c:f>All!$C$438</c:f>
                  <c:strCache>
                    <c:ptCount val="1"/>
                    <c:pt idx="0">
                      <c:v>Public health</c:v>
                    </c:pt>
                  </c:strCache>
                </c:strRef>
              </c:tx>
              <c:dLblPos val="r"/>
              <c:showVal val="1"/>
            </c:dLbl>
            <c:dLbl>
              <c:idx val="16"/>
              <c:layout>
                <c:manualLayout>
                  <c:x val="-0.71144439708956564"/>
                  <c:y val="-0.33618476557432347"/>
                </c:manualLayout>
              </c:layout>
              <c:tx>
                <c:strRef>
                  <c:f>All!$C$439</c:f>
                  <c:strCache>
                    <c:ptCount val="1"/>
                    <c:pt idx="0">
                      <c:v>Sociology</c:v>
                    </c:pt>
                  </c:strCache>
                </c:strRef>
              </c:tx>
              <c:dLblPos val="r"/>
              <c:showVal val="1"/>
            </c:dLbl>
            <c:dLbl>
              <c:idx val="17"/>
              <c:layout>
                <c:manualLayout>
                  <c:x val="-0.72717957389333165"/>
                  <c:y val="-0.37342034688982501"/>
                </c:manualLayout>
              </c:layout>
              <c:tx>
                <c:strRef>
                  <c:f>All!$C$440</c:f>
                  <c:strCache>
                    <c:ptCount val="1"/>
                    <c:pt idx="0">
                      <c:v>SOM</c:v>
                    </c:pt>
                  </c:strCache>
                </c:strRef>
              </c:tx>
              <c:spPr/>
              <c:txPr>
                <a:bodyPr/>
                <a:lstStyle/>
                <a:p>
                  <a:pPr>
                    <a:defRPr sz="1400" b="1" i="0"/>
                  </a:pPr>
                  <a:endParaRPr lang="en-US"/>
                </a:p>
              </c:txPr>
              <c:dLblPos val="r"/>
              <c:showVal val="1"/>
            </c:dLbl>
            <c:dLbl>
              <c:idx val="18"/>
              <c:layout>
                <c:manualLayout>
                  <c:x val="-0.83264864763618907"/>
                  <c:y val="-0.41026454589465411"/>
                </c:manualLayout>
              </c:layout>
              <c:tx>
                <c:strRef>
                  <c:f>All!$C$441</c:f>
                  <c:strCache>
                    <c:ptCount val="1"/>
                    <c:pt idx="0">
                      <c:v>South asian studies</c:v>
                    </c:pt>
                  </c:strCache>
                </c:strRef>
              </c:tx>
              <c:dLblPos val="r"/>
              <c:showVal val="1"/>
            </c:dLbl>
            <c:dLbl>
              <c:idx val="19"/>
              <c:layout>
                <c:manualLayout>
                  <c:x val="-0.84337296688695107"/>
                  <c:y val="-0.45110483238387938"/>
                </c:manualLayout>
              </c:layout>
              <c:tx>
                <c:rich>
                  <a:bodyPr/>
                  <a:lstStyle/>
                  <a:p>
                    <a:r>
                      <a:rPr lang="en-US" sz="1400" b="1"/>
                      <a:t>Women's, gender, </a:t>
                    </a:r>
                  </a:p>
                  <a:p>
                    <a:r>
                      <a:rPr lang="en-US" sz="1400" b="1"/>
                      <a:t>and sexuality studies</a:t>
                    </a:r>
                  </a:p>
                </c:rich>
              </c:tx>
              <c:dLblPos val="r"/>
              <c:showVal val="1"/>
            </c:dLbl>
            <c:dLbl>
              <c:idx val="20"/>
              <c:layout>
                <c:manualLayout>
                  <c:x val="-1.2942329412337221E-2"/>
                  <c:y val="-0.52558399660931487"/>
                </c:manualLayout>
              </c:layout>
              <c:tx>
                <c:strRef>
                  <c:f>All!$C$443</c:f>
                  <c:strCache>
                    <c:ptCount val="1"/>
                  </c:strCache>
                </c:strRef>
              </c:tx>
              <c:dLblPos val="r"/>
              <c:showVal val="1"/>
            </c:dLbl>
            <c:txPr>
              <a:bodyPr/>
              <a:lstStyle/>
              <a:p>
                <a:pPr>
                  <a:defRPr sz="1400" b="1"/>
                </a:pPr>
                <a:endParaRPr lang="en-US"/>
              </a:p>
            </c:txPr>
            <c:showVal val="1"/>
          </c:dLbls>
          <c:xVal>
            <c:numRef>
              <c:f>'bub All'!$B$34:$V$34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All'!$B$33:$V$33</c:f>
              <c:numCache>
                <c:formatCode>General</c:formatCode>
                <c:ptCount val="21"/>
                <c:pt idx="0">
                  <c:v>108</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108</c:v>
                </c:pt>
                <c:pt idx="18">
                  <c:v>108</c:v>
                </c:pt>
                <c:pt idx="19">
                  <c:v>108</c:v>
                </c:pt>
                <c:pt idx="20">
                  <c:v>108</c:v>
                </c:pt>
              </c:numCache>
            </c:numRef>
          </c:yVal>
          <c:bubbleSize>
            <c:numRef>
              <c:f>'bub All'!$B$35:$V$35</c:f>
              <c:numCache>
                <c:formatCode>General</c:formatCode>
                <c:ptCount val="21"/>
                <c:pt idx="0">
                  <c:v>1</c:v>
                </c:pt>
                <c:pt idx="1">
                  <c:v>1</c:v>
                </c:pt>
                <c:pt idx="2">
                  <c:v>0</c:v>
                </c:pt>
                <c:pt idx="3">
                  <c:v>10</c:v>
                </c:pt>
                <c:pt idx="4">
                  <c:v>11</c:v>
                </c:pt>
                <c:pt idx="5">
                  <c:v>15</c:v>
                </c:pt>
                <c:pt idx="6">
                  <c:v>0</c:v>
                </c:pt>
                <c:pt idx="7">
                  <c:v>3</c:v>
                </c:pt>
                <c:pt idx="8">
                  <c:v>4</c:v>
                </c:pt>
                <c:pt idx="9">
                  <c:v>1</c:v>
                </c:pt>
                <c:pt idx="10">
                  <c:v>6</c:v>
                </c:pt>
                <c:pt idx="11">
                  <c:v>2</c:v>
                </c:pt>
                <c:pt idx="12">
                  <c:v>13</c:v>
                </c:pt>
                <c:pt idx="13">
                  <c:v>8</c:v>
                </c:pt>
                <c:pt idx="14">
                  <c:v>2</c:v>
                </c:pt>
                <c:pt idx="15">
                  <c:v>8</c:v>
                </c:pt>
                <c:pt idx="16">
                  <c:v>7</c:v>
                </c:pt>
                <c:pt idx="17">
                  <c:v>7</c:v>
                </c:pt>
                <c:pt idx="18">
                  <c:v>9</c:v>
                </c:pt>
                <c:pt idx="19">
                  <c:v>4</c:v>
                </c:pt>
                <c:pt idx="20">
                  <c:v>3</c:v>
                </c:pt>
              </c:numCache>
            </c:numRef>
          </c:bubbleSize>
          <c:bubble3D val="1"/>
        </c:ser>
        <c:ser>
          <c:idx val="8"/>
          <c:order val="8"/>
          <c:tx>
            <c:strRef>
              <c:f>'bub All'!$A$37</c:f>
              <c:strCache>
                <c:ptCount val="1"/>
                <c:pt idx="0">
                  <c:v>FES</c:v>
                </c:pt>
              </c:strCache>
            </c:strRef>
          </c:tx>
          <c:spPr>
            <a:ln w="25400">
              <a:noFill/>
            </a:ln>
          </c:spPr>
          <c:dLbls>
            <c:dLbl>
              <c:idx val="0"/>
              <c:layout>
                <c:manualLayout>
                  <c:x val="-4.3993056262812726E-2"/>
                  <c:y val="0.39946893178306697"/>
                </c:manualLayout>
              </c:layout>
              <c:tx>
                <c:strRef>
                  <c:f>All!$H$419</c:f>
                  <c:strCache>
                    <c:ptCount val="1"/>
                    <c:pt idx="0">
                      <c:v>Corp.  Env Strat.</c:v>
                    </c:pt>
                  </c:strCache>
                </c:strRef>
              </c:tx>
              <c:dLblPos val="r"/>
              <c:showVal val="1"/>
            </c:dLbl>
            <c:dLbl>
              <c:idx val="1"/>
              <c:layout>
                <c:manualLayout>
                  <c:x val="-2.9324341816703951E-2"/>
                  <c:y val="0.39590123245062531"/>
                </c:manualLayout>
              </c:layout>
              <c:tx>
                <c:strRef>
                  <c:f>All!$I$419</c:f>
                  <c:strCache>
                    <c:ptCount val="1"/>
                    <c:pt idx="0">
                      <c:v>Soc/Env Vent.</c:v>
                    </c:pt>
                  </c:strCache>
                </c:strRef>
              </c:tx>
              <c:dLblPos val="r"/>
              <c:showVal val="1"/>
            </c:dLbl>
            <c:dLbl>
              <c:idx val="2"/>
              <c:layout>
                <c:manualLayout>
                  <c:x val="-2.9232386529398611E-2"/>
                  <c:y val="0.38886927013628492"/>
                </c:manualLayout>
              </c:layout>
              <c:tx>
                <c:strRef>
                  <c:f>All!$J$419</c:f>
                  <c:strCache>
                    <c:ptCount val="1"/>
                    <c:pt idx="0">
                      <c:v>Env.Finance</c:v>
                    </c:pt>
                  </c:strCache>
                </c:strRef>
              </c:tx>
              <c:dLblPos val="r"/>
              <c:showVal val="1"/>
            </c:dLbl>
            <c:dLbl>
              <c:idx val="3"/>
              <c:layout>
                <c:manualLayout>
                  <c:x val="-3.4099490235130224E-2"/>
                  <c:y val="0.39180779729012405"/>
                </c:manualLayout>
              </c:layout>
              <c:tx>
                <c:strRef>
                  <c:f>All!$K$419</c:f>
                  <c:strCache>
                    <c:ptCount val="1"/>
                    <c:pt idx="0">
                      <c:v>Clim. Change</c:v>
                    </c:pt>
                  </c:strCache>
                </c:strRef>
              </c:tx>
              <c:dLblPos val="r"/>
              <c:showVal val="1"/>
            </c:dLbl>
            <c:dLbl>
              <c:idx val="4"/>
              <c:layout>
                <c:manualLayout>
                  <c:x val="-2.7778651740714009E-2"/>
                  <c:y val="0.40570647150369832"/>
                </c:manualLayout>
              </c:layout>
              <c:tx>
                <c:strRef>
                  <c:f>All!$L$419</c:f>
                  <c:strCache>
                    <c:ptCount val="1"/>
                    <c:pt idx="0">
                      <c:v>Env.Just. &amp; Ethics</c:v>
                    </c:pt>
                  </c:strCache>
                </c:strRef>
              </c:tx>
              <c:dLblPos val="r"/>
              <c:showVal val="1"/>
            </c:dLbl>
            <c:dLbl>
              <c:idx val="5"/>
              <c:layout>
                <c:manualLayout>
                  <c:x val="-4.0669353600262255E-2"/>
                  <c:y val="0.40817102862319116"/>
                </c:manualLayout>
              </c:layout>
              <c:tx>
                <c:strRef>
                  <c:f>All!$M$419</c:f>
                  <c:strCache>
                    <c:ptCount val="1"/>
                    <c:pt idx="0">
                      <c:v>Env. Policy &amp; Law</c:v>
                    </c:pt>
                  </c:strCache>
                </c:strRef>
              </c:tx>
              <c:dLblPos val="r"/>
              <c:showVal val="1"/>
            </c:dLbl>
            <c:dLbl>
              <c:idx val="6"/>
              <c:layout>
                <c:manualLayout>
                  <c:x val="-3.2572081553141966E-2"/>
                  <c:y val="0.38174484815248932"/>
                </c:manualLayout>
              </c:layout>
              <c:tx>
                <c:strRef>
                  <c:f>All!$N$419</c:f>
                  <c:strCache>
                    <c:ptCount val="1"/>
                    <c:pt idx="0">
                      <c:v>Env. Econ.</c:v>
                    </c:pt>
                  </c:strCache>
                </c:strRef>
              </c:tx>
              <c:dLblPos val="r"/>
              <c:showVal val="1"/>
            </c:dLbl>
            <c:dLbl>
              <c:idx val="7"/>
              <c:layout>
                <c:manualLayout>
                  <c:x val="-2.8520160306387377E-2"/>
                  <c:y val="0.37220664768085715"/>
                </c:manualLayout>
              </c:layout>
              <c:tx>
                <c:strRef>
                  <c:f>All!$O$419</c:f>
                  <c:strCache>
                    <c:ptCount val="1"/>
                    <c:pt idx="0">
                      <c:v> EH&amp;S</c:v>
                    </c:pt>
                  </c:strCache>
                </c:strRef>
              </c:tx>
              <c:dLblPos val="r"/>
              <c:showVal val="1"/>
            </c:dLbl>
            <c:dLbl>
              <c:idx val="8"/>
              <c:layout>
                <c:manualLayout>
                  <c:x val="-3.4411951185530004E-2"/>
                  <c:y val="0.39860806493809225"/>
                </c:manualLayout>
              </c:layout>
              <c:tx>
                <c:rich>
                  <a:bodyPr/>
                  <a:lstStyle/>
                  <a:p>
                    <a:r>
                      <a:rPr lang="en-US" sz="1400" b="1"/>
                      <a:t>Green Desgn </a:t>
                    </a:r>
                  </a:p>
                  <a:p>
                    <a:r>
                      <a:rPr lang="en-US" sz="1400" b="1"/>
                      <a:t>&amp; Build.</a:t>
                    </a:r>
                  </a:p>
                </c:rich>
              </c:tx>
              <c:dLblPos val="r"/>
              <c:showVal val="1"/>
            </c:dLbl>
            <c:dLbl>
              <c:idx val="9"/>
              <c:layout>
                <c:manualLayout>
                  <c:x val="-2.7265882341638917E-2"/>
                  <c:y val="0.37149465133018938"/>
                </c:manualLayout>
              </c:layout>
              <c:tx>
                <c:strRef>
                  <c:f>All!$Q$419</c:f>
                  <c:strCache>
                    <c:ptCount val="1"/>
                    <c:pt idx="0">
                      <c:v>CSR</c:v>
                    </c:pt>
                  </c:strCache>
                </c:strRef>
              </c:tx>
              <c:dLblPos val="r"/>
              <c:showVal val="1"/>
            </c:dLbl>
            <c:dLbl>
              <c:idx val="10"/>
              <c:layout>
                <c:manualLayout>
                  <c:x val="-3.0344340062581091E-2"/>
                  <c:y val="0.37615656216690335"/>
                </c:manualLayout>
              </c:layout>
              <c:tx>
                <c:strRef>
                  <c:f>All!$R$419</c:f>
                  <c:strCache>
                    <c:ptCount val="1"/>
                    <c:pt idx="0">
                      <c:v>Energy</c:v>
                    </c:pt>
                  </c:strCache>
                </c:strRef>
              </c:tx>
              <c:dLblPos val="r"/>
              <c:showVal val="1"/>
            </c:dLbl>
            <c:dLbl>
              <c:idx val="11"/>
              <c:layout>
                <c:manualLayout>
                  <c:x val="-2.8232673204785688E-2"/>
                  <c:y val="0.38381678063112024"/>
                </c:manualLayout>
              </c:layout>
              <c:tx>
                <c:strRef>
                  <c:f>All!$S$419</c:f>
                  <c:strCache>
                    <c:ptCount val="1"/>
                    <c:pt idx="0">
                      <c:v>Ind. Ecol.</c:v>
                    </c:pt>
                  </c:strCache>
                </c:strRef>
              </c:tx>
              <c:dLblPos val="r"/>
              <c:showVal val="1"/>
            </c:dLbl>
            <c:dLbl>
              <c:idx val="12"/>
              <c:layout>
                <c:manualLayout>
                  <c:x val="-4.8635222631653957E-2"/>
                  <c:y val="0.39385564307354987"/>
                </c:manualLayout>
              </c:layout>
              <c:tx>
                <c:strRef>
                  <c:f>All!$T$419</c:f>
                  <c:strCache>
                    <c:ptCount val="1"/>
                    <c:pt idx="0">
                      <c:v>NR Managmt</c:v>
                    </c:pt>
                  </c:strCache>
                </c:strRef>
              </c:tx>
              <c:dLblPos val="r"/>
              <c:showVal val="1"/>
            </c:dLbl>
            <c:dLbl>
              <c:idx val="13"/>
              <c:layout>
                <c:manualLayout>
                  <c:x val="-3.362826499562388E-2"/>
                  <c:y val="0.38851809385919917"/>
                </c:manualLayout>
              </c:layout>
              <c:tx>
                <c:strRef>
                  <c:f>All!$U$419</c:f>
                  <c:strCache>
                    <c:ptCount val="1"/>
                    <c:pt idx="0">
                      <c:v>Intern. Dev.</c:v>
                    </c:pt>
                  </c:strCache>
                </c:strRef>
              </c:tx>
              <c:dLblPos val="r"/>
              <c:showVal val="1"/>
            </c:dLbl>
            <c:dLbl>
              <c:idx val="14"/>
              <c:layout>
                <c:manualLayout>
                  <c:x val="-2.8966688878699465E-2"/>
                  <c:y val="0.38514460061843198"/>
                </c:manualLayout>
              </c:layout>
              <c:tx>
                <c:strRef>
                  <c:f>All!$V$419</c:f>
                  <c:strCache>
                    <c:ptCount val="1"/>
                    <c:pt idx="0">
                      <c:v>Env. Chem.</c:v>
                    </c:pt>
                  </c:strCache>
                </c:strRef>
              </c:tx>
              <c:dLblPos val="r"/>
              <c:showVal val="1"/>
            </c:dLbl>
            <c:dLbl>
              <c:idx val="15"/>
              <c:layout>
                <c:manualLayout>
                  <c:x val="-3.0496663448188438E-2"/>
                  <c:y val="0.38636026109734112"/>
                </c:manualLayout>
              </c:layout>
              <c:tx>
                <c:strRef>
                  <c:f>All!$W$419</c:f>
                  <c:strCache>
                    <c:ptCount val="1"/>
                    <c:pt idx="0">
                      <c:v>Pollution</c:v>
                    </c:pt>
                  </c:strCache>
                </c:strRef>
              </c:tx>
              <c:dLblPos val="r"/>
              <c:showVal val="1"/>
            </c:dLbl>
            <c:dLbl>
              <c:idx val="16"/>
              <c:layout>
                <c:manualLayout>
                  <c:x val="-2.9459702769876264E-2"/>
                  <c:y val="0.36101167804928691"/>
                </c:manualLayout>
              </c:layout>
              <c:tx>
                <c:strRef>
                  <c:f>All!$X$419</c:f>
                  <c:strCache>
                    <c:ptCount val="1"/>
                    <c:pt idx="0">
                      <c:v>Air</c:v>
                    </c:pt>
                  </c:strCache>
                </c:strRef>
              </c:tx>
              <c:dLblPos val="r"/>
              <c:showVal val="1"/>
            </c:dLbl>
            <c:dLbl>
              <c:idx val="17"/>
              <c:layout>
                <c:manualLayout>
                  <c:x val="-3.2667693806618291E-2"/>
                  <c:y val="0.36294989071906014"/>
                </c:manualLayout>
              </c:layout>
              <c:tx>
                <c:strRef>
                  <c:f>All!$Y$419</c:f>
                  <c:strCache>
                    <c:ptCount val="1"/>
                    <c:pt idx="0">
                      <c:v>Soils</c:v>
                    </c:pt>
                  </c:strCache>
                </c:strRef>
              </c:tx>
              <c:dLblPos val="r"/>
              <c:showVal val="1"/>
            </c:dLbl>
            <c:dLbl>
              <c:idx val="18"/>
              <c:layout>
                <c:manualLayout>
                  <c:x val="-3.2878448520728409E-2"/>
                  <c:y val="0.37854263915238062"/>
                </c:manualLayout>
              </c:layout>
              <c:tx>
                <c:strRef>
                  <c:f>All!$Z$419</c:f>
                  <c:strCache>
                    <c:ptCount val="1"/>
                    <c:pt idx="0">
                      <c:v>Water</c:v>
                    </c:pt>
                  </c:strCache>
                </c:strRef>
              </c:tx>
              <c:dLblPos val="r"/>
              <c:showVal val="1"/>
            </c:dLbl>
            <c:dLbl>
              <c:idx val="19"/>
              <c:layout>
                <c:manualLayout>
                  <c:x val="-4.6162430308009032E-2"/>
                  <c:y val="0.37822860931306118"/>
                </c:manualLayout>
              </c:layout>
              <c:tx>
                <c:strRef>
                  <c:f>All!$AA$419</c:f>
                  <c:strCache>
                    <c:ptCount val="1"/>
                    <c:pt idx="0">
                      <c:v>Ecosyst.</c:v>
                    </c:pt>
                  </c:strCache>
                </c:strRef>
              </c:tx>
              <c:dLblPos val="r"/>
              <c:showVal val="1"/>
            </c:dLbl>
            <c:dLbl>
              <c:idx val="20"/>
              <c:layout>
                <c:manualLayout>
                  <c:x val="-2.3449292870584056E-2"/>
                  <c:y val="0.36905271052151989"/>
                </c:manualLayout>
              </c:layout>
              <c:tx>
                <c:strRef>
                  <c:f>All!$AB$419</c:f>
                  <c:strCache>
                    <c:ptCount val="1"/>
                    <c:pt idx="0">
                      <c:v>Forests</c:v>
                    </c:pt>
                  </c:strCache>
                </c:strRef>
              </c:tx>
              <c:dLblPos val="r"/>
              <c:showVal val="1"/>
            </c:dLbl>
            <c:txPr>
              <a:bodyPr rot="3300000"/>
              <a:lstStyle/>
              <a:p>
                <a:pPr>
                  <a:defRPr sz="1400" b="1"/>
                </a:pPr>
                <a:endParaRPr lang="en-US"/>
              </a:p>
            </c:txPr>
            <c:showVal val="1"/>
          </c:dLbls>
          <c:xVal>
            <c:numRef>
              <c:f>'bub All'!$B$38:$V$38</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All'!$B$37:$V$37</c:f>
              <c:numCache>
                <c:formatCode>General</c:formatCode>
                <c:ptCount val="21"/>
                <c:pt idx="0">
                  <c:v>109</c:v>
                </c:pt>
                <c:pt idx="1">
                  <c:v>109</c:v>
                </c:pt>
                <c:pt idx="2">
                  <c:v>109</c:v>
                </c:pt>
                <c:pt idx="3">
                  <c:v>109</c:v>
                </c:pt>
                <c:pt idx="4">
                  <c:v>109</c:v>
                </c:pt>
                <c:pt idx="5">
                  <c:v>109</c:v>
                </c:pt>
                <c:pt idx="6">
                  <c:v>109</c:v>
                </c:pt>
                <c:pt idx="7">
                  <c:v>109</c:v>
                </c:pt>
                <c:pt idx="8">
                  <c:v>109</c:v>
                </c:pt>
                <c:pt idx="9">
                  <c:v>109</c:v>
                </c:pt>
                <c:pt idx="10">
                  <c:v>109</c:v>
                </c:pt>
                <c:pt idx="11">
                  <c:v>109</c:v>
                </c:pt>
                <c:pt idx="12">
                  <c:v>109</c:v>
                </c:pt>
                <c:pt idx="13">
                  <c:v>109</c:v>
                </c:pt>
                <c:pt idx="14">
                  <c:v>109</c:v>
                </c:pt>
                <c:pt idx="15">
                  <c:v>109</c:v>
                </c:pt>
                <c:pt idx="16">
                  <c:v>109</c:v>
                </c:pt>
                <c:pt idx="17">
                  <c:v>109</c:v>
                </c:pt>
                <c:pt idx="18">
                  <c:v>109</c:v>
                </c:pt>
                <c:pt idx="19">
                  <c:v>109</c:v>
                </c:pt>
                <c:pt idx="20">
                  <c:v>109</c:v>
                </c:pt>
              </c:numCache>
            </c:numRef>
          </c:yVal>
          <c:bubbleSize>
            <c:numRef>
              <c:f>'bub All'!$B$39:$V$39</c:f>
              <c:numCache>
                <c:formatCode>General</c:formatCode>
                <c:ptCount val="21"/>
                <c:pt idx="0">
                  <c:v>23</c:v>
                </c:pt>
                <c:pt idx="1">
                  <c:v>6</c:v>
                </c:pt>
                <c:pt idx="2">
                  <c:v>24</c:v>
                </c:pt>
                <c:pt idx="3">
                  <c:v>32</c:v>
                </c:pt>
                <c:pt idx="4">
                  <c:v>30</c:v>
                </c:pt>
                <c:pt idx="5">
                  <c:v>54</c:v>
                </c:pt>
                <c:pt idx="6">
                  <c:v>26</c:v>
                </c:pt>
                <c:pt idx="7">
                  <c:v>14</c:v>
                </c:pt>
                <c:pt idx="8">
                  <c:v>19</c:v>
                </c:pt>
                <c:pt idx="9">
                  <c:v>18</c:v>
                </c:pt>
                <c:pt idx="10">
                  <c:v>17</c:v>
                </c:pt>
                <c:pt idx="11">
                  <c:v>8</c:v>
                </c:pt>
                <c:pt idx="12">
                  <c:v>71</c:v>
                </c:pt>
                <c:pt idx="13">
                  <c:v>33</c:v>
                </c:pt>
                <c:pt idx="14">
                  <c:v>19</c:v>
                </c:pt>
                <c:pt idx="15">
                  <c:v>24</c:v>
                </c:pt>
                <c:pt idx="16">
                  <c:v>20</c:v>
                </c:pt>
                <c:pt idx="17">
                  <c:v>34</c:v>
                </c:pt>
                <c:pt idx="18">
                  <c:v>38</c:v>
                </c:pt>
                <c:pt idx="19">
                  <c:v>53</c:v>
                </c:pt>
                <c:pt idx="20">
                  <c:v>32</c:v>
                </c:pt>
              </c:numCache>
            </c:numRef>
          </c:bubbleSize>
          <c:bubble3D val="1"/>
        </c:ser>
        <c:ser>
          <c:idx val="9"/>
          <c:order val="9"/>
          <c:tx>
            <c:strRef>
              <c:f>'bub All'!$A$41</c:f>
              <c:strCache>
                <c:ptCount val="1"/>
                <c:pt idx="0">
                  <c:v>Genetics</c:v>
                </c:pt>
              </c:strCache>
            </c:strRef>
          </c:tx>
          <c:spPr>
            <a:ln w="25400">
              <a:noFill/>
            </a:ln>
          </c:spPr>
          <c:xVal>
            <c:numRef>
              <c:f>'bub All'!$B$42:$V$42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All'!$B$41:$V$41</c:f>
              <c:numCache>
                <c:formatCode>General</c:formatCode>
                <c:ptCount val="21"/>
                <c:pt idx="0">
                  <c:v>110</c:v>
                </c:pt>
                <c:pt idx="1">
                  <c:v>110</c:v>
                </c:pt>
                <c:pt idx="2">
                  <c:v>110</c:v>
                </c:pt>
                <c:pt idx="3">
                  <c:v>110</c:v>
                </c:pt>
                <c:pt idx="4">
                  <c:v>110</c:v>
                </c:pt>
                <c:pt idx="5">
                  <c:v>110</c:v>
                </c:pt>
                <c:pt idx="6">
                  <c:v>110</c:v>
                </c:pt>
                <c:pt idx="7">
                  <c:v>110</c:v>
                </c:pt>
                <c:pt idx="8">
                  <c:v>110</c:v>
                </c:pt>
                <c:pt idx="9">
                  <c:v>110</c:v>
                </c:pt>
                <c:pt idx="10">
                  <c:v>110</c:v>
                </c:pt>
                <c:pt idx="11">
                  <c:v>110</c:v>
                </c:pt>
                <c:pt idx="12">
                  <c:v>110</c:v>
                </c:pt>
                <c:pt idx="13">
                  <c:v>110</c:v>
                </c:pt>
                <c:pt idx="14">
                  <c:v>110</c:v>
                </c:pt>
                <c:pt idx="15">
                  <c:v>110</c:v>
                </c:pt>
                <c:pt idx="16">
                  <c:v>110</c:v>
                </c:pt>
                <c:pt idx="17">
                  <c:v>110</c:v>
                </c:pt>
                <c:pt idx="18">
                  <c:v>110</c:v>
                </c:pt>
                <c:pt idx="19">
                  <c:v>110</c:v>
                </c:pt>
                <c:pt idx="20">
                  <c:v>110</c:v>
                </c:pt>
              </c:numCache>
            </c:numRef>
          </c:yVal>
          <c:bubbleSize>
            <c:numRef>
              <c:f>'bub All'!$B$43:$V$43</c:f>
              <c:numCache>
                <c:formatCode>General</c:formatCode>
                <c:ptCount val="21"/>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10"/>
          <c:order val="10"/>
          <c:tx>
            <c:strRef>
              <c:f>'bub All'!$A$45</c:f>
              <c:strCache>
                <c:ptCount val="1"/>
                <c:pt idx="0">
                  <c:v>Geology &amp; geophysics</c:v>
                </c:pt>
              </c:strCache>
            </c:strRef>
          </c:tx>
          <c:spPr>
            <a:ln w="25400">
              <a:noFill/>
            </a:ln>
          </c:spPr>
          <c:xVal>
            <c:numRef>
              <c:f>'bub All'!$B$46:$V$46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All'!$B$45:$V$45</c:f>
              <c:numCache>
                <c:formatCode>General</c:formatCode>
                <c:ptCount val="21"/>
                <c:pt idx="0">
                  <c:v>111</c:v>
                </c:pt>
                <c:pt idx="1">
                  <c:v>111</c:v>
                </c:pt>
                <c:pt idx="2">
                  <c:v>111</c:v>
                </c:pt>
                <c:pt idx="3">
                  <c:v>111</c:v>
                </c:pt>
                <c:pt idx="4">
                  <c:v>111</c:v>
                </c:pt>
                <c:pt idx="5">
                  <c:v>111</c:v>
                </c:pt>
                <c:pt idx="6">
                  <c:v>111</c:v>
                </c:pt>
                <c:pt idx="7">
                  <c:v>111</c:v>
                </c:pt>
                <c:pt idx="8">
                  <c:v>111</c:v>
                </c:pt>
                <c:pt idx="9">
                  <c:v>111</c:v>
                </c:pt>
                <c:pt idx="10">
                  <c:v>111</c:v>
                </c:pt>
                <c:pt idx="11">
                  <c:v>111</c:v>
                </c:pt>
                <c:pt idx="12">
                  <c:v>111</c:v>
                </c:pt>
                <c:pt idx="13">
                  <c:v>111</c:v>
                </c:pt>
                <c:pt idx="14">
                  <c:v>111</c:v>
                </c:pt>
                <c:pt idx="15">
                  <c:v>111</c:v>
                </c:pt>
                <c:pt idx="16">
                  <c:v>111</c:v>
                </c:pt>
                <c:pt idx="17">
                  <c:v>111</c:v>
                </c:pt>
                <c:pt idx="18">
                  <c:v>111</c:v>
                </c:pt>
                <c:pt idx="19">
                  <c:v>111</c:v>
                </c:pt>
                <c:pt idx="20">
                  <c:v>111</c:v>
                </c:pt>
              </c:numCache>
            </c:numRef>
          </c:yVal>
          <c:bubbleSize>
            <c:numRef>
              <c:f>'bub All'!$B$47:$V$47</c:f>
              <c:numCache>
                <c:formatCode>General</c:formatCode>
                <c:ptCount val="21"/>
                <c:pt idx="0">
                  <c:v>0</c:v>
                </c:pt>
                <c:pt idx="1">
                  <c:v>0</c:v>
                </c:pt>
                <c:pt idx="2">
                  <c:v>0</c:v>
                </c:pt>
                <c:pt idx="3">
                  <c:v>10</c:v>
                </c:pt>
                <c:pt idx="4">
                  <c:v>0</c:v>
                </c:pt>
                <c:pt idx="5">
                  <c:v>1</c:v>
                </c:pt>
                <c:pt idx="6">
                  <c:v>0</c:v>
                </c:pt>
                <c:pt idx="7">
                  <c:v>0</c:v>
                </c:pt>
                <c:pt idx="8">
                  <c:v>1</c:v>
                </c:pt>
                <c:pt idx="9">
                  <c:v>0</c:v>
                </c:pt>
                <c:pt idx="10">
                  <c:v>3</c:v>
                </c:pt>
                <c:pt idx="11">
                  <c:v>0</c:v>
                </c:pt>
                <c:pt idx="12">
                  <c:v>5</c:v>
                </c:pt>
                <c:pt idx="13">
                  <c:v>1</c:v>
                </c:pt>
                <c:pt idx="14">
                  <c:v>2</c:v>
                </c:pt>
                <c:pt idx="15">
                  <c:v>4</c:v>
                </c:pt>
                <c:pt idx="16">
                  <c:v>7</c:v>
                </c:pt>
                <c:pt idx="17">
                  <c:v>3</c:v>
                </c:pt>
                <c:pt idx="18">
                  <c:v>7</c:v>
                </c:pt>
                <c:pt idx="19">
                  <c:v>5</c:v>
                </c:pt>
                <c:pt idx="20">
                  <c:v>2</c:v>
                </c:pt>
              </c:numCache>
            </c:numRef>
          </c:bubbleSize>
          <c:bubble3D val="1"/>
        </c:ser>
        <c:ser>
          <c:idx val="11"/>
          <c:order val="11"/>
          <c:tx>
            <c:strRef>
              <c:f>'bub All'!$A$53</c:f>
              <c:strCache>
                <c:ptCount val="1"/>
                <c:pt idx="0">
                  <c:v>International relations</c:v>
                </c:pt>
              </c:strCache>
            </c:strRef>
          </c:tx>
          <c:spPr>
            <a:ln w="25400">
              <a:noFill/>
            </a:ln>
          </c:spPr>
          <c:xVal>
            <c:numRef>
              <c:f>'bub All'!$B$54:$V$54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All'!$B$53:$V$53</c:f>
              <c:numCache>
                <c:formatCode>General</c:formatCode>
                <c:ptCount val="2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numCache>
            </c:numRef>
          </c:yVal>
          <c:bubbleSize>
            <c:numRef>
              <c:f>'bub All'!$B$55:$V$55</c:f>
              <c:numCache>
                <c:formatCode>General</c:formatCode>
                <c:ptCount val="21"/>
                <c:pt idx="0">
                  <c:v>3</c:v>
                </c:pt>
                <c:pt idx="1">
                  <c:v>2</c:v>
                </c:pt>
                <c:pt idx="2">
                  <c:v>1</c:v>
                </c:pt>
                <c:pt idx="3">
                  <c:v>1</c:v>
                </c:pt>
                <c:pt idx="4">
                  <c:v>3</c:v>
                </c:pt>
                <c:pt idx="5">
                  <c:v>5</c:v>
                </c:pt>
                <c:pt idx="6">
                  <c:v>2</c:v>
                </c:pt>
                <c:pt idx="7">
                  <c:v>1</c:v>
                </c:pt>
                <c:pt idx="8">
                  <c:v>0</c:v>
                </c:pt>
                <c:pt idx="9">
                  <c:v>0</c:v>
                </c:pt>
                <c:pt idx="10">
                  <c:v>1</c:v>
                </c:pt>
                <c:pt idx="11">
                  <c:v>0</c:v>
                </c:pt>
                <c:pt idx="12">
                  <c:v>2</c:v>
                </c:pt>
                <c:pt idx="13">
                  <c:v>8</c:v>
                </c:pt>
                <c:pt idx="14">
                  <c:v>0</c:v>
                </c:pt>
                <c:pt idx="15">
                  <c:v>1</c:v>
                </c:pt>
                <c:pt idx="16">
                  <c:v>0</c:v>
                </c:pt>
                <c:pt idx="17">
                  <c:v>0</c:v>
                </c:pt>
                <c:pt idx="18">
                  <c:v>1</c:v>
                </c:pt>
                <c:pt idx="19">
                  <c:v>1</c:v>
                </c:pt>
                <c:pt idx="20">
                  <c:v>0</c:v>
                </c:pt>
              </c:numCache>
            </c:numRef>
          </c:bubbleSize>
          <c:bubble3D val="1"/>
        </c:ser>
        <c:ser>
          <c:idx val="12"/>
          <c:order val="12"/>
          <c:tx>
            <c:strRef>
              <c:f>'bub All'!$A$57</c:f>
              <c:strCache>
                <c:ptCount val="1"/>
                <c:pt idx="0">
                  <c:v>Law</c:v>
                </c:pt>
              </c:strCache>
            </c:strRef>
          </c:tx>
          <c:spPr>
            <a:ln w="25400">
              <a:noFill/>
            </a:ln>
          </c:spPr>
          <c:xVal>
            <c:numRef>
              <c:f>'bub All'!$B$58:$V$58</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All'!$B$57:$V$57</c:f>
              <c:numCache>
                <c:formatCode>General</c:formatCode>
                <c:ptCount val="21"/>
                <c:pt idx="0">
                  <c:v>114</c:v>
                </c:pt>
                <c:pt idx="1">
                  <c:v>114</c:v>
                </c:pt>
                <c:pt idx="2">
                  <c:v>114</c:v>
                </c:pt>
                <c:pt idx="3">
                  <c:v>114</c:v>
                </c:pt>
                <c:pt idx="4">
                  <c:v>114</c:v>
                </c:pt>
                <c:pt idx="5">
                  <c:v>114</c:v>
                </c:pt>
                <c:pt idx="6">
                  <c:v>114</c:v>
                </c:pt>
                <c:pt idx="7">
                  <c:v>114</c:v>
                </c:pt>
                <c:pt idx="8">
                  <c:v>114</c:v>
                </c:pt>
                <c:pt idx="9">
                  <c:v>114</c:v>
                </c:pt>
                <c:pt idx="10">
                  <c:v>114</c:v>
                </c:pt>
                <c:pt idx="11">
                  <c:v>114</c:v>
                </c:pt>
                <c:pt idx="12">
                  <c:v>114</c:v>
                </c:pt>
                <c:pt idx="13">
                  <c:v>114</c:v>
                </c:pt>
                <c:pt idx="14">
                  <c:v>114</c:v>
                </c:pt>
                <c:pt idx="15">
                  <c:v>114</c:v>
                </c:pt>
                <c:pt idx="16">
                  <c:v>114</c:v>
                </c:pt>
                <c:pt idx="17">
                  <c:v>114</c:v>
                </c:pt>
                <c:pt idx="18">
                  <c:v>114</c:v>
                </c:pt>
                <c:pt idx="19">
                  <c:v>114</c:v>
                </c:pt>
                <c:pt idx="20">
                  <c:v>114</c:v>
                </c:pt>
              </c:numCache>
            </c:numRef>
          </c:yVal>
          <c:bubbleSize>
            <c:numRef>
              <c:f>'bub All'!$B$59:$V$59</c:f>
              <c:numCache>
                <c:formatCode>General</c:formatCode>
                <c:ptCount val="21"/>
                <c:pt idx="0">
                  <c:v>1</c:v>
                </c:pt>
                <c:pt idx="1">
                  <c:v>0</c:v>
                </c:pt>
                <c:pt idx="2">
                  <c:v>3</c:v>
                </c:pt>
                <c:pt idx="3">
                  <c:v>2</c:v>
                </c:pt>
                <c:pt idx="4">
                  <c:v>2</c:v>
                </c:pt>
                <c:pt idx="5">
                  <c:v>7</c:v>
                </c:pt>
                <c:pt idx="6">
                  <c:v>3</c:v>
                </c:pt>
                <c:pt idx="7">
                  <c:v>0</c:v>
                </c:pt>
                <c:pt idx="8">
                  <c:v>3</c:v>
                </c:pt>
                <c:pt idx="9">
                  <c:v>2</c:v>
                </c:pt>
                <c:pt idx="10">
                  <c:v>2</c:v>
                </c:pt>
                <c:pt idx="11">
                  <c:v>0</c:v>
                </c:pt>
                <c:pt idx="12">
                  <c:v>0</c:v>
                </c:pt>
                <c:pt idx="13">
                  <c:v>4</c:v>
                </c:pt>
                <c:pt idx="14">
                  <c:v>0</c:v>
                </c:pt>
                <c:pt idx="15">
                  <c:v>2</c:v>
                </c:pt>
                <c:pt idx="16">
                  <c:v>1</c:v>
                </c:pt>
                <c:pt idx="17">
                  <c:v>0</c:v>
                </c:pt>
                <c:pt idx="18">
                  <c:v>0</c:v>
                </c:pt>
                <c:pt idx="19">
                  <c:v>0</c:v>
                </c:pt>
                <c:pt idx="20">
                  <c:v>0</c:v>
                </c:pt>
              </c:numCache>
            </c:numRef>
          </c:bubbleSize>
          <c:bubble3D val="1"/>
        </c:ser>
        <c:ser>
          <c:idx val="13"/>
          <c:order val="13"/>
          <c:tx>
            <c:strRef>
              <c:f>'bub All'!$A$61</c:f>
              <c:strCache>
                <c:ptCount val="1"/>
                <c:pt idx="0">
                  <c:v>Political science</c:v>
                </c:pt>
              </c:strCache>
            </c:strRef>
          </c:tx>
          <c:spPr>
            <a:ln w="25400">
              <a:noFill/>
            </a:ln>
          </c:spPr>
          <c:xVal>
            <c:numRef>
              <c:f>'bub All'!$B$62:$V$62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All'!$B$61:$V$61</c:f>
              <c:numCache>
                <c:formatCode>General</c:formatCode>
                <c:ptCount val="21"/>
                <c:pt idx="0">
                  <c:v>115</c:v>
                </c:pt>
                <c:pt idx="1">
                  <c:v>115</c:v>
                </c:pt>
                <c:pt idx="2">
                  <c:v>115</c:v>
                </c:pt>
                <c:pt idx="3">
                  <c:v>115</c:v>
                </c:pt>
                <c:pt idx="4">
                  <c:v>115</c:v>
                </c:pt>
                <c:pt idx="5">
                  <c:v>115</c:v>
                </c:pt>
                <c:pt idx="6">
                  <c:v>115</c:v>
                </c:pt>
                <c:pt idx="7">
                  <c:v>115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numCache>
            </c:numRef>
          </c:yVal>
          <c:bubbleSize>
            <c:numRef>
              <c:f>'bub All'!$B$63:$V$63</c:f>
              <c:numCache>
                <c:formatCode>General</c:formatCode>
                <c:ptCount val="21"/>
                <c:pt idx="0">
                  <c:v>1</c:v>
                </c:pt>
                <c:pt idx="1">
                  <c:v>2</c:v>
                </c:pt>
                <c:pt idx="2">
                  <c:v>0</c:v>
                </c:pt>
                <c:pt idx="3">
                  <c:v>0</c:v>
                </c:pt>
                <c:pt idx="4">
                  <c:v>6</c:v>
                </c:pt>
                <c:pt idx="5">
                  <c:v>7</c:v>
                </c:pt>
                <c:pt idx="6">
                  <c:v>1</c:v>
                </c:pt>
                <c:pt idx="7">
                  <c:v>0</c:v>
                </c:pt>
                <c:pt idx="8">
                  <c:v>0</c:v>
                </c:pt>
                <c:pt idx="9">
                  <c:v>1</c:v>
                </c:pt>
                <c:pt idx="10">
                  <c:v>0</c:v>
                </c:pt>
                <c:pt idx="11">
                  <c:v>0</c:v>
                </c:pt>
                <c:pt idx="12">
                  <c:v>0</c:v>
                </c:pt>
                <c:pt idx="13">
                  <c:v>12</c:v>
                </c:pt>
                <c:pt idx="14">
                  <c:v>0</c:v>
                </c:pt>
                <c:pt idx="15">
                  <c:v>0</c:v>
                </c:pt>
                <c:pt idx="16">
                  <c:v>0</c:v>
                </c:pt>
                <c:pt idx="17">
                  <c:v>0</c:v>
                </c:pt>
                <c:pt idx="18">
                  <c:v>0</c:v>
                </c:pt>
                <c:pt idx="19">
                  <c:v>0</c:v>
                </c:pt>
                <c:pt idx="20">
                  <c:v>0</c:v>
                </c:pt>
              </c:numCache>
            </c:numRef>
          </c:bubbleSize>
          <c:bubble3D val="1"/>
        </c:ser>
        <c:ser>
          <c:idx val="14"/>
          <c:order val="14"/>
          <c:tx>
            <c:strRef>
              <c:f>'bub All'!$A$65</c:f>
              <c:strCache>
                <c:ptCount val="1"/>
                <c:pt idx="0">
                  <c:v>Psychology</c:v>
                </c:pt>
              </c:strCache>
            </c:strRef>
          </c:tx>
          <c:spPr>
            <a:ln w="25400">
              <a:noFill/>
            </a:ln>
          </c:spPr>
          <c:xVal>
            <c:numRef>
              <c:f>'bub All'!$B$66:$V$66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All'!$B$65:$V$65</c:f>
              <c:numCache>
                <c:formatCode>General</c:formatCode>
                <c:ptCount val="21"/>
                <c:pt idx="0">
                  <c:v>116</c:v>
                </c:pt>
                <c:pt idx="1">
                  <c:v>116</c:v>
                </c:pt>
                <c:pt idx="2">
                  <c:v>116</c:v>
                </c:pt>
                <c:pt idx="3">
                  <c:v>116</c:v>
                </c:pt>
                <c:pt idx="4">
                  <c:v>116</c:v>
                </c:pt>
                <c:pt idx="5">
                  <c:v>116</c:v>
                </c:pt>
                <c:pt idx="6">
                  <c:v>116</c:v>
                </c:pt>
                <c:pt idx="7">
                  <c:v>116</c:v>
                </c:pt>
                <c:pt idx="8">
                  <c:v>116</c:v>
                </c:pt>
                <c:pt idx="9">
                  <c:v>116</c:v>
                </c:pt>
                <c:pt idx="10">
                  <c:v>116</c:v>
                </c:pt>
                <c:pt idx="11">
                  <c:v>116</c:v>
                </c:pt>
                <c:pt idx="12">
                  <c:v>116</c:v>
                </c:pt>
                <c:pt idx="13">
                  <c:v>116</c:v>
                </c:pt>
                <c:pt idx="14">
                  <c:v>116</c:v>
                </c:pt>
                <c:pt idx="15">
                  <c:v>116</c:v>
                </c:pt>
                <c:pt idx="16">
                  <c:v>116</c:v>
                </c:pt>
                <c:pt idx="17">
                  <c:v>116</c:v>
                </c:pt>
                <c:pt idx="18">
                  <c:v>116</c:v>
                </c:pt>
                <c:pt idx="19">
                  <c:v>116</c:v>
                </c:pt>
                <c:pt idx="20">
                  <c:v>116</c:v>
                </c:pt>
              </c:numCache>
            </c:numRef>
          </c:yVal>
          <c:bubbleSize>
            <c:numRef>
              <c:f>'bub All'!$B$67:$V$67</c:f>
              <c:numCache>
                <c:formatCode>General</c:formatCode>
                <c:ptCount val="21"/>
                <c:pt idx="0">
                  <c:v>0</c:v>
                </c:pt>
                <c:pt idx="1">
                  <c:v>0</c:v>
                </c:pt>
                <c:pt idx="2">
                  <c:v>0</c:v>
                </c:pt>
                <c:pt idx="3">
                  <c:v>0</c:v>
                </c:pt>
                <c:pt idx="4">
                  <c:v>0</c:v>
                </c:pt>
                <c:pt idx="5">
                  <c:v>3</c:v>
                </c:pt>
                <c:pt idx="6">
                  <c:v>0</c:v>
                </c:pt>
                <c:pt idx="7">
                  <c:v>0</c:v>
                </c:pt>
                <c:pt idx="8">
                  <c:v>0</c:v>
                </c:pt>
                <c:pt idx="9">
                  <c:v>0</c:v>
                </c:pt>
                <c:pt idx="10">
                  <c:v>0</c:v>
                </c:pt>
                <c:pt idx="11">
                  <c:v>0</c:v>
                </c:pt>
                <c:pt idx="12">
                  <c:v>3</c:v>
                </c:pt>
                <c:pt idx="13">
                  <c:v>2</c:v>
                </c:pt>
                <c:pt idx="14">
                  <c:v>0</c:v>
                </c:pt>
                <c:pt idx="15">
                  <c:v>0</c:v>
                </c:pt>
                <c:pt idx="16">
                  <c:v>0</c:v>
                </c:pt>
                <c:pt idx="17">
                  <c:v>3</c:v>
                </c:pt>
                <c:pt idx="18">
                  <c:v>0</c:v>
                </c:pt>
                <c:pt idx="19">
                  <c:v>3</c:v>
                </c:pt>
                <c:pt idx="20">
                  <c:v>0</c:v>
                </c:pt>
              </c:numCache>
            </c:numRef>
          </c:bubbleSize>
          <c:bubble3D val="1"/>
        </c:ser>
        <c:ser>
          <c:idx val="15"/>
          <c:order val="15"/>
          <c:tx>
            <c:strRef>
              <c:f>'bub All'!$A$69</c:f>
              <c:strCache>
                <c:ptCount val="1"/>
                <c:pt idx="0">
                  <c:v>Public health</c:v>
                </c:pt>
              </c:strCache>
            </c:strRef>
          </c:tx>
          <c:spPr>
            <a:ln w="25400">
              <a:noFill/>
            </a:ln>
          </c:spPr>
          <c:xVal>
            <c:numRef>
              <c:f>'bub All'!$B$70:$V$70</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All'!$B$69:$V$69</c:f>
              <c:numCache>
                <c:formatCode>General</c:formatCode>
                <c:ptCount val="21"/>
                <c:pt idx="0">
                  <c:v>117</c:v>
                </c:pt>
                <c:pt idx="1">
                  <c:v>117</c:v>
                </c:pt>
                <c:pt idx="2">
                  <c:v>117</c:v>
                </c:pt>
                <c:pt idx="3">
                  <c:v>117</c:v>
                </c:pt>
                <c:pt idx="4">
                  <c:v>117</c:v>
                </c:pt>
                <c:pt idx="5">
                  <c:v>117</c:v>
                </c:pt>
                <c:pt idx="6">
                  <c:v>117</c:v>
                </c:pt>
                <c:pt idx="7">
                  <c:v>117</c:v>
                </c:pt>
                <c:pt idx="8">
                  <c:v>117</c:v>
                </c:pt>
                <c:pt idx="9">
                  <c:v>117</c:v>
                </c:pt>
                <c:pt idx="10">
                  <c:v>117</c:v>
                </c:pt>
                <c:pt idx="11">
                  <c:v>117</c:v>
                </c:pt>
                <c:pt idx="12">
                  <c:v>117</c:v>
                </c:pt>
                <c:pt idx="13">
                  <c:v>117</c:v>
                </c:pt>
                <c:pt idx="14">
                  <c:v>117</c:v>
                </c:pt>
                <c:pt idx="15">
                  <c:v>117</c:v>
                </c:pt>
                <c:pt idx="16">
                  <c:v>117</c:v>
                </c:pt>
                <c:pt idx="17">
                  <c:v>117</c:v>
                </c:pt>
                <c:pt idx="18">
                  <c:v>117</c:v>
                </c:pt>
                <c:pt idx="19">
                  <c:v>117</c:v>
                </c:pt>
                <c:pt idx="20">
                  <c:v>117</c:v>
                </c:pt>
              </c:numCache>
            </c:numRef>
          </c:yVal>
          <c:bubbleSize>
            <c:numRef>
              <c:f>'bub All'!$B$71:$V$71</c:f>
              <c:numCache>
                <c:formatCode>General</c:formatCode>
                <c:ptCount val="21"/>
                <c:pt idx="0">
                  <c:v>0</c:v>
                </c:pt>
                <c:pt idx="1">
                  <c:v>0</c:v>
                </c:pt>
                <c:pt idx="2">
                  <c:v>0</c:v>
                </c:pt>
                <c:pt idx="3">
                  <c:v>2</c:v>
                </c:pt>
                <c:pt idx="4">
                  <c:v>1</c:v>
                </c:pt>
                <c:pt idx="5">
                  <c:v>4</c:v>
                </c:pt>
                <c:pt idx="6">
                  <c:v>0</c:v>
                </c:pt>
                <c:pt idx="7">
                  <c:v>14</c:v>
                </c:pt>
                <c:pt idx="8">
                  <c:v>1</c:v>
                </c:pt>
                <c:pt idx="9">
                  <c:v>1</c:v>
                </c:pt>
                <c:pt idx="10">
                  <c:v>1</c:v>
                </c:pt>
                <c:pt idx="11">
                  <c:v>1</c:v>
                </c:pt>
                <c:pt idx="12">
                  <c:v>3</c:v>
                </c:pt>
                <c:pt idx="13">
                  <c:v>2</c:v>
                </c:pt>
                <c:pt idx="14">
                  <c:v>6</c:v>
                </c:pt>
                <c:pt idx="15">
                  <c:v>6</c:v>
                </c:pt>
                <c:pt idx="16">
                  <c:v>3</c:v>
                </c:pt>
                <c:pt idx="17">
                  <c:v>2</c:v>
                </c:pt>
                <c:pt idx="18">
                  <c:v>3</c:v>
                </c:pt>
                <c:pt idx="19">
                  <c:v>0</c:v>
                </c:pt>
                <c:pt idx="20">
                  <c:v>0</c:v>
                </c:pt>
              </c:numCache>
            </c:numRef>
          </c:bubbleSize>
          <c:bubble3D val="1"/>
        </c:ser>
        <c:ser>
          <c:idx val="16"/>
          <c:order val="16"/>
          <c:tx>
            <c:strRef>
              <c:f>'bub All'!$A$73</c:f>
              <c:strCache>
                <c:ptCount val="1"/>
                <c:pt idx="0">
                  <c:v>Sociology</c:v>
                </c:pt>
              </c:strCache>
            </c:strRef>
          </c:tx>
          <c:spPr>
            <a:ln w="25400">
              <a:noFill/>
            </a:ln>
          </c:spPr>
          <c:xVal>
            <c:numRef>
              <c:f>'bub All'!$B$74:$V$74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All'!$B$73:$V$73</c:f>
              <c:numCache>
                <c:formatCode>General</c:formatCode>
                <c:ptCount val="21"/>
                <c:pt idx="0">
                  <c:v>118</c:v>
                </c:pt>
                <c:pt idx="1">
                  <c:v>118</c:v>
                </c:pt>
                <c:pt idx="2">
                  <c:v>118</c:v>
                </c:pt>
                <c:pt idx="3">
                  <c:v>118</c:v>
                </c:pt>
                <c:pt idx="4">
                  <c:v>118</c:v>
                </c:pt>
                <c:pt idx="5">
                  <c:v>118</c:v>
                </c:pt>
                <c:pt idx="6">
                  <c:v>118</c:v>
                </c:pt>
                <c:pt idx="7">
                  <c:v>118</c:v>
                </c:pt>
                <c:pt idx="8">
                  <c:v>118</c:v>
                </c:pt>
                <c:pt idx="9">
                  <c:v>118</c:v>
                </c:pt>
                <c:pt idx="10">
                  <c:v>118</c:v>
                </c:pt>
                <c:pt idx="11">
                  <c:v>118</c:v>
                </c:pt>
                <c:pt idx="12">
                  <c:v>118</c:v>
                </c:pt>
                <c:pt idx="13">
                  <c:v>118</c:v>
                </c:pt>
                <c:pt idx="14">
                  <c:v>118</c:v>
                </c:pt>
                <c:pt idx="15">
                  <c:v>118</c:v>
                </c:pt>
                <c:pt idx="16">
                  <c:v>118</c:v>
                </c:pt>
                <c:pt idx="17">
                  <c:v>118</c:v>
                </c:pt>
                <c:pt idx="18">
                  <c:v>118</c:v>
                </c:pt>
                <c:pt idx="19">
                  <c:v>118</c:v>
                </c:pt>
                <c:pt idx="20">
                  <c:v>118</c:v>
                </c:pt>
              </c:numCache>
            </c:numRef>
          </c:yVal>
          <c:bubbleSize>
            <c:numRef>
              <c:f>'bub All'!$B$75:$V$75</c:f>
              <c:numCache>
                <c:formatCode>General</c:formatCode>
                <c:ptCount val="21"/>
                <c:pt idx="0">
                  <c:v>0</c:v>
                </c:pt>
                <c:pt idx="1">
                  <c:v>0</c:v>
                </c:pt>
                <c:pt idx="2">
                  <c:v>0</c:v>
                </c:pt>
                <c:pt idx="3">
                  <c:v>0</c:v>
                </c:pt>
                <c:pt idx="4">
                  <c:v>0</c:v>
                </c:pt>
                <c:pt idx="5">
                  <c:v>3</c:v>
                </c:pt>
                <c:pt idx="6">
                  <c:v>1</c:v>
                </c:pt>
                <c:pt idx="7">
                  <c:v>0</c:v>
                </c:pt>
                <c:pt idx="8">
                  <c:v>1</c:v>
                </c:pt>
                <c:pt idx="9">
                  <c:v>0</c:v>
                </c:pt>
                <c:pt idx="10">
                  <c:v>0</c:v>
                </c:pt>
                <c:pt idx="11">
                  <c:v>0</c:v>
                </c:pt>
                <c:pt idx="12">
                  <c:v>0</c:v>
                </c:pt>
                <c:pt idx="13">
                  <c:v>1</c:v>
                </c:pt>
                <c:pt idx="14">
                  <c:v>0</c:v>
                </c:pt>
                <c:pt idx="15">
                  <c:v>0</c:v>
                </c:pt>
                <c:pt idx="16">
                  <c:v>0</c:v>
                </c:pt>
                <c:pt idx="17">
                  <c:v>0</c:v>
                </c:pt>
                <c:pt idx="18">
                  <c:v>0</c:v>
                </c:pt>
                <c:pt idx="19">
                  <c:v>0</c:v>
                </c:pt>
                <c:pt idx="20">
                  <c:v>0</c:v>
                </c:pt>
              </c:numCache>
            </c:numRef>
          </c:bubbleSize>
          <c:bubble3D val="1"/>
        </c:ser>
        <c:ser>
          <c:idx val="17"/>
          <c:order val="17"/>
          <c:tx>
            <c:strRef>
              <c:f>'bub All'!$A$77</c:f>
              <c:strCache>
                <c:ptCount val="1"/>
                <c:pt idx="0">
                  <c:v>SOM</c:v>
                </c:pt>
              </c:strCache>
            </c:strRef>
          </c:tx>
          <c:spPr>
            <a:ln w="25400">
              <a:noFill/>
            </a:ln>
          </c:spPr>
          <c:dLbls>
            <c:dLbl>
              <c:idx val="0"/>
              <c:layout>
                <c:manualLayout>
                  <c:x val="-0.13225013964842741"/>
                  <c:y val="0.55464386770275487"/>
                </c:manualLayout>
              </c:layout>
              <c:tx>
                <c:rich>
                  <a:bodyPr/>
                  <a:lstStyle/>
                  <a:p>
                    <a:r>
                      <a:rPr lang="en-US" sz="1400" b="1"/>
                      <a:t>Architecture</a:t>
                    </a:r>
                  </a:p>
                </c:rich>
              </c:tx>
              <c:dLblPos val="r"/>
              <c:showVal val="1"/>
            </c:dLbl>
            <c:dLbl>
              <c:idx val="1"/>
              <c:layout>
                <c:manualLayout>
                  <c:x val="-0.16454683732555492"/>
                  <c:y val="0.40909541109688707"/>
                </c:manualLayout>
              </c:layout>
              <c:tx>
                <c:rich>
                  <a:bodyPr/>
                  <a:lstStyle/>
                  <a:p>
                    <a:r>
                      <a:rPr lang="en-US" sz="1400" b="1"/>
                      <a:t>Engineering</a:t>
                    </a:r>
                  </a:p>
                </c:rich>
              </c:tx>
              <c:dLblPos val="r"/>
              <c:showVal val="1"/>
            </c:dLbl>
            <c:delete val="1"/>
          </c:dLbls>
          <c:xVal>
            <c:numRef>
              <c:f>'bub All'!$B$78:$V$78</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All'!$B$77:$V$77</c:f>
              <c:numCache>
                <c:formatCode>General</c:formatCode>
                <c:ptCount val="21"/>
                <c:pt idx="0">
                  <c:v>119</c:v>
                </c:pt>
                <c:pt idx="1">
                  <c:v>119</c:v>
                </c:pt>
                <c:pt idx="2">
                  <c:v>119</c:v>
                </c:pt>
                <c:pt idx="3">
                  <c:v>119</c:v>
                </c:pt>
                <c:pt idx="4">
                  <c:v>119</c:v>
                </c:pt>
                <c:pt idx="5">
                  <c:v>119</c:v>
                </c:pt>
                <c:pt idx="6">
                  <c:v>119</c:v>
                </c:pt>
                <c:pt idx="7">
                  <c:v>119</c:v>
                </c:pt>
                <c:pt idx="8">
                  <c:v>119</c:v>
                </c:pt>
                <c:pt idx="9">
                  <c:v>119</c:v>
                </c:pt>
                <c:pt idx="10">
                  <c:v>119</c:v>
                </c:pt>
                <c:pt idx="11">
                  <c:v>119</c:v>
                </c:pt>
                <c:pt idx="12">
                  <c:v>119</c:v>
                </c:pt>
                <c:pt idx="13">
                  <c:v>119</c:v>
                </c:pt>
                <c:pt idx="14">
                  <c:v>119</c:v>
                </c:pt>
                <c:pt idx="15">
                  <c:v>119</c:v>
                </c:pt>
                <c:pt idx="16">
                  <c:v>119</c:v>
                </c:pt>
                <c:pt idx="17">
                  <c:v>119</c:v>
                </c:pt>
                <c:pt idx="18">
                  <c:v>119</c:v>
                </c:pt>
                <c:pt idx="19">
                  <c:v>119</c:v>
                </c:pt>
                <c:pt idx="20">
                  <c:v>119</c:v>
                </c:pt>
              </c:numCache>
            </c:numRef>
          </c:yVal>
          <c:bubbleSize>
            <c:numRef>
              <c:f>'bub All'!$B$79:$V$79</c:f>
              <c:numCache>
                <c:formatCode>General</c:formatCode>
                <c:ptCount val="21"/>
                <c:pt idx="0">
                  <c:v>23</c:v>
                </c:pt>
                <c:pt idx="1">
                  <c:v>21</c:v>
                </c:pt>
                <c:pt idx="2">
                  <c:v>22</c:v>
                </c:pt>
                <c:pt idx="3">
                  <c:v>4</c:v>
                </c:pt>
                <c:pt idx="4">
                  <c:v>6</c:v>
                </c:pt>
                <c:pt idx="5">
                  <c:v>5</c:v>
                </c:pt>
                <c:pt idx="6">
                  <c:v>3</c:v>
                </c:pt>
                <c:pt idx="7">
                  <c:v>0</c:v>
                </c:pt>
                <c:pt idx="8">
                  <c:v>1</c:v>
                </c:pt>
                <c:pt idx="9">
                  <c:v>10</c:v>
                </c:pt>
                <c:pt idx="10">
                  <c:v>5</c:v>
                </c:pt>
                <c:pt idx="11">
                  <c:v>4</c:v>
                </c:pt>
                <c:pt idx="12">
                  <c:v>2</c:v>
                </c:pt>
                <c:pt idx="13">
                  <c:v>11</c:v>
                </c:pt>
                <c:pt idx="14">
                  <c:v>0</c:v>
                </c:pt>
                <c:pt idx="15">
                  <c:v>0</c:v>
                </c:pt>
                <c:pt idx="16">
                  <c:v>0</c:v>
                </c:pt>
                <c:pt idx="17">
                  <c:v>0</c:v>
                </c:pt>
                <c:pt idx="18">
                  <c:v>0</c:v>
                </c:pt>
                <c:pt idx="19">
                  <c:v>0</c:v>
                </c:pt>
                <c:pt idx="20">
                  <c:v>0</c:v>
                </c:pt>
              </c:numCache>
            </c:numRef>
          </c:bubbleSize>
          <c:bubble3D val="1"/>
        </c:ser>
        <c:ser>
          <c:idx val="18"/>
          <c:order val="18"/>
          <c:tx>
            <c:strRef>
              <c:f>'bub All'!$A$81</c:f>
              <c:strCache>
                <c:ptCount val="1"/>
                <c:pt idx="0">
                  <c:v>South asian studies</c:v>
                </c:pt>
              </c:strCache>
            </c:strRef>
          </c:tx>
          <c:spPr>
            <a:ln w="25400">
              <a:noFill/>
            </a:ln>
          </c:spPr>
          <c:dLbls>
            <c:dLbl>
              <c:idx val="3"/>
              <c:tx>
                <c:rich>
                  <a:bodyPr/>
                  <a:lstStyle/>
                  <a:p>
                    <a:r>
                      <a:t>Architecture</a:t>
                    </a:r>
                  </a:p>
                </c:rich>
              </c:tx>
              <c:dLblPos val="t"/>
              <c:showVal val="1"/>
            </c:dLbl>
            <c:delete val="1"/>
          </c:dLbls>
          <c:xVal>
            <c:numRef>
              <c:f>'bub All'!$B$82:$V$82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All'!$B$81:$V$81</c:f>
              <c:numCache>
                <c:formatCode>General</c:formatCode>
                <c:ptCount val="21"/>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numCache>
            </c:numRef>
          </c:yVal>
          <c:bubbleSize>
            <c:numRef>
              <c:f>'bub All'!$B$83:$V$83</c:f>
              <c:numCache>
                <c:formatCode>General</c:formatCode>
                <c:ptCount val="21"/>
                <c:pt idx="0">
                  <c:v>0</c:v>
                </c:pt>
                <c:pt idx="1">
                  <c:v>0</c:v>
                </c:pt>
                <c:pt idx="2">
                  <c:v>0</c:v>
                </c:pt>
                <c:pt idx="3">
                  <c:v>0</c:v>
                </c:pt>
                <c:pt idx="4">
                  <c:v>1</c:v>
                </c:pt>
                <c:pt idx="5">
                  <c:v>2</c:v>
                </c:pt>
                <c:pt idx="6">
                  <c:v>0</c:v>
                </c:pt>
                <c:pt idx="7">
                  <c:v>1</c:v>
                </c:pt>
                <c:pt idx="8">
                  <c:v>0</c:v>
                </c:pt>
                <c:pt idx="9">
                  <c:v>0</c:v>
                </c:pt>
                <c:pt idx="10">
                  <c:v>1</c:v>
                </c:pt>
                <c:pt idx="11">
                  <c:v>0</c:v>
                </c:pt>
                <c:pt idx="12">
                  <c:v>0</c:v>
                </c:pt>
                <c:pt idx="13">
                  <c:v>2</c:v>
                </c:pt>
                <c:pt idx="14">
                  <c:v>0</c:v>
                </c:pt>
                <c:pt idx="15">
                  <c:v>0</c:v>
                </c:pt>
                <c:pt idx="16">
                  <c:v>0</c:v>
                </c:pt>
                <c:pt idx="17">
                  <c:v>0</c:v>
                </c:pt>
                <c:pt idx="18">
                  <c:v>1</c:v>
                </c:pt>
                <c:pt idx="19">
                  <c:v>0</c:v>
                </c:pt>
                <c:pt idx="20">
                  <c:v>0</c:v>
                </c:pt>
              </c:numCache>
            </c:numRef>
          </c:bubbleSize>
          <c:bubble3D val="1"/>
        </c:ser>
        <c:ser>
          <c:idx val="19"/>
          <c:order val="19"/>
          <c:tx>
            <c:strRef>
              <c:f>'bub All'!$A$85</c:f>
              <c:strCache>
                <c:ptCount val="1"/>
                <c:pt idx="0">
                  <c:v>Women's, gender, and sexuality studies</c:v>
                </c:pt>
              </c:strCache>
            </c:strRef>
          </c:tx>
          <c:spPr>
            <a:ln w="25400">
              <a:noFill/>
            </a:ln>
          </c:spPr>
          <c:xVal>
            <c:numRef>
              <c:f>'bub All'!$B$86:$V$86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All'!$B$85:$V$85</c:f>
              <c:numCache>
                <c:formatCode>General</c:formatCode>
                <c:ptCount val="21"/>
                <c:pt idx="0">
                  <c:v>121</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numCache>
            </c:numRef>
          </c:yVal>
          <c:bubbleSize>
            <c:numRef>
              <c:f>'bub All'!$B$87:$V$87</c:f>
              <c:numCache>
                <c:formatCode>General</c:formatCode>
                <c:ptCount val="21"/>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1</c:v>
                </c:pt>
                <c:pt idx="18">
                  <c:v>0</c:v>
                </c:pt>
                <c:pt idx="19">
                  <c:v>1</c:v>
                </c:pt>
                <c:pt idx="20">
                  <c:v>0</c:v>
                </c:pt>
              </c:numCache>
            </c:numRef>
          </c:bubbleSize>
          <c:bubble3D val="1"/>
        </c:ser>
        <c:bubbleScale val="30"/>
        <c:axId val="160579968"/>
        <c:axId val="160581504"/>
      </c:bubbleChart>
      <c:valAx>
        <c:axId val="160579968"/>
        <c:scaling>
          <c:orientation val="minMax"/>
          <c:max val="31"/>
          <c:min val="9"/>
        </c:scaling>
        <c:axPos val="b"/>
        <c:majorGridlines>
          <c:spPr>
            <a:ln>
              <a:prstDash val="sysDot"/>
            </a:ln>
          </c:spPr>
        </c:majorGridlines>
        <c:numFmt formatCode="General" sourceLinked="1"/>
        <c:tickLblPos val="none"/>
        <c:txPr>
          <a:bodyPr/>
          <a:lstStyle/>
          <a:p>
            <a:pPr>
              <a:defRPr sz="1200"/>
            </a:pPr>
            <a:endParaRPr lang="en-US"/>
          </a:p>
        </c:txPr>
        <c:crossAx val="160581504"/>
        <c:crosses val="autoZero"/>
        <c:crossBetween val="midCat"/>
        <c:majorUnit val="1"/>
      </c:valAx>
      <c:valAx>
        <c:axId val="160581504"/>
        <c:scaling>
          <c:orientation val="minMax"/>
          <c:max val="120"/>
          <c:min val="99"/>
        </c:scaling>
        <c:axPos val="l"/>
        <c:majorGridlines>
          <c:spPr>
            <a:ln>
              <a:prstDash val="sysDot"/>
            </a:ln>
          </c:spPr>
        </c:majorGridlines>
        <c:numFmt formatCode="General" sourceLinked="1"/>
        <c:tickLblPos val="none"/>
        <c:txPr>
          <a:bodyPr/>
          <a:lstStyle/>
          <a:p>
            <a:pPr>
              <a:defRPr sz="1200"/>
            </a:pPr>
            <a:endParaRPr lang="en-US"/>
          </a:p>
        </c:txPr>
        <c:crossAx val="160579968"/>
        <c:crosses val="autoZero"/>
        <c:crossBetween val="midCat"/>
        <c:majorUnit val="1"/>
        <c:minorUnit val="1"/>
      </c:valAx>
    </c:plotArea>
    <c:plotVisOnly val="1"/>
  </c:chart>
  <c:printSettings>
    <c:headerFooter/>
    <c:pageMargins b="0.75000000000001144" l="0.70000000000000062" r="0.70000000000000062" t="0.75000000000001144"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325221878706941"/>
          <c:y val="6.620477960658315E-2"/>
          <c:w val="0.8214677287045995"/>
          <c:h val="0.78210873192976249"/>
        </c:manualLayout>
      </c:layout>
      <c:bubbleChart>
        <c:ser>
          <c:idx val="0"/>
          <c:order val="0"/>
          <c:tx>
            <c:v>Afr.Amer.</c:v>
          </c:tx>
          <c:xVal>
            <c:numRef>
              <c:f>'bub All'!$B$2:$V$2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All'!$B$1:$V$1</c:f>
              <c:numCache>
                <c:formatCode>General</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numCache>
            </c:numRef>
          </c:yVal>
          <c:bubbleSize>
            <c:numRef>
              <c:f>'bub All'!$B$4:$V$4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1"/>
          <c:order val="1"/>
          <c:tx>
            <c:strRef>
              <c:f>'bub All'!$A$5</c:f>
              <c:strCache>
                <c:ptCount val="1"/>
                <c:pt idx="0">
                  <c:v>Anthropology</c:v>
                </c:pt>
              </c:strCache>
            </c:strRef>
          </c:tx>
          <c:spPr>
            <a:ln w="25400">
              <a:noFill/>
            </a:ln>
          </c:spPr>
          <c:xVal>
            <c:numRef>
              <c:f>'bub All'!$B$6:$V$6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All'!$B$5:$V$5</c:f>
              <c:numCache>
                <c:formatCode>General</c:formatCode>
                <c:ptCount val="21"/>
                <c:pt idx="0">
                  <c:v>101</c:v>
                </c:pt>
                <c:pt idx="1">
                  <c:v>101</c:v>
                </c:pt>
                <c:pt idx="2">
                  <c:v>101</c:v>
                </c:pt>
                <c:pt idx="3">
                  <c:v>101</c:v>
                </c:pt>
                <c:pt idx="4">
                  <c:v>101</c:v>
                </c:pt>
                <c:pt idx="5">
                  <c:v>101</c:v>
                </c:pt>
                <c:pt idx="6">
                  <c:v>101</c:v>
                </c:pt>
                <c:pt idx="7">
                  <c:v>101</c:v>
                </c:pt>
                <c:pt idx="8">
                  <c:v>101</c:v>
                </c:pt>
                <c:pt idx="9">
                  <c:v>101</c:v>
                </c:pt>
                <c:pt idx="10">
                  <c:v>101</c:v>
                </c:pt>
                <c:pt idx="11">
                  <c:v>101</c:v>
                </c:pt>
                <c:pt idx="12">
                  <c:v>101</c:v>
                </c:pt>
                <c:pt idx="13">
                  <c:v>101</c:v>
                </c:pt>
                <c:pt idx="14">
                  <c:v>101</c:v>
                </c:pt>
                <c:pt idx="15">
                  <c:v>101</c:v>
                </c:pt>
                <c:pt idx="16">
                  <c:v>101</c:v>
                </c:pt>
                <c:pt idx="17">
                  <c:v>101</c:v>
                </c:pt>
                <c:pt idx="18">
                  <c:v>101</c:v>
                </c:pt>
                <c:pt idx="19">
                  <c:v>101</c:v>
                </c:pt>
                <c:pt idx="20">
                  <c:v>101</c:v>
                </c:pt>
              </c:numCache>
            </c:numRef>
          </c:yVal>
          <c:bubbleSize>
            <c:numRef>
              <c:f>'bub All'!$B$8:$V$8</c:f>
              <c:numCache>
                <c:formatCode>General</c:formatCode>
                <c:ptCount val="21"/>
                <c:pt idx="0">
                  <c:v>0</c:v>
                </c:pt>
                <c:pt idx="1">
                  <c:v>0</c:v>
                </c:pt>
                <c:pt idx="2">
                  <c:v>0</c:v>
                </c:pt>
                <c:pt idx="3">
                  <c:v>0</c:v>
                </c:pt>
                <c:pt idx="4">
                  <c:v>1</c:v>
                </c:pt>
                <c:pt idx="5">
                  <c:v>0</c:v>
                </c:pt>
                <c:pt idx="6">
                  <c:v>1</c:v>
                </c:pt>
                <c:pt idx="7">
                  <c:v>0</c:v>
                </c:pt>
                <c:pt idx="8">
                  <c:v>0</c:v>
                </c:pt>
                <c:pt idx="9">
                  <c:v>0</c:v>
                </c:pt>
                <c:pt idx="10">
                  <c:v>0</c:v>
                </c:pt>
                <c:pt idx="11">
                  <c:v>0</c:v>
                </c:pt>
                <c:pt idx="12">
                  <c:v>1</c:v>
                </c:pt>
                <c:pt idx="13">
                  <c:v>1</c:v>
                </c:pt>
                <c:pt idx="14">
                  <c:v>0</c:v>
                </c:pt>
                <c:pt idx="15">
                  <c:v>0</c:v>
                </c:pt>
                <c:pt idx="16">
                  <c:v>0</c:v>
                </c:pt>
                <c:pt idx="17">
                  <c:v>0</c:v>
                </c:pt>
                <c:pt idx="18">
                  <c:v>0</c:v>
                </c:pt>
                <c:pt idx="19">
                  <c:v>0</c:v>
                </c:pt>
                <c:pt idx="20">
                  <c:v>0</c:v>
                </c:pt>
              </c:numCache>
            </c:numRef>
          </c:bubbleSize>
          <c:bubble3D val="1"/>
        </c:ser>
        <c:ser>
          <c:idx val="2"/>
          <c:order val="2"/>
          <c:tx>
            <c:strRef>
              <c:f>'bub All'!$A$9</c:f>
              <c:strCache>
                <c:ptCount val="1"/>
                <c:pt idx="0">
                  <c:v>Architecture</c:v>
                </c:pt>
              </c:strCache>
            </c:strRef>
          </c:tx>
          <c:spPr>
            <a:ln w="25400">
              <a:noFill/>
            </a:ln>
          </c:spPr>
          <c:xVal>
            <c:numRef>
              <c:f>'bub All'!$B$10:$V$10</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All'!$B$9:$V$9</c:f>
              <c:numCache>
                <c:formatCode>General</c:formatCode>
                <c:ptCount val="21"/>
                <c:pt idx="0">
                  <c:v>102</c:v>
                </c:pt>
                <c:pt idx="1">
                  <c:v>102</c:v>
                </c:pt>
                <c:pt idx="2">
                  <c:v>102</c:v>
                </c:pt>
                <c:pt idx="3">
                  <c:v>102</c:v>
                </c:pt>
                <c:pt idx="4">
                  <c:v>102</c:v>
                </c:pt>
                <c:pt idx="5">
                  <c:v>102</c:v>
                </c:pt>
                <c:pt idx="6">
                  <c:v>102</c:v>
                </c:pt>
                <c:pt idx="7">
                  <c:v>102</c:v>
                </c:pt>
                <c:pt idx="8">
                  <c:v>102</c:v>
                </c:pt>
                <c:pt idx="9">
                  <c:v>102</c:v>
                </c:pt>
                <c:pt idx="10">
                  <c:v>102</c:v>
                </c:pt>
                <c:pt idx="11">
                  <c:v>102</c:v>
                </c:pt>
                <c:pt idx="12">
                  <c:v>102</c:v>
                </c:pt>
                <c:pt idx="13">
                  <c:v>102</c:v>
                </c:pt>
                <c:pt idx="14">
                  <c:v>102</c:v>
                </c:pt>
                <c:pt idx="15">
                  <c:v>102</c:v>
                </c:pt>
                <c:pt idx="16">
                  <c:v>102</c:v>
                </c:pt>
                <c:pt idx="17">
                  <c:v>102</c:v>
                </c:pt>
                <c:pt idx="18">
                  <c:v>102</c:v>
                </c:pt>
                <c:pt idx="19">
                  <c:v>102</c:v>
                </c:pt>
                <c:pt idx="20">
                  <c:v>102</c:v>
                </c:pt>
              </c:numCache>
            </c:numRef>
          </c:yVal>
          <c:bubbleSize>
            <c:numRef>
              <c:f>'bub All'!$B$12:$V$12</c:f>
              <c:numCache>
                <c:formatCode>General</c:formatCode>
                <c:ptCount val="21"/>
                <c:pt idx="0">
                  <c:v>0</c:v>
                </c:pt>
                <c:pt idx="1">
                  <c:v>0</c:v>
                </c:pt>
                <c:pt idx="2">
                  <c:v>0</c:v>
                </c:pt>
                <c:pt idx="3">
                  <c:v>1</c:v>
                </c:pt>
                <c:pt idx="4">
                  <c:v>0</c:v>
                </c:pt>
                <c:pt idx="5">
                  <c:v>0</c:v>
                </c:pt>
                <c:pt idx="6">
                  <c:v>0</c:v>
                </c:pt>
                <c:pt idx="7">
                  <c:v>0</c:v>
                </c:pt>
                <c:pt idx="8">
                  <c:v>3</c:v>
                </c:pt>
                <c:pt idx="9">
                  <c:v>1</c:v>
                </c:pt>
                <c:pt idx="10">
                  <c:v>3</c:v>
                </c:pt>
                <c:pt idx="11">
                  <c:v>2</c:v>
                </c:pt>
                <c:pt idx="12">
                  <c:v>0</c:v>
                </c:pt>
                <c:pt idx="13">
                  <c:v>0</c:v>
                </c:pt>
                <c:pt idx="14">
                  <c:v>0</c:v>
                </c:pt>
                <c:pt idx="15">
                  <c:v>0</c:v>
                </c:pt>
                <c:pt idx="16">
                  <c:v>1</c:v>
                </c:pt>
                <c:pt idx="17">
                  <c:v>0</c:v>
                </c:pt>
                <c:pt idx="18">
                  <c:v>0</c:v>
                </c:pt>
                <c:pt idx="19">
                  <c:v>0</c:v>
                </c:pt>
                <c:pt idx="20">
                  <c:v>0</c:v>
                </c:pt>
              </c:numCache>
            </c:numRef>
          </c:bubbleSize>
          <c:bubble3D val="1"/>
        </c:ser>
        <c:ser>
          <c:idx val="3"/>
          <c:order val="3"/>
          <c:tx>
            <c:strRef>
              <c:f>'bub All'!$A$13</c:f>
              <c:strCache>
                <c:ptCount val="1"/>
                <c:pt idx="0">
                  <c:v>Biology</c:v>
                </c:pt>
              </c:strCache>
            </c:strRef>
          </c:tx>
          <c:spPr>
            <a:ln w="25400">
              <a:noFill/>
            </a:ln>
          </c:spPr>
          <c:xVal>
            <c:numRef>
              <c:f>'bub All'!$B$14:$V$14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All'!$B$13:$V$13</c:f>
              <c:numCache>
                <c:formatCode>General</c:formatCode>
                <c:ptCount val="21"/>
                <c:pt idx="0">
                  <c:v>103</c:v>
                </c:pt>
                <c:pt idx="1">
                  <c:v>103</c:v>
                </c:pt>
                <c:pt idx="2">
                  <c:v>103</c:v>
                </c:pt>
                <c:pt idx="3">
                  <c:v>103</c:v>
                </c:pt>
                <c:pt idx="4">
                  <c:v>103</c:v>
                </c:pt>
                <c:pt idx="5">
                  <c:v>103</c:v>
                </c:pt>
                <c:pt idx="6">
                  <c:v>103</c:v>
                </c:pt>
                <c:pt idx="7">
                  <c:v>103</c:v>
                </c:pt>
                <c:pt idx="8">
                  <c:v>103</c:v>
                </c:pt>
                <c:pt idx="9">
                  <c:v>103</c:v>
                </c:pt>
                <c:pt idx="10">
                  <c:v>103</c:v>
                </c:pt>
                <c:pt idx="11">
                  <c:v>103</c:v>
                </c:pt>
                <c:pt idx="12">
                  <c:v>103</c:v>
                </c:pt>
                <c:pt idx="13">
                  <c:v>103</c:v>
                </c:pt>
                <c:pt idx="14">
                  <c:v>103</c:v>
                </c:pt>
                <c:pt idx="15">
                  <c:v>103</c:v>
                </c:pt>
                <c:pt idx="16">
                  <c:v>103</c:v>
                </c:pt>
                <c:pt idx="17">
                  <c:v>103</c:v>
                </c:pt>
                <c:pt idx="18">
                  <c:v>103</c:v>
                </c:pt>
                <c:pt idx="19">
                  <c:v>103</c:v>
                </c:pt>
                <c:pt idx="20">
                  <c:v>103</c:v>
                </c:pt>
              </c:numCache>
            </c:numRef>
          </c:yVal>
          <c:bubbleSize>
            <c:numRef>
              <c:f>'bub All'!$B$16:$V$16</c:f>
              <c:numCache>
                <c:formatCode>General</c:formatCode>
                <c:ptCount val="21"/>
                <c:pt idx="0">
                  <c:v>0</c:v>
                </c:pt>
                <c:pt idx="1">
                  <c:v>0</c:v>
                </c:pt>
                <c:pt idx="2">
                  <c:v>0</c:v>
                </c:pt>
                <c:pt idx="3">
                  <c:v>2</c:v>
                </c:pt>
                <c:pt idx="4">
                  <c:v>0</c:v>
                </c:pt>
                <c:pt idx="5">
                  <c:v>0</c:v>
                </c:pt>
                <c:pt idx="6">
                  <c:v>0</c:v>
                </c:pt>
                <c:pt idx="7">
                  <c:v>0</c:v>
                </c:pt>
                <c:pt idx="8">
                  <c:v>0</c:v>
                </c:pt>
                <c:pt idx="9">
                  <c:v>0</c:v>
                </c:pt>
                <c:pt idx="10">
                  <c:v>0</c:v>
                </c:pt>
                <c:pt idx="11">
                  <c:v>0</c:v>
                </c:pt>
                <c:pt idx="12">
                  <c:v>2</c:v>
                </c:pt>
                <c:pt idx="13">
                  <c:v>1</c:v>
                </c:pt>
                <c:pt idx="14">
                  <c:v>1</c:v>
                </c:pt>
                <c:pt idx="15">
                  <c:v>1</c:v>
                </c:pt>
                <c:pt idx="16">
                  <c:v>1</c:v>
                </c:pt>
                <c:pt idx="17">
                  <c:v>1</c:v>
                </c:pt>
                <c:pt idx="18">
                  <c:v>1</c:v>
                </c:pt>
                <c:pt idx="19">
                  <c:v>2</c:v>
                </c:pt>
                <c:pt idx="20">
                  <c:v>2</c:v>
                </c:pt>
              </c:numCache>
            </c:numRef>
          </c:bubbleSize>
          <c:bubble3D val="1"/>
        </c:ser>
        <c:ser>
          <c:idx val="4"/>
          <c:order val="4"/>
          <c:tx>
            <c:strRef>
              <c:f>'bub All'!$A$21</c:f>
              <c:strCache>
                <c:ptCount val="1"/>
                <c:pt idx="0">
                  <c:v>Divinity</c:v>
                </c:pt>
              </c:strCache>
            </c:strRef>
          </c:tx>
          <c:spPr>
            <a:ln w="25400">
              <a:noFill/>
            </a:ln>
          </c:spPr>
          <c:xVal>
            <c:numRef>
              <c:f>'bub All'!$B$22:$V$22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All'!$B$21:$V$21</c:f>
              <c:numCache>
                <c:formatCode>General</c:formatCode>
                <c:ptCount val="21"/>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numCache>
            </c:numRef>
          </c:yVal>
          <c:bubbleSize>
            <c:numRef>
              <c:f>'bub All'!$B$24:$V$24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5"/>
          <c:order val="5"/>
          <c:tx>
            <c:strRef>
              <c:f>'bub All'!$A$25</c:f>
              <c:strCache>
                <c:ptCount val="1"/>
                <c:pt idx="0">
                  <c:v>Economics</c:v>
                </c:pt>
              </c:strCache>
            </c:strRef>
          </c:tx>
          <c:spPr>
            <a:ln w="25400">
              <a:noFill/>
            </a:ln>
          </c:spPr>
          <c:xVal>
            <c:numRef>
              <c:f>'bub All'!$B$26:$V$26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All'!$B$25:$V$25</c:f>
              <c:numCache>
                <c:formatCode>General</c:formatCode>
                <c:ptCount val="21"/>
                <c:pt idx="0">
                  <c:v>106</c:v>
                </c:pt>
                <c:pt idx="1">
                  <c:v>106</c:v>
                </c:pt>
                <c:pt idx="2">
                  <c:v>106</c:v>
                </c:pt>
                <c:pt idx="3">
                  <c:v>106</c:v>
                </c:pt>
                <c:pt idx="4">
                  <c:v>106</c:v>
                </c:pt>
                <c:pt idx="5">
                  <c:v>106</c:v>
                </c:pt>
                <c:pt idx="6">
                  <c:v>106</c:v>
                </c:pt>
                <c:pt idx="7">
                  <c:v>106</c:v>
                </c:pt>
                <c:pt idx="8">
                  <c:v>106</c:v>
                </c:pt>
                <c:pt idx="9">
                  <c:v>106</c:v>
                </c:pt>
                <c:pt idx="10">
                  <c:v>106</c:v>
                </c:pt>
                <c:pt idx="11">
                  <c:v>106</c:v>
                </c:pt>
                <c:pt idx="12">
                  <c:v>106</c:v>
                </c:pt>
                <c:pt idx="13">
                  <c:v>106</c:v>
                </c:pt>
                <c:pt idx="14">
                  <c:v>106</c:v>
                </c:pt>
                <c:pt idx="15">
                  <c:v>106</c:v>
                </c:pt>
                <c:pt idx="16">
                  <c:v>106</c:v>
                </c:pt>
                <c:pt idx="17">
                  <c:v>106</c:v>
                </c:pt>
                <c:pt idx="18">
                  <c:v>106</c:v>
                </c:pt>
                <c:pt idx="19">
                  <c:v>106</c:v>
                </c:pt>
                <c:pt idx="20">
                  <c:v>106</c:v>
                </c:pt>
              </c:numCache>
            </c:numRef>
          </c:yVal>
          <c:bubbleSize>
            <c:numRef>
              <c:f>'bub All'!$B$28:$V$28</c:f>
              <c:numCache>
                <c:formatCode>General</c:formatCode>
                <c:ptCount val="21"/>
                <c:pt idx="0">
                  <c:v>1</c:v>
                </c:pt>
                <c:pt idx="1">
                  <c:v>0</c:v>
                </c:pt>
                <c:pt idx="2">
                  <c:v>3</c:v>
                </c:pt>
                <c:pt idx="3">
                  <c:v>4</c:v>
                </c:pt>
                <c:pt idx="4">
                  <c:v>1</c:v>
                </c:pt>
                <c:pt idx="5">
                  <c:v>5</c:v>
                </c:pt>
                <c:pt idx="6">
                  <c:v>5</c:v>
                </c:pt>
                <c:pt idx="7">
                  <c:v>1</c:v>
                </c:pt>
                <c:pt idx="8">
                  <c:v>0</c:v>
                </c:pt>
                <c:pt idx="9">
                  <c:v>1</c:v>
                </c:pt>
                <c:pt idx="10">
                  <c:v>1</c:v>
                </c:pt>
                <c:pt idx="11">
                  <c:v>0</c:v>
                </c:pt>
                <c:pt idx="12">
                  <c:v>3</c:v>
                </c:pt>
                <c:pt idx="13">
                  <c:v>3</c:v>
                </c:pt>
                <c:pt idx="14">
                  <c:v>0</c:v>
                </c:pt>
                <c:pt idx="15">
                  <c:v>3</c:v>
                </c:pt>
                <c:pt idx="16">
                  <c:v>3</c:v>
                </c:pt>
                <c:pt idx="17">
                  <c:v>1</c:v>
                </c:pt>
                <c:pt idx="18">
                  <c:v>2</c:v>
                </c:pt>
                <c:pt idx="19">
                  <c:v>2</c:v>
                </c:pt>
                <c:pt idx="20">
                  <c:v>2</c:v>
                </c:pt>
              </c:numCache>
            </c:numRef>
          </c:bubbleSize>
          <c:bubble3D val="1"/>
        </c:ser>
        <c:ser>
          <c:idx val="6"/>
          <c:order val="6"/>
          <c:tx>
            <c:strRef>
              <c:f>'bub All'!$A$29</c:f>
              <c:strCache>
                <c:ptCount val="1"/>
                <c:pt idx="0">
                  <c:v>Engineering</c:v>
                </c:pt>
              </c:strCache>
            </c:strRef>
          </c:tx>
          <c:spPr>
            <a:ln w="25400">
              <a:noFill/>
            </a:ln>
          </c:spPr>
          <c:xVal>
            <c:numRef>
              <c:f>'bub All'!$B$30:$V$30</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All'!$B$29:$V$29</c:f>
              <c:numCache>
                <c:formatCode>General</c:formatCode>
                <c:ptCount val="2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107</c:v>
                </c:pt>
              </c:numCache>
            </c:numRef>
          </c:yVal>
          <c:bubbleSize>
            <c:numRef>
              <c:f>'bub All'!$B$32:$V$32</c:f>
              <c:numCache>
                <c:formatCode>General</c:formatCode>
                <c:ptCount val="21"/>
                <c:pt idx="0">
                  <c:v>1</c:v>
                </c:pt>
                <c:pt idx="1">
                  <c:v>0</c:v>
                </c:pt>
                <c:pt idx="2">
                  <c:v>0</c:v>
                </c:pt>
                <c:pt idx="3">
                  <c:v>3</c:v>
                </c:pt>
                <c:pt idx="4">
                  <c:v>0</c:v>
                </c:pt>
                <c:pt idx="5">
                  <c:v>1</c:v>
                </c:pt>
                <c:pt idx="6">
                  <c:v>0</c:v>
                </c:pt>
                <c:pt idx="7">
                  <c:v>3</c:v>
                </c:pt>
                <c:pt idx="8">
                  <c:v>1</c:v>
                </c:pt>
                <c:pt idx="9">
                  <c:v>0</c:v>
                </c:pt>
                <c:pt idx="10">
                  <c:v>2</c:v>
                </c:pt>
                <c:pt idx="11">
                  <c:v>4</c:v>
                </c:pt>
                <c:pt idx="12">
                  <c:v>3</c:v>
                </c:pt>
                <c:pt idx="13">
                  <c:v>1</c:v>
                </c:pt>
                <c:pt idx="14">
                  <c:v>6</c:v>
                </c:pt>
                <c:pt idx="15">
                  <c:v>5</c:v>
                </c:pt>
                <c:pt idx="16">
                  <c:v>4</c:v>
                </c:pt>
                <c:pt idx="17">
                  <c:v>4</c:v>
                </c:pt>
                <c:pt idx="18">
                  <c:v>7</c:v>
                </c:pt>
                <c:pt idx="19">
                  <c:v>1</c:v>
                </c:pt>
                <c:pt idx="20">
                  <c:v>1</c:v>
                </c:pt>
              </c:numCache>
            </c:numRef>
          </c:bubbleSize>
          <c:bubble3D val="1"/>
        </c:ser>
        <c:ser>
          <c:idx val="7"/>
          <c:order val="7"/>
          <c:tx>
            <c:strRef>
              <c:f>'bub All'!$A$33</c:f>
              <c:strCache>
                <c:ptCount val="1"/>
                <c:pt idx="0">
                  <c:v>Environmental studies</c:v>
                </c:pt>
              </c:strCache>
            </c:strRef>
          </c:tx>
          <c:spPr>
            <a:ln w="25400">
              <a:noFill/>
            </a:ln>
          </c:spPr>
          <c:dLbls>
            <c:dLbl>
              <c:idx val="0"/>
              <c:layout>
                <c:manualLayout>
                  <c:x val="-0.17508089601817881"/>
                  <c:y val="0.26214279417987335"/>
                </c:manualLayout>
              </c:layout>
              <c:tx>
                <c:rich>
                  <a:bodyPr/>
                  <a:lstStyle/>
                  <a:p>
                    <a:r>
                      <a:rPr lang="en-US" sz="1400" b="1"/>
                      <a:t>African-african american</a:t>
                    </a:r>
                  </a:p>
                  <a:p>
                    <a:r>
                      <a:rPr lang="en-US" sz="1400" b="1"/>
                      <a:t> studies</a:t>
                    </a:r>
                  </a:p>
                </c:rich>
              </c:tx>
              <c:dLblPos val="r"/>
              <c:showVal val="1"/>
            </c:dLbl>
            <c:dLbl>
              <c:idx val="1"/>
              <c:layout>
                <c:manualLayout>
                  <c:x val="-0.16542995165611371"/>
                  <c:y val="0.21694380318787657"/>
                </c:manualLayout>
              </c:layout>
              <c:tx>
                <c:strRef>
                  <c:f>All!$C$422</c:f>
                  <c:strCache>
                    <c:ptCount val="1"/>
                    <c:pt idx="0">
                      <c:v>Anthropology</c:v>
                    </c:pt>
                  </c:strCache>
                </c:strRef>
              </c:tx>
              <c:dLblPos val="r"/>
              <c:showVal val="1"/>
            </c:dLbl>
            <c:dLbl>
              <c:idx val="2"/>
              <c:layout>
                <c:manualLayout>
                  <c:x val="-0.29199618233406255"/>
                  <c:y val="0"/>
                </c:manualLayout>
              </c:layout>
              <c:tx>
                <c:strRef>
                  <c:f>All!$C$423</c:f>
                  <c:strCache>
                    <c:ptCount val="1"/>
                    <c:pt idx="0">
                      <c:v>Architecture</c:v>
                    </c:pt>
                  </c:strCache>
                </c:strRef>
              </c:tx>
              <c:dLblPos val="r"/>
              <c:showVal val="1"/>
            </c:dLbl>
            <c:dLbl>
              <c:idx val="3"/>
              <c:layout>
                <c:manualLayout>
                  <c:x val="-0.22295400620996092"/>
                  <c:y val="0.14609772114598746"/>
                </c:manualLayout>
              </c:layout>
              <c:tx>
                <c:strRef>
                  <c:f>All!$C$424</c:f>
                  <c:strCache>
                    <c:ptCount val="1"/>
                    <c:pt idx="0">
                      <c:v>Biology</c:v>
                    </c:pt>
                  </c:strCache>
                </c:strRef>
              </c:tx>
              <c:dLblPos val="r"/>
              <c:showVal val="1"/>
            </c:dLbl>
            <c:dLbl>
              <c:idx val="4"/>
              <c:layout>
                <c:manualLayout>
                  <c:x val="-0.26251992732380991"/>
                  <c:y val="0.11254300765320216"/>
                </c:manualLayout>
              </c:layout>
              <c:tx>
                <c:strRef>
                  <c:f>All!$C$426</c:f>
                  <c:strCache>
                    <c:ptCount val="1"/>
                    <c:pt idx="0">
                      <c:v>Divinity</c:v>
                    </c:pt>
                  </c:strCache>
                </c:strRef>
              </c:tx>
              <c:dLblPos val="r"/>
              <c:showVal val="1"/>
            </c:dLbl>
            <c:dLbl>
              <c:idx val="5"/>
              <c:layout>
                <c:manualLayout>
                  <c:x val="-0.31219172465358574"/>
                  <c:y val="7.4068230619631345E-2"/>
                </c:manualLayout>
              </c:layout>
              <c:tx>
                <c:strRef>
                  <c:f>All!$C$427</c:f>
                  <c:strCache>
                    <c:ptCount val="1"/>
                    <c:pt idx="0">
                      <c:v>Economics</c:v>
                    </c:pt>
                  </c:strCache>
                </c:strRef>
              </c:tx>
              <c:dLblPos val="r"/>
              <c:showVal val="1"/>
            </c:dLbl>
            <c:dLbl>
              <c:idx val="6"/>
              <c:layout>
                <c:manualLayout>
                  <c:x val="-0.44253373516929528"/>
                  <c:y val="0"/>
                </c:manualLayout>
              </c:layout>
              <c:tx>
                <c:strRef>
                  <c:f>All!$C$428</c:f>
                  <c:strCache>
                    <c:ptCount val="1"/>
                    <c:pt idx="0">
                      <c:v>Engineering</c:v>
                    </c:pt>
                  </c:strCache>
                </c:strRef>
              </c:tx>
              <c:dLblPos val="r"/>
              <c:showVal val="1"/>
            </c:dLbl>
            <c:dLbl>
              <c:idx val="7"/>
              <c:layout>
                <c:manualLayout>
                  <c:x val="-0.43180448347788092"/>
                  <c:y val="-9.2659108295551728E-4"/>
                </c:manualLayout>
              </c:layout>
              <c:tx>
                <c:strRef>
                  <c:f>All!$C$429</c:f>
                  <c:strCache>
                    <c:ptCount val="1"/>
                    <c:pt idx="0">
                      <c:v>Environmental studies</c:v>
                    </c:pt>
                  </c:strCache>
                </c:strRef>
              </c:tx>
              <c:dLblPos val="r"/>
              <c:showVal val="1"/>
            </c:dLbl>
            <c:dLbl>
              <c:idx val="8"/>
              <c:layout>
                <c:manualLayout>
                  <c:x val="-0.38553909424685068"/>
                  <c:y val="-4.0312813837240946E-2"/>
                </c:manualLayout>
              </c:layout>
              <c:tx>
                <c:strRef>
                  <c:f>All!$C$430</c:f>
                  <c:strCache>
                    <c:ptCount val="1"/>
                    <c:pt idx="0">
                      <c:v>FES</c:v>
                    </c:pt>
                  </c:strCache>
                </c:strRef>
              </c:tx>
              <c:dLblPos val="r"/>
              <c:showVal val="1"/>
            </c:dLbl>
            <c:dLbl>
              <c:idx val="9"/>
              <c:layout>
                <c:manualLayout>
                  <c:x val="-0.44184826521629594"/>
                  <c:y val="-7.3307257886402924E-2"/>
                </c:manualLayout>
              </c:layout>
              <c:tx>
                <c:strRef>
                  <c:f>All!$C$431</c:f>
                  <c:strCache>
                    <c:ptCount val="1"/>
                    <c:pt idx="0">
                      <c:v>Genetics</c:v>
                    </c:pt>
                  </c:strCache>
                </c:strRef>
              </c:tx>
              <c:dLblPos val="r"/>
              <c:showVal val="1"/>
            </c:dLbl>
            <c:dLbl>
              <c:idx val="10"/>
              <c:layout>
                <c:manualLayout>
                  <c:x val="-0.53930670232908173"/>
                  <c:y val="-0.11253483569515638"/>
                </c:manualLayout>
              </c:layout>
              <c:tx>
                <c:strRef>
                  <c:f>All!$C$432</c:f>
                  <c:strCache>
                    <c:ptCount val="1"/>
                    <c:pt idx="0">
                      <c:v>Geology &amp; geophysics</c:v>
                    </c:pt>
                  </c:strCache>
                </c:strRef>
              </c:tx>
              <c:dLblPos val="r"/>
              <c:showVal val="1"/>
            </c:dLbl>
            <c:dLbl>
              <c:idx val="11"/>
              <c:layout>
                <c:manualLayout>
                  <c:x val="-0.57666647336982224"/>
                  <c:y val="-0.15291738357439563"/>
                </c:manualLayout>
              </c:layout>
              <c:tx>
                <c:strRef>
                  <c:f>All!$C$434</c:f>
                  <c:strCache>
                    <c:ptCount val="1"/>
                    <c:pt idx="0">
                      <c:v>International relations</c:v>
                    </c:pt>
                  </c:strCache>
                </c:strRef>
              </c:tx>
              <c:dLblPos val="r"/>
              <c:showVal val="1"/>
            </c:dLbl>
            <c:dLbl>
              <c:idx val="12"/>
              <c:layout>
                <c:manualLayout>
                  <c:x val="-0.54298663403542002"/>
                  <c:y val="-0.18845276177859724"/>
                </c:manualLayout>
              </c:layout>
              <c:tx>
                <c:strRef>
                  <c:f>All!$C$435</c:f>
                  <c:strCache>
                    <c:ptCount val="1"/>
                    <c:pt idx="0">
                      <c:v>Law</c:v>
                    </c:pt>
                  </c:strCache>
                </c:strRef>
              </c:tx>
              <c:dLblPos val="r"/>
              <c:showVal val="1"/>
            </c:dLbl>
            <c:dLbl>
              <c:idx val="13"/>
              <c:layout>
                <c:manualLayout>
                  <c:x val="-0.62930244808760549"/>
                  <c:y val="-0.2297001207379562"/>
                </c:manualLayout>
              </c:layout>
              <c:tx>
                <c:strRef>
                  <c:f>All!$C$436</c:f>
                  <c:strCache>
                    <c:ptCount val="1"/>
                    <c:pt idx="0">
                      <c:v>Political science</c:v>
                    </c:pt>
                  </c:strCache>
                </c:strRef>
              </c:tx>
              <c:dLblPos val="r"/>
              <c:showVal val="1"/>
            </c:dLbl>
            <c:dLbl>
              <c:idx val="14"/>
              <c:layout>
                <c:manualLayout>
                  <c:x val="-0.63803384251661333"/>
                  <c:y val="-0.26757747315866837"/>
                </c:manualLayout>
              </c:layout>
              <c:tx>
                <c:strRef>
                  <c:f>All!$C$437</c:f>
                  <c:strCache>
                    <c:ptCount val="1"/>
                    <c:pt idx="0">
                      <c:v>Psychology</c:v>
                    </c:pt>
                  </c:strCache>
                </c:strRef>
              </c:tx>
              <c:dLblPos val="r"/>
              <c:showVal val="1"/>
            </c:dLbl>
            <c:dLbl>
              <c:idx val="15"/>
              <c:layout>
                <c:manualLayout>
                  <c:x val="-0.6880288775243083"/>
                  <c:y val="-0.30131872521378261"/>
                </c:manualLayout>
              </c:layout>
              <c:tx>
                <c:strRef>
                  <c:f>All!$C$438</c:f>
                  <c:strCache>
                    <c:ptCount val="1"/>
                    <c:pt idx="0">
                      <c:v>Public health</c:v>
                    </c:pt>
                  </c:strCache>
                </c:strRef>
              </c:tx>
              <c:dLblPos val="r"/>
              <c:showVal val="1"/>
            </c:dLbl>
            <c:dLbl>
              <c:idx val="16"/>
              <c:layout>
                <c:manualLayout>
                  <c:x val="-0.71144439708956564"/>
                  <c:y val="-0.33618476557432375"/>
                </c:manualLayout>
              </c:layout>
              <c:tx>
                <c:strRef>
                  <c:f>All!$C$439</c:f>
                  <c:strCache>
                    <c:ptCount val="1"/>
                    <c:pt idx="0">
                      <c:v>Sociology</c:v>
                    </c:pt>
                  </c:strCache>
                </c:strRef>
              </c:tx>
              <c:dLblPos val="r"/>
              <c:showVal val="1"/>
            </c:dLbl>
            <c:dLbl>
              <c:idx val="17"/>
              <c:layout>
                <c:manualLayout>
                  <c:x val="-0.72717957389333165"/>
                  <c:y val="-0.37342034688982523"/>
                </c:manualLayout>
              </c:layout>
              <c:tx>
                <c:strRef>
                  <c:f>All!$C$440</c:f>
                  <c:strCache>
                    <c:ptCount val="1"/>
                    <c:pt idx="0">
                      <c:v>SOM</c:v>
                    </c:pt>
                  </c:strCache>
                </c:strRef>
              </c:tx>
              <c:spPr/>
              <c:txPr>
                <a:bodyPr/>
                <a:lstStyle/>
                <a:p>
                  <a:pPr>
                    <a:defRPr sz="1400" b="1" i="0"/>
                  </a:pPr>
                  <a:endParaRPr lang="en-US"/>
                </a:p>
              </c:txPr>
              <c:dLblPos val="r"/>
              <c:showVal val="1"/>
            </c:dLbl>
            <c:dLbl>
              <c:idx val="18"/>
              <c:layout>
                <c:manualLayout>
                  <c:x val="-0.83264864763618973"/>
                  <c:y val="-0.41026454589465433"/>
                </c:manualLayout>
              </c:layout>
              <c:tx>
                <c:strRef>
                  <c:f>All!$C$441</c:f>
                  <c:strCache>
                    <c:ptCount val="1"/>
                    <c:pt idx="0">
                      <c:v>South asian studies</c:v>
                    </c:pt>
                  </c:strCache>
                </c:strRef>
              </c:tx>
              <c:dLblPos val="r"/>
              <c:showVal val="1"/>
            </c:dLbl>
            <c:dLbl>
              <c:idx val="19"/>
              <c:layout>
                <c:manualLayout>
                  <c:x val="-0.84337296688695085"/>
                  <c:y val="-0.45110483238387938"/>
                </c:manualLayout>
              </c:layout>
              <c:tx>
                <c:rich>
                  <a:bodyPr/>
                  <a:lstStyle/>
                  <a:p>
                    <a:r>
                      <a:rPr lang="en-US" sz="1400" b="1"/>
                      <a:t>Women's, gender, </a:t>
                    </a:r>
                  </a:p>
                  <a:p>
                    <a:r>
                      <a:rPr lang="en-US" sz="1400" b="1"/>
                      <a:t>and sexuality studies</a:t>
                    </a:r>
                  </a:p>
                </c:rich>
              </c:tx>
              <c:dLblPos val="r"/>
              <c:showVal val="1"/>
            </c:dLbl>
            <c:dLbl>
              <c:idx val="20"/>
              <c:layout>
                <c:manualLayout>
                  <c:x val="-1.2942329412337229E-2"/>
                  <c:y val="-0.52558399660931487"/>
                </c:manualLayout>
              </c:layout>
              <c:tx>
                <c:strRef>
                  <c:f>All!$C$443</c:f>
                  <c:strCache>
                    <c:ptCount val="1"/>
                  </c:strCache>
                </c:strRef>
              </c:tx>
              <c:dLblPos val="r"/>
              <c:showVal val="1"/>
            </c:dLbl>
            <c:txPr>
              <a:bodyPr/>
              <a:lstStyle/>
              <a:p>
                <a:pPr>
                  <a:defRPr sz="1400" b="1"/>
                </a:pPr>
                <a:endParaRPr lang="en-US"/>
              </a:p>
            </c:txPr>
            <c:showVal val="1"/>
          </c:dLbls>
          <c:xVal>
            <c:numRef>
              <c:f>'bub All'!$B$34:$V$34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All'!$B$33:$V$33</c:f>
              <c:numCache>
                <c:formatCode>General</c:formatCode>
                <c:ptCount val="21"/>
                <c:pt idx="0">
                  <c:v>108</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108</c:v>
                </c:pt>
                <c:pt idx="18">
                  <c:v>108</c:v>
                </c:pt>
                <c:pt idx="19">
                  <c:v>108</c:v>
                </c:pt>
                <c:pt idx="20">
                  <c:v>108</c:v>
                </c:pt>
              </c:numCache>
            </c:numRef>
          </c:yVal>
          <c:bubbleSize>
            <c:numRef>
              <c:f>'bub All'!$B$36:$V$36</c:f>
              <c:numCache>
                <c:formatCode>General</c:formatCode>
                <c:ptCount val="21"/>
                <c:pt idx="0">
                  <c:v>1</c:v>
                </c:pt>
                <c:pt idx="1">
                  <c:v>1</c:v>
                </c:pt>
                <c:pt idx="2">
                  <c:v>0</c:v>
                </c:pt>
                <c:pt idx="3">
                  <c:v>4</c:v>
                </c:pt>
                <c:pt idx="4">
                  <c:v>2</c:v>
                </c:pt>
                <c:pt idx="5">
                  <c:v>4</c:v>
                </c:pt>
                <c:pt idx="6">
                  <c:v>0</c:v>
                </c:pt>
                <c:pt idx="7">
                  <c:v>1</c:v>
                </c:pt>
                <c:pt idx="8">
                  <c:v>2</c:v>
                </c:pt>
                <c:pt idx="9">
                  <c:v>1</c:v>
                </c:pt>
                <c:pt idx="10">
                  <c:v>3</c:v>
                </c:pt>
                <c:pt idx="11">
                  <c:v>1</c:v>
                </c:pt>
                <c:pt idx="12">
                  <c:v>3</c:v>
                </c:pt>
                <c:pt idx="13">
                  <c:v>3</c:v>
                </c:pt>
                <c:pt idx="14">
                  <c:v>0</c:v>
                </c:pt>
                <c:pt idx="15">
                  <c:v>4</c:v>
                </c:pt>
                <c:pt idx="16">
                  <c:v>2</c:v>
                </c:pt>
                <c:pt idx="17">
                  <c:v>3</c:v>
                </c:pt>
                <c:pt idx="18">
                  <c:v>4</c:v>
                </c:pt>
                <c:pt idx="19">
                  <c:v>2</c:v>
                </c:pt>
                <c:pt idx="20">
                  <c:v>1</c:v>
                </c:pt>
              </c:numCache>
            </c:numRef>
          </c:bubbleSize>
          <c:bubble3D val="1"/>
        </c:ser>
        <c:ser>
          <c:idx val="8"/>
          <c:order val="8"/>
          <c:tx>
            <c:strRef>
              <c:f>'bub All'!$A$37</c:f>
              <c:strCache>
                <c:ptCount val="1"/>
                <c:pt idx="0">
                  <c:v>FES</c:v>
                </c:pt>
              </c:strCache>
            </c:strRef>
          </c:tx>
          <c:spPr>
            <a:ln w="25400">
              <a:noFill/>
            </a:ln>
          </c:spPr>
          <c:dLbls>
            <c:dLbl>
              <c:idx val="0"/>
              <c:layout>
                <c:manualLayout>
                  <c:x val="-4.3993056262812726E-2"/>
                  <c:y val="0.39946893178306719"/>
                </c:manualLayout>
              </c:layout>
              <c:tx>
                <c:strRef>
                  <c:f>All!$H$419</c:f>
                  <c:strCache>
                    <c:ptCount val="1"/>
                    <c:pt idx="0">
                      <c:v>Corp.  Env Strat.</c:v>
                    </c:pt>
                  </c:strCache>
                </c:strRef>
              </c:tx>
              <c:dLblPos val="r"/>
              <c:showVal val="1"/>
            </c:dLbl>
            <c:dLbl>
              <c:idx val="1"/>
              <c:layout>
                <c:manualLayout>
                  <c:x val="-2.9324341816703951E-2"/>
                  <c:y val="0.39590123245062531"/>
                </c:manualLayout>
              </c:layout>
              <c:tx>
                <c:strRef>
                  <c:f>All!$I$419</c:f>
                  <c:strCache>
                    <c:ptCount val="1"/>
                    <c:pt idx="0">
                      <c:v>Soc/Env Vent.</c:v>
                    </c:pt>
                  </c:strCache>
                </c:strRef>
              </c:tx>
              <c:dLblPos val="r"/>
              <c:showVal val="1"/>
            </c:dLbl>
            <c:dLbl>
              <c:idx val="2"/>
              <c:layout>
                <c:manualLayout>
                  <c:x val="-2.9232386529398611E-2"/>
                  <c:y val="0.38886927013628503"/>
                </c:manualLayout>
              </c:layout>
              <c:tx>
                <c:strRef>
                  <c:f>All!$J$419</c:f>
                  <c:strCache>
                    <c:ptCount val="1"/>
                    <c:pt idx="0">
                      <c:v>Env.Finance</c:v>
                    </c:pt>
                  </c:strCache>
                </c:strRef>
              </c:tx>
              <c:dLblPos val="r"/>
              <c:showVal val="1"/>
            </c:dLbl>
            <c:dLbl>
              <c:idx val="3"/>
              <c:layout>
                <c:manualLayout>
                  <c:x val="-3.4099490235130224E-2"/>
                  <c:y val="0.39180779729012427"/>
                </c:manualLayout>
              </c:layout>
              <c:tx>
                <c:strRef>
                  <c:f>All!$K$419</c:f>
                  <c:strCache>
                    <c:ptCount val="1"/>
                    <c:pt idx="0">
                      <c:v>Clim. Change</c:v>
                    </c:pt>
                  </c:strCache>
                </c:strRef>
              </c:tx>
              <c:dLblPos val="r"/>
              <c:showVal val="1"/>
            </c:dLbl>
            <c:dLbl>
              <c:idx val="4"/>
              <c:layout>
                <c:manualLayout>
                  <c:x val="-2.7778651740714009E-2"/>
                  <c:y val="0.40570647150369832"/>
                </c:manualLayout>
              </c:layout>
              <c:tx>
                <c:strRef>
                  <c:f>All!$L$419</c:f>
                  <c:strCache>
                    <c:ptCount val="1"/>
                    <c:pt idx="0">
                      <c:v>Env.Just. &amp; Ethics</c:v>
                    </c:pt>
                  </c:strCache>
                </c:strRef>
              </c:tx>
              <c:dLblPos val="r"/>
              <c:showVal val="1"/>
            </c:dLbl>
            <c:dLbl>
              <c:idx val="5"/>
              <c:layout>
                <c:manualLayout>
                  <c:x val="-4.0669353600262255E-2"/>
                  <c:y val="0.40817102862319105"/>
                </c:manualLayout>
              </c:layout>
              <c:tx>
                <c:strRef>
                  <c:f>All!$M$419</c:f>
                  <c:strCache>
                    <c:ptCount val="1"/>
                    <c:pt idx="0">
                      <c:v>Env. Policy &amp; Law</c:v>
                    </c:pt>
                  </c:strCache>
                </c:strRef>
              </c:tx>
              <c:dLblPos val="r"/>
              <c:showVal val="1"/>
            </c:dLbl>
            <c:dLbl>
              <c:idx val="6"/>
              <c:layout>
                <c:manualLayout>
                  <c:x val="-3.2572081553141966E-2"/>
                  <c:y val="0.38174484815248932"/>
                </c:manualLayout>
              </c:layout>
              <c:tx>
                <c:strRef>
                  <c:f>All!$N$419</c:f>
                  <c:strCache>
                    <c:ptCount val="1"/>
                    <c:pt idx="0">
                      <c:v>Env. Econ.</c:v>
                    </c:pt>
                  </c:strCache>
                </c:strRef>
              </c:tx>
              <c:dLblPos val="r"/>
              <c:showVal val="1"/>
            </c:dLbl>
            <c:dLbl>
              <c:idx val="7"/>
              <c:layout>
                <c:manualLayout>
                  <c:x val="-2.8520160306387377E-2"/>
                  <c:y val="0.37220664768085737"/>
                </c:manualLayout>
              </c:layout>
              <c:tx>
                <c:strRef>
                  <c:f>All!$O$419</c:f>
                  <c:strCache>
                    <c:ptCount val="1"/>
                    <c:pt idx="0">
                      <c:v> EH&amp;S</c:v>
                    </c:pt>
                  </c:strCache>
                </c:strRef>
              </c:tx>
              <c:dLblPos val="r"/>
              <c:showVal val="1"/>
            </c:dLbl>
            <c:dLbl>
              <c:idx val="8"/>
              <c:layout>
                <c:manualLayout>
                  <c:x val="-3.4411951185530004E-2"/>
                  <c:y val="0.39860806493809242"/>
                </c:manualLayout>
              </c:layout>
              <c:tx>
                <c:rich>
                  <a:bodyPr/>
                  <a:lstStyle/>
                  <a:p>
                    <a:r>
                      <a:rPr lang="en-US" sz="1400" b="1"/>
                      <a:t>Green Desgn </a:t>
                    </a:r>
                  </a:p>
                  <a:p>
                    <a:r>
                      <a:rPr lang="en-US" sz="1400" b="1"/>
                      <a:t>&amp; Build.</a:t>
                    </a:r>
                  </a:p>
                </c:rich>
              </c:tx>
              <c:dLblPos val="r"/>
              <c:showVal val="1"/>
            </c:dLbl>
            <c:dLbl>
              <c:idx val="9"/>
              <c:layout>
                <c:manualLayout>
                  <c:x val="-2.7265882341638917E-2"/>
                  <c:y val="0.37149465133018938"/>
                </c:manualLayout>
              </c:layout>
              <c:tx>
                <c:strRef>
                  <c:f>All!$Q$419</c:f>
                  <c:strCache>
                    <c:ptCount val="1"/>
                    <c:pt idx="0">
                      <c:v>CSR</c:v>
                    </c:pt>
                  </c:strCache>
                </c:strRef>
              </c:tx>
              <c:dLblPos val="r"/>
              <c:showVal val="1"/>
            </c:dLbl>
            <c:dLbl>
              <c:idx val="10"/>
              <c:layout>
                <c:manualLayout>
                  <c:x val="-3.0344340062581091E-2"/>
                  <c:y val="0.37615656216690346"/>
                </c:manualLayout>
              </c:layout>
              <c:tx>
                <c:strRef>
                  <c:f>All!$R$419</c:f>
                  <c:strCache>
                    <c:ptCount val="1"/>
                    <c:pt idx="0">
                      <c:v>Energy</c:v>
                    </c:pt>
                  </c:strCache>
                </c:strRef>
              </c:tx>
              <c:dLblPos val="r"/>
              <c:showVal val="1"/>
            </c:dLbl>
            <c:dLbl>
              <c:idx val="11"/>
              <c:layout>
                <c:manualLayout>
                  <c:x val="-2.8232673204785688E-2"/>
                  <c:y val="0.3838167806311204"/>
                </c:manualLayout>
              </c:layout>
              <c:tx>
                <c:strRef>
                  <c:f>All!$S$419</c:f>
                  <c:strCache>
                    <c:ptCount val="1"/>
                    <c:pt idx="0">
                      <c:v>Ind. Ecol.</c:v>
                    </c:pt>
                  </c:strCache>
                </c:strRef>
              </c:tx>
              <c:dLblPos val="r"/>
              <c:showVal val="1"/>
            </c:dLbl>
            <c:dLbl>
              <c:idx val="12"/>
              <c:layout>
                <c:manualLayout>
                  <c:x val="-4.8635222631653957E-2"/>
                  <c:y val="0.39385564307354998"/>
                </c:manualLayout>
              </c:layout>
              <c:tx>
                <c:strRef>
                  <c:f>All!$T$419</c:f>
                  <c:strCache>
                    <c:ptCount val="1"/>
                    <c:pt idx="0">
                      <c:v>NR Managmt</c:v>
                    </c:pt>
                  </c:strCache>
                </c:strRef>
              </c:tx>
              <c:dLblPos val="r"/>
              <c:showVal val="1"/>
            </c:dLbl>
            <c:dLbl>
              <c:idx val="13"/>
              <c:layout>
                <c:manualLayout>
                  <c:x val="-3.362826499562388E-2"/>
                  <c:y val="0.38851809385919939"/>
                </c:manualLayout>
              </c:layout>
              <c:tx>
                <c:strRef>
                  <c:f>All!$U$419</c:f>
                  <c:strCache>
                    <c:ptCount val="1"/>
                    <c:pt idx="0">
                      <c:v>Intern. Dev.</c:v>
                    </c:pt>
                  </c:strCache>
                </c:strRef>
              </c:tx>
              <c:dLblPos val="r"/>
              <c:showVal val="1"/>
            </c:dLbl>
            <c:dLbl>
              <c:idx val="14"/>
              <c:layout>
                <c:manualLayout>
                  <c:x val="-2.8966688878699465E-2"/>
                  <c:y val="0.38514460061843198"/>
                </c:manualLayout>
              </c:layout>
              <c:tx>
                <c:strRef>
                  <c:f>All!$V$419</c:f>
                  <c:strCache>
                    <c:ptCount val="1"/>
                    <c:pt idx="0">
                      <c:v>Env. Chem.</c:v>
                    </c:pt>
                  </c:strCache>
                </c:strRef>
              </c:tx>
              <c:dLblPos val="r"/>
              <c:showVal val="1"/>
            </c:dLbl>
            <c:dLbl>
              <c:idx val="15"/>
              <c:layout>
                <c:manualLayout>
                  <c:x val="-3.0496663448188438E-2"/>
                  <c:y val="0.38636026109734145"/>
                </c:manualLayout>
              </c:layout>
              <c:tx>
                <c:strRef>
                  <c:f>All!$W$419</c:f>
                  <c:strCache>
                    <c:ptCount val="1"/>
                    <c:pt idx="0">
                      <c:v>Pollution</c:v>
                    </c:pt>
                  </c:strCache>
                </c:strRef>
              </c:tx>
              <c:dLblPos val="r"/>
              <c:showVal val="1"/>
            </c:dLbl>
            <c:dLbl>
              <c:idx val="16"/>
              <c:layout>
                <c:manualLayout>
                  <c:x val="-2.9459702769876282E-2"/>
                  <c:y val="0.36101167804928702"/>
                </c:manualLayout>
              </c:layout>
              <c:tx>
                <c:strRef>
                  <c:f>All!$X$419</c:f>
                  <c:strCache>
                    <c:ptCount val="1"/>
                    <c:pt idx="0">
                      <c:v>Air</c:v>
                    </c:pt>
                  </c:strCache>
                </c:strRef>
              </c:tx>
              <c:dLblPos val="r"/>
              <c:showVal val="1"/>
            </c:dLbl>
            <c:dLbl>
              <c:idx val="17"/>
              <c:layout>
                <c:manualLayout>
                  <c:x val="-3.2667693806618291E-2"/>
                  <c:y val="0.36294989071906036"/>
                </c:manualLayout>
              </c:layout>
              <c:tx>
                <c:strRef>
                  <c:f>All!$Y$419</c:f>
                  <c:strCache>
                    <c:ptCount val="1"/>
                    <c:pt idx="0">
                      <c:v>Soils</c:v>
                    </c:pt>
                  </c:strCache>
                </c:strRef>
              </c:tx>
              <c:dLblPos val="r"/>
              <c:showVal val="1"/>
            </c:dLbl>
            <c:dLbl>
              <c:idx val="18"/>
              <c:layout>
                <c:manualLayout>
                  <c:x val="-3.2878448520728423E-2"/>
                  <c:y val="0.37854263915238073"/>
                </c:manualLayout>
              </c:layout>
              <c:tx>
                <c:strRef>
                  <c:f>All!$Z$419</c:f>
                  <c:strCache>
                    <c:ptCount val="1"/>
                    <c:pt idx="0">
                      <c:v>Water</c:v>
                    </c:pt>
                  </c:strCache>
                </c:strRef>
              </c:tx>
              <c:dLblPos val="r"/>
              <c:showVal val="1"/>
            </c:dLbl>
            <c:dLbl>
              <c:idx val="19"/>
              <c:layout>
                <c:manualLayout>
                  <c:x val="-4.6162430308009032E-2"/>
                  <c:y val="0.37822860931306146"/>
                </c:manualLayout>
              </c:layout>
              <c:tx>
                <c:strRef>
                  <c:f>All!$AA$419</c:f>
                  <c:strCache>
                    <c:ptCount val="1"/>
                    <c:pt idx="0">
                      <c:v>Ecosyst.</c:v>
                    </c:pt>
                  </c:strCache>
                </c:strRef>
              </c:tx>
              <c:dLblPos val="r"/>
              <c:showVal val="1"/>
            </c:dLbl>
            <c:dLbl>
              <c:idx val="20"/>
              <c:layout>
                <c:manualLayout>
                  <c:x val="-2.3449292870584056E-2"/>
                  <c:y val="0.36905271052151989"/>
                </c:manualLayout>
              </c:layout>
              <c:tx>
                <c:strRef>
                  <c:f>All!$AB$419</c:f>
                  <c:strCache>
                    <c:ptCount val="1"/>
                    <c:pt idx="0">
                      <c:v>Forests</c:v>
                    </c:pt>
                  </c:strCache>
                </c:strRef>
              </c:tx>
              <c:dLblPos val="r"/>
              <c:showVal val="1"/>
            </c:dLbl>
            <c:txPr>
              <a:bodyPr rot="3300000"/>
              <a:lstStyle/>
              <a:p>
                <a:pPr>
                  <a:defRPr sz="1400" b="1"/>
                </a:pPr>
                <a:endParaRPr lang="en-US"/>
              </a:p>
            </c:txPr>
            <c:showVal val="1"/>
          </c:dLbls>
          <c:xVal>
            <c:numRef>
              <c:f>'bub All'!$B$38:$V$38</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All'!$B$37:$V$37</c:f>
              <c:numCache>
                <c:formatCode>General</c:formatCode>
                <c:ptCount val="21"/>
                <c:pt idx="0">
                  <c:v>109</c:v>
                </c:pt>
                <c:pt idx="1">
                  <c:v>109</c:v>
                </c:pt>
                <c:pt idx="2">
                  <c:v>109</c:v>
                </c:pt>
                <c:pt idx="3">
                  <c:v>109</c:v>
                </c:pt>
                <c:pt idx="4">
                  <c:v>109</c:v>
                </c:pt>
                <c:pt idx="5">
                  <c:v>109</c:v>
                </c:pt>
                <c:pt idx="6">
                  <c:v>109</c:v>
                </c:pt>
                <c:pt idx="7">
                  <c:v>109</c:v>
                </c:pt>
                <c:pt idx="8">
                  <c:v>109</c:v>
                </c:pt>
                <c:pt idx="9">
                  <c:v>109</c:v>
                </c:pt>
                <c:pt idx="10">
                  <c:v>109</c:v>
                </c:pt>
                <c:pt idx="11">
                  <c:v>109</c:v>
                </c:pt>
                <c:pt idx="12">
                  <c:v>109</c:v>
                </c:pt>
                <c:pt idx="13">
                  <c:v>109</c:v>
                </c:pt>
                <c:pt idx="14">
                  <c:v>109</c:v>
                </c:pt>
                <c:pt idx="15">
                  <c:v>109</c:v>
                </c:pt>
                <c:pt idx="16">
                  <c:v>109</c:v>
                </c:pt>
                <c:pt idx="17">
                  <c:v>109</c:v>
                </c:pt>
                <c:pt idx="18">
                  <c:v>109</c:v>
                </c:pt>
                <c:pt idx="19">
                  <c:v>109</c:v>
                </c:pt>
                <c:pt idx="20">
                  <c:v>109</c:v>
                </c:pt>
              </c:numCache>
            </c:numRef>
          </c:yVal>
          <c:bubbleSize>
            <c:numRef>
              <c:f>'bub All'!$B$40:$V$40</c:f>
              <c:numCache>
                <c:formatCode>General</c:formatCode>
                <c:ptCount val="21"/>
                <c:pt idx="0">
                  <c:v>21</c:v>
                </c:pt>
                <c:pt idx="1">
                  <c:v>6</c:v>
                </c:pt>
                <c:pt idx="2">
                  <c:v>21</c:v>
                </c:pt>
                <c:pt idx="3">
                  <c:v>23</c:v>
                </c:pt>
                <c:pt idx="4">
                  <c:v>17</c:v>
                </c:pt>
                <c:pt idx="5">
                  <c:v>41</c:v>
                </c:pt>
                <c:pt idx="6">
                  <c:v>22</c:v>
                </c:pt>
                <c:pt idx="7">
                  <c:v>11</c:v>
                </c:pt>
                <c:pt idx="8">
                  <c:v>19</c:v>
                </c:pt>
                <c:pt idx="9">
                  <c:v>16</c:v>
                </c:pt>
                <c:pt idx="10">
                  <c:v>14</c:v>
                </c:pt>
                <c:pt idx="11">
                  <c:v>8</c:v>
                </c:pt>
                <c:pt idx="12">
                  <c:v>44</c:v>
                </c:pt>
                <c:pt idx="13">
                  <c:v>19</c:v>
                </c:pt>
                <c:pt idx="14">
                  <c:v>11</c:v>
                </c:pt>
                <c:pt idx="15">
                  <c:v>16</c:v>
                </c:pt>
                <c:pt idx="16">
                  <c:v>16</c:v>
                </c:pt>
                <c:pt idx="17">
                  <c:v>23</c:v>
                </c:pt>
                <c:pt idx="18">
                  <c:v>25</c:v>
                </c:pt>
                <c:pt idx="19">
                  <c:v>31</c:v>
                </c:pt>
                <c:pt idx="20">
                  <c:v>19</c:v>
                </c:pt>
              </c:numCache>
            </c:numRef>
          </c:bubbleSize>
          <c:bubble3D val="1"/>
        </c:ser>
        <c:ser>
          <c:idx val="9"/>
          <c:order val="9"/>
          <c:tx>
            <c:strRef>
              <c:f>'bub All'!$A$41</c:f>
              <c:strCache>
                <c:ptCount val="1"/>
                <c:pt idx="0">
                  <c:v>Genetics</c:v>
                </c:pt>
              </c:strCache>
            </c:strRef>
          </c:tx>
          <c:spPr>
            <a:ln w="25400">
              <a:noFill/>
            </a:ln>
          </c:spPr>
          <c:xVal>
            <c:numRef>
              <c:f>'bub All'!$B$42:$V$42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All'!$B$41:$V$41</c:f>
              <c:numCache>
                <c:formatCode>General</c:formatCode>
                <c:ptCount val="21"/>
                <c:pt idx="0">
                  <c:v>110</c:v>
                </c:pt>
                <c:pt idx="1">
                  <c:v>110</c:v>
                </c:pt>
                <c:pt idx="2">
                  <c:v>110</c:v>
                </c:pt>
                <c:pt idx="3">
                  <c:v>110</c:v>
                </c:pt>
                <c:pt idx="4">
                  <c:v>110</c:v>
                </c:pt>
                <c:pt idx="5">
                  <c:v>110</c:v>
                </c:pt>
                <c:pt idx="6">
                  <c:v>110</c:v>
                </c:pt>
                <c:pt idx="7">
                  <c:v>110</c:v>
                </c:pt>
                <c:pt idx="8">
                  <c:v>110</c:v>
                </c:pt>
                <c:pt idx="9">
                  <c:v>110</c:v>
                </c:pt>
                <c:pt idx="10">
                  <c:v>110</c:v>
                </c:pt>
                <c:pt idx="11">
                  <c:v>110</c:v>
                </c:pt>
                <c:pt idx="12">
                  <c:v>110</c:v>
                </c:pt>
                <c:pt idx="13">
                  <c:v>110</c:v>
                </c:pt>
                <c:pt idx="14">
                  <c:v>110</c:v>
                </c:pt>
                <c:pt idx="15">
                  <c:v>110</c:v>
                </c:pt>
                <c:pt idx="16">
                  <c:v>110</c:v>
                </c:pt>
                <c:pt idx="17">
                  <c:v>110</c:v>
                </c:pt>
                <c:pt idx="18">
                  <c:v>110</c:v>
                </c:pt>
                <c:pt idx="19">
                  <c:v>110</c:v>
                </c:pt>
                <c:pt idx="20">
                  <c:v>110</c:v>
                </c:pt>
              </c:numCache>
            </c:numRef>
          </c:yVal>
          <c:bubbleSize>
            <c:numRef>
              <c:f>'bub All'!$B$44:$V$44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10"/>
          <c:order val="10"/>
          <c:tx>
            <c:strRef>
              <c:f>'bub All'!$A$45</c:f>
              <c:strCache>
                <c:ptCount val="1"/>
                <c:pt idx="0">
                  <c:v>Geology &amp; geophysics</c:v>
                </c:pt>
              </c:strCache>
            </c:strRef>
          </c:tx>
          <c:spPr>
            <a:ln w="25400">
              <a:noFill/>
            </a:ln>
          </c:spPr>
          <c:xVal>
            <c:numRef>
              <c:f>'bub All'!$B$46:$V$46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All'!$B$45:$V$45</c:f>
              <c:numCache>
                <c:formatCode>General</c:formatCode>
                <c:ptCount val="21"/>
                <c:pt idx="0">
                  <c:v>111</c:v>
                </c:pt>
                <c:pt idx="1">
                  <c:v>111</c:v>
                </c:pt>
                <c:pt idx="2">
                  <c:v>111</c:v>
                </c:pt>
                <c:pt idx="3">
                  <c:v>111</c:v>
                </c:pt>
                <c:pt idx="4">
                  <c:v>111</c:v>
                </c:pt>
                <c:pt idx="5">
                  <c:v>111</c:v>
                </c:pt>
                <c:pt idx="6">
                  <c:v>111</c:v>
                </c:pt>
                <c:pt idx="7">
                  <c:v>111</c:v>
                </c:pt>
                <c:pt idx="8">
                  <c:v>111</c:v>
                </c:pt>
                <c:pt idx="9">
                  <c:v>111</c:v>
                </c:pt>
                <c:pt idx="10">
                  <c:v>111</c:v>
                </c:pt>
                <c:pt idx="11">
                  <c:v>111</c:v>
                </c:pt>
                <c:pt idx="12">
                  <c:v>111</c:v>
                </c:pt>
                <c:pt idx="13">
                  <c:v>111</c:v>
                </c:pt>
                <c:pt idx="14">
                  <c:v>111</c:v>
                </c:pt>
                <c:pt idx="15">
                  <c:v>111</c:v>
                </c:pt>
                <c:pt idx="16">
                  <c:v>111</c:v>
                </c:pt>
                <c:pt idx="17">
                  <c:v>111</c:v>
                </c:pt>
                <c:pt idx="18">
                  <c:v>111</c:v>
                </c:pt>
                <c:pt idx="19">
                  <c:v>111</c:v>
                </c:pt>
                <c:pt idx="20">
                  <c:v>111</c:v>
                </c:pt>
              </c:numCache>
            </c:numRef>
          </c:yVal>
          <c:bubbleSize>
            <c:numRef>
              <c:f>'bub All'!$B$48:$V$48</c:f>
              <c:numCache>
                <c:formatCode>General</c:formatCode>
                <c:ptCount val="21"/>
                <c:pt idx="0">
                  <c:v>0</c:v>
                </c:pt>
                <c:pt idx="1">
                  <c:v>0</c:v>
                </c:pt>
                <c:pt idx="2">
                  <c:v>0</c:v>
                </c:pt>
                <c:pt idx="3">
                  <c:v>1</c:v>
                </c:pt>
                <c:pt idx="4">
                  <c:v>0</c:v>
                </c:pt>
                <c:pt idx="5">
                  <c:v>1</c:v>
                </c:pt>
                <c:pt idx="6">
                  <c:v>0</c:v>
                </c:pt>
                <c:pt idx="7">
                  <c:v>0</c:v>
                </c:pt>
                <c:pt idx="8">
                  <c:v>0</c:v>
                </c:pt>
                <c:pt idx="9">
                  <c:v>0</c:v>
                </c:pt>
                <c:pt idx="10">
                  <c:v>2</c:v>
                </c:pt>
                <c:pt idx="11">
                  <c:v>0</c:v>
                </c:pt>
                <c:pt idx="12">
                  <c:v>1</c:v>
                </c:pt>
                <c:pt idx="13">
                  <c:v>0</c:v>
                </c:pt>
                <c:pt idx="14">
                  <c:v>0</c:v>
                </c:pt>
                <c:pt idx="15">
                  <c:v>0</c:v>
                </c:pt>
                <c:pt idx="16">
                  <c:v>0</c:v>
                </c:pt>
                <c:pt idx="17">
                  <c:v>1</c:v>
                </c:pt>
                <c:pt idx="18">
                  <c:v>1</c:v>
                </c:pt>
                <c:pt idx="19">
                  <c:v>1</c:v>
                </c:pt>
                <c:pt idx="20">
                  <c:v>1</c:v>
                </c:pt>
              </c:numCache>
            </c:numRef>
          </c:bubbleSize>
          <c:bubble3D val="1"/>
        </c:ser>
        <c:ser>
          <c:idx val="11"/>
          <c:order val="11"/>
          <c:tx>
            <c:strRef>
              <c:f>'bub All'!$A$53</c:f>
              <c:strCache>
                <c:ptCount val="1"/>
                <c:pt idx="0">
                  <c:v>International relations</c:v>
                </c:pt>
              </c:strCache>
            </c:strRef>
          </c:tx>
          <c:spPr>
            <a:ln w="25400">
              <a:noFill/>
            </a:ln>
          </c:spPr>
          <c:xVal>
            <c:numRef>
              <c:f>'bub All'!$B$54:$V$54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All'!$B$53:$V$53</c:f>
              <c:numCache>
                <c:formatCode>General</c:formatCode>
                <c:ptCount val="2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numCache>
            </c:numRef>
          </c:yVal>
          <c:bubbleSize>
            <c:numRef>
              <c:f>'bub All'!$B$56:$V$56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12"/>
          <c:order val="12"/>
          <c:tx>
            <c:strRef>
              <c:f>'bub All'!$A$57</c:f>
              <c:strCache>
                <c:ptCount val="1"/>
                <c:pt idx="0">
                  <c:v>Law</c:v>
                </c:pt>
              </c:strCache>
            </c:strRef>
          </c:tx>
          <c:spPr>
            <a:ln w="25400">
              <a:noFill/>
            </a:ln>
          </c:spPr>
          <c:xVal>
            <c:numRef>
              <c:f>'bub All'!$B$58:$V$58</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All'!$B$57:$V$57</c:f>
              <c:numCache>
                <c:formatCode>General</c:formatCode>
                <c:ptCount val="21"/>
                <c:pt idx="0">
                  <c:v>114</c:v>
                </c:pt>
                <c:pt idx="1">
                  <c:v>114</c:v>
                </c:pt>
                <c:pt idx="2">
                  <c:v>114</c:v>
                </c:pt>
                <c:pt idx="3">
                  <c:v>114</c:v>
                </c:pt>
                <c:pt idx="4">
                  <c:v>114</c:v>
                </c:pt>
                <c:pt idx="5">
                  <c:v>114</c:v>
                </c:pt>
                <c:pt idx="6">
                  <c:v>114</c:v>
                </c:pt>
                <c:pt idx="7">
                  <c:v>114</c:v>
                </c:pt>
                <c:pt idx="8">
                  <c:v>114</c:v>
                </c:pt>
                <c:pt idx="9">
                  <c:v>114</c:v>
                </c:pt>
                <c:pt idx="10">
                  <c:v>114</c:v>
                </c:pt>
                <c:pt idx="11">
                  <c:v>114</c:v>
                </c:pt>
                <c:pt idx="12">
                  <c:v>114</c:v>
                </c:pt>
                <c:pt idx="13">
                  <c:v>114</c:v>
                </c:pt>
                <c:pt idx="14">
                  <c:v>114</c:v>
                </c:pt>
                <c:pt idx="15">
                  <c:v>114</c:v>
                </c:pt>
                <c:pt idx="16">
                  <c:v>114</c:v>
                </c:pt>
                <c:pt idx="17">
                  <c:v>114</c:v>
                </c:pt>
                <c:pt idx="18">
                  <c:v>114</c:v>
                </c:pt>
                <c:pt idx="19">
                  <c:v>114</c:v>
                </c:pt>
                <c:pt idx="20">
                  <c:v>114</c:v>
                </c:pt>
              </c:numCache>
            </c:numRef>
          </c:yVal>
          <c:bubbleSize>
            <c:numRef>
              <c:f>'bub All'!$B$60:$V$60</c:f>
              <c:numCache>
                <c:formatCode>General</c:formatCode>
                <c:ptCount val="21"/>
                <c:pt idx="0">
                  <c:v>1</c:v>
                </c:pt>
                <c:pt idx="1">
                  <c:v>0</c:v>
                </c:pt>
                <c:pt idx="2">
                  <c:v>3</c:v>
                </c:pt>
                <c:pt idx="3">
                  <c:v>2</c:v>
                </c:pt>
                <c:pt idx="4">
                  <c:v>1</c:v>
                </c:pt>
                <c:pt idx="5">
                  <c:v>4</c:v>
                </c:pt>
                <c:pt idx="6">
                  <c:v>2</c:v>
                </c:pt>
                <c:pt idx="7">
                  <c:v>0</c:v>
                </c:pt>
                <c:pt idx="8">
                  <c:v>2</c:v>
                </c:pt>
                <c:pt idx="9">
                  <c:v>1</c:v>
                </c:pt>
                <c:pt idx="10">
                  <c:v>2</c:v>
                </c:pt>
                <c:pt idx="11">
                  <c:v>0</c:v>
                </c:pt>
                <c:pt idx="12">
                  <c:v>0</c:v>
                </c:pt>
                <c:pt idx="13">
                  <c:v>2</c:v>
                </c:pt>
                <c:pt idx="14">
                  <c:v>0</c:v>
                </c:pt>
                <c:pt idx="15">
                  <c:v>2</c:v>
                </c:pt>
                <c:pt idx="16">
                  <c:v>1</c:v>
                </c:pt>
                <c:pt idx="17">
                  <c:v>0</c:v>
                </c:pt>
                <c:pt idx="18">
                  <c:v>0</c:v>
                </c:pt>
                <c:pt idx="19">
                  <c:v>0</c:v>
                </c:pt>
                <c:pt idx="20">
                  <c:v>0</c:v>
                </c:pt>
              </c:numCache>
            </c:numRef>
          </c:bubbleSize>
          <c:bubble3D val="1"/>
        </c:ser>
        <c:ser>
          <c:idx val="13"/>
          <c:order val="13"/>
          <c:tx>
            <c:strRef>
              <c:f>'bub All'!$A$61</c:f>
              <c:strCache>
                <c:ptCount val="1"/>
                <c:pt idx="0">
                  <c:v>Political science</c:v>
                </c:pt>
              </c:strCache>
            </c:strRef>
          </c:tx>
          <c:spPr>
            <a:ln w="25400">
              <a:noFill/>
            </a:ln>
          </c:spPr>
          <c:xVal>
            <c:numRef>
              <c:f>'bub All'!$B$62:$V$62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All'!$B$61:$V$61</c:f>
              <c:numCache>
                <c:formatCode>General</c:formatCode>
                <c:ptCount val="21"/>
                <c:pt idx="0">
                  <c:v>115</c:v>
                </c:pt>
                <c:pt idx="1">
                  <c:v>115</c:v>
                </c:pt>
                <c:pt idx="2">
                  <c:v>115</c:v>
                </c:pt>
                <c:pt idx="3">
                  <c:v>115</c:v>
                </c:pt>
                <c:pt idx="4">
                  <c:v>115</c:v>
                </c:pt>
                <c:pt idx="5">
                  <c:v>115</c:v>
                </c:pt>
                <c:pt idx="6">
                  <c:v>115</c:v>
                </c:pt>
                <c:pt idx="7">
                  <c:v>115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numCache>
            </c:numRef>
          </c:yVal>
          <c:bubbleSize>
            <c:numRef>
              <c:f>'bub All'!$B$64:$V$64</c:f>
              <c:numCache>
                <c:formatCode>General</c:formatCode>
                <c:ptCount val="21"/>
                <c:pt idx="0">
                  <c:v>1</c:v>
                </c:pt>
                <c:pt idx="1">
                  <c:v>1</c:v>
                </c:pt>
                <c:pt idx="2">
                  <c:v>0</c:v>
                </c:pt>
                <c:pt idx="3">
                  <c:v>0</c:v>
                </c:pt>
                <c:pt idx="4">
                  <c:v>0</c:v>
                </c:pt>
                <c:pt idx="5">
                  <c:v>0</c:v>
                </c:pt>
                <c:pt idx="6">
                  <c:v>0</c:v>
                </c:pt>
                <c:pt idx="7">
                  <c:v>0</c:v>
                </c:pt>
                <c:pt idx="8">
                  <c:v>0</c:v>
                </c:pt>
                <c:pt idx="9">
                  <c:v>1</c:v>
                </c:pt>
                <c:pt idx="10">
                  <c:v>0</c:v>
                </c:pt>
                <c:pt idx="11">
                  <c:v>0</c:v>
                </c:pt>
                <c:pt idx="12">
                  <c:v>0</c:v>
                </c:pt>
                <c:pt idx="13">
                  <c:v>1</c:v>
                </c:pt>
                <c:pt idx="14">
                  <c:v>0</c:v>
                </c:pt>
                <c:pt idx="15">
                  <c:v>0</c:v>
                </c:pt>
                <c:pt idx="16">
                  <c:v>0</c:v>
                </c:pt>
                <c:pt idx="17">
                  <c:v>0</c:v>
                </c:pt>
                <c:pt idx="18">
                  <c:v>0</c:v>
                </c:pt>
                <c:pt idx="19">
                  <c:v>0</c:v>
                </c:pt>
                <c:pt idx="20">
                  <c:v>0</c:v>
                </c:pt>
              </c:numCache>
            </c:numRef>
          </c:bubbleSize>
          <c:bubble3D val="1"/>
        </c:ser>
        <c:ser>
          <c:idx val="14"/>
          <c:order val="14"/>
          <c:tx>
            <c:strRef>
              <c:f>'bub All'!$A$65</c:f>
              <c:strCache>
                <c:ptCount val="1"/>
                <c:pt idx="0">
                  <c:v>Psychology</c:v>
                </c:pt>
              </c:strCache>
            </c:strRef>
          </c:tx>
          <c:spPr>
            <a:ln w="25400">
              <a:noFill/>
            </a:ln>
          </c:spPr>
          <c:xVal>
            <c:numRef>
              <c:f>'bub All'!$B$66:$V$66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All'!$B$65:$V$65</c:f>
              <c:numCache>
                <c:formatCode>General</c:formatCode>
                <c:ptCount val="21"/>
                <c:pt idx="0">
                  <c:v>116</c:v>
                </c:pt>
                <c:pt idx="1">
                  <c:v>116</c:v>
                </c:pt>
                <c:pt idx="2">
                  <c:v>116</c:v>
                </c:pt>
                <c:pt idx="3">
                  <c:v>116</c:v>
                </c:pt>
                <c:pt idx="4">
                  <c:v>116</c:v>
                </c:pt>
                <c:pt idx="5">
                  <c:v>116</c:v>
                </c:pt>
                <c:pt idx="6">
                  <c:v>116</c:v>
                </c:pt>
                <c:pt idx="7">
                  <c:v>116</c:v>
                </c:pt>
                <c:pt idx="8">
                  <c:v>116</c:v>
                </c:pt>
                <c:pt idx="9">
                  <c:v>116</c:v>
                </c:pt>
                <c:pt idx="10">
                  <c:v>116</c:v>
                </c:pt>
                <c:pt idx="11">
                  <c:v>116</c:v>
                </c:pt>
                <c:pt idx="12">
                  <c:v>116</c:v>
                </c:pt>
                <c:pt idx="13">
                  <c:v>116</c:v>
                </c:pt>
                <c:pt idx="14">
                  <c:v>116</c:v>
                </c:pt>
                <c:pt idx="15">
                  <c:v>116</c:v>
                </c:pt>
                <c:pt idx="16">
                  <c:v>116</c:v>
                </c:pt>
                <c:pt idx="17">
                  <c:v>116</c:v>
                </c:pt>
                <c:pt idx="18">
                  <c:v>116</c:v>
                </c:pt>
                <c:pt idx="19">
                  <c:v>116</c:v>
                </c:pt>
                <c:pt idx="20">
                  <c:v>116</c:v>
                </c:pt>
              </c:numCache>
            </c:numRef>
          </c:yVal>
          <c:bubbleSize>
            <c:numRef>
              <c:f>'bub All'!$B$68:$V$68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15"/>
          <c:order val="15"/>
          <c:tx>
            <c:strRef>
              <c:f>'bub All'!$A$69</c:f>
              <c:strCache>
                <c:ptCount val="1"/>
                <c:pt idx="0">
                  <c:v>Public health</c:v>
                </c:pt>
              </c:strCache>
            </c:strRef>
          </c:tx>
          <c:spPr>
            <a:ln w="25400">
              <a:noFill/>
            </a:ln>
          </c:spPr>
          <c:xVal>
            <c:numRef>
              <c:f>'bub All'!$B$70:$V$70</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All'!$B$69:$V$69</c:f>
              <c:numCache>
                <c:formatCode>General</c:formatCode>
                <c:ptCount val="21"/>
                <c:pt idx="0">
                  <c:v>117</c:v>
                </c:pt>
                <c:pt idx="1">
                  <c:v>117</c:v>
                </c:pt>
                <c:pt idx="2">
                  <c:v>117</c:v>
                </c:pt>
                <c:pt idx="3">
                  <c:v>117</c:v>
                </c:pt>
                <c:pt idx="4">
                  <c:v>117</c:v>
                </c:pt>
                <c:pt idx="5">
                  <c:v>117</c:v>
                </c:pt>
                <c:pt idx="6">
                  <c:v>117</c:v>
                </c:pt>
                <c:pt idx="7">
                  <c:v>117</c:v>
                </c:pt>
                <c:pt idx="8">
                  <c:v>117</c:v>
                </c:pt>
                <c:pt idx="9">
                  <c:v>117</c:v>
                </c:pt>
                <c:pt idx="10">
                  <c:v>117</c:v>
                </c:pt>
                <c:pt idx="11">
                  <c:v>117</c:v>
                </c:pt>
                <c:pt idx="12">
                  <c:v>117</c:v>
                </c:pt>
                <c:pt idx="13">
                  <c:v>117</c:v>
                </c:pt>
                <c:pt idx="14">
                  <c:v>117</c:v>
                </c:pt>
                <c:pt idx="15">
                  <c:v>117</c:v>
                </c:pt>
                <c:pt idx="16">
                  <c:v>117</c:v>
                </c:pt>
                <c:pt idx="17">
                  <c:v>117</c:v>
                </c:pt>
                <c:pt idx="18">
                  <c:v>117</c:v>
                </c:pt>
                <c:pt idx="19">
                  <c:v>117</c:v>
                </c:pt>
                <c:pt idx="20">
                  <c:v>117</c:v>
                </c:pt>
              </c:numCache>
            </c:numRef>
          </c:yVal>
          <c:bubbleSize>
            <c:numRef>
              <c:f>'bub All'!$B$72:$V$72</c:f>
              <c:numCache>
                <c:formatCode>General</c:formatCode>
                <c:ptCount val="21"/>
                <c:pt idx="0">
                  <c:v>0</c:v>
                </c:pt>
                <c:pt idx="1">
                  <c:v>0</c:v>
                </c:pt>
                <c:pt idx="2">
                  <c:v>0</c:v>
                </c:pt>
                <c:pt idx="3">
                  <c:v>2</c:v>
                </c:pt>
                <c:pt idx="4">
                  <c:v>1</c:v>
                </c:pt>
                <c:pt idx="5">
                  <c:v>1</c:v>
                </c:pt>
                <c:pt idx="6">
                  <c:v>0</c:v>
                </c:pt>
                <c:pt idx="7">
                  <c:v>3</c:v>
                </c:pt>
                <c:pt idx="8">
                  <c:v>0</c:v>
                </c:pt>
                <c:pt idx="9">
                  <c:v>0</c:v>
                </c:pt>
                <c:pt idx="10">
                  <c:v>1</c:v>
                </c:pt>
                <c:pt idx="11">
                  <c:v>0</c:v>
                </c:pt>
                <c:pt idx="12">
                  <c:v>1</c:v>
                </c:pt>
                <c:pt idx="13">
                  <c:v>0</c:v>
                </c:pt>
                <c:pt idx="14">
                  <c:v>2</c:v>
                </c:pt>
                <c:pt idx="15">
                  <c:v>3</c:v>
                </c:pt>
                <c:pt idx="16">
                  <c:v>2</c:v>
                </c:pt>
                <c:pt idx="17">
                  <c:v>0</c:v>
                </c:pt>
                <c:pt idx="18">
                  <c:v>2</c:v>
                </c:pt>
                <c:pt idx="19">
                  <c:v>0</c:v>
                </c:pt>
                <c:pt idx="20">
                  <c:v>0</c:v>
                </c:pt>
              </c:numCache>
            </c:numRef>
          </c:bubbleSize>
          <c:bubble3D val="1"/>
        </c:ser>
        <c:ser>
          <c:idx val="16"/>
          <c:order val="16"/>
          <c:tx>
            <c:strRef>
              <c:f>'bub All'!$A$73</c:f>
              <c:strCache>
                <c:ptCount val="1"/>
                <c:pt idx="0">
                  <c:v>Sociology</c:v>
                </c:pt>
              </c:strCache>
            </c:strRef>
          </c:tx>
          <c:spPr>
            <a:ln w="25400">
              <a:noFill/>
            </a:ln>
          </c:spPr>
          <c:xVal>
            <c:numRef>
              <c:f>'bub All'!$B$74:$V$74</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All'!$B$73:$V$73</c:f>
              <c:numCache>
                <c:formatCode>General</c:formatCode>
                <c:ptCount val="21"/>
                <c:pt idx="0">
                  <c:v>118</c:v>
                </c:pt>
                <c:pt idx="1">
                  <c:v>118</c:v>
                </c:pt>
                <c:pt idx="2">
                  <c:v>118</c:v>
                </c:pt>
                <c:pt idx="3">
                  <c:v>118</c:v>
                </c:pt>
                <c:pt idx="4">
                  <c:v>118</c:v>
                </c:pt>
                <c:pt idx="5">
                  <c:v>118</c:v>
                </c:pt>
                <c:pt idx="6">
                  <c:v>118</c:v>
                </c:pt>
                <c:pt idx="7">
                  <c:v>118</c:v>
                </c:pt>
                <c:pt idx="8">
                  <c:v>118</c:v>
                </c:pt>
                <c:pt idx="9">
                  <c:v>118</c:v>
                </c:pt>
                <c:pt idx="10">
                  <c:v>118</c:v>
                </c:pt>
                <c:pt idx="11">
                  <c:v>118</c:v>
                </c:pt>
                <c:pt idx="12">
                  <c:v>118</c:v>
                </c:pt>
                <c:pt idx="13">
                  <c:v>118</c:v>
                </c:pt>
                <c:pt idx="14">
                  <c:v>118</c:v>
                </c:pt>
                <c:pt idx="15">
                  <c:v>118</c:v>
                </c:pt>
                <c:pt idx="16">
                  <c:v>118</c:v>
                </c:pt>
                <c:pt idx="17">
                  <c:v>118</c:v>
                </c:pt>
                <c:pt idx="18">
                  <c:v>118</c:v>
                </c:pt>
                <c:pt idx="19">
                  <c:v>118</c:v>
                </c:pt>
                <c:pt idx="20">
                  <c:v>118</c:v>
                </c:pt>
              </c:numCache>
            </c:numRef>
          </c:yVal>
          <c:bubbleSize>
            <c:numRef>
              <c:f>'bub All'!$B$76:$V$76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17"/>
          <c:order val="17"/>
          <c:tx>
            <c:strRef>
              <c:f>'bub All'!$A$77</c:f>
              <c:strCache>
                <c:ptCount val="1"/>
                <c:pt idx="0">
                  <c:v>SOM</c:v>
                </c:pt>
              </c:strCache>
            </c:strRef>
          </c:tx>
          <c:spPr>
            <a:ln w="25400">
              <a:noFill/>
            </a:ln>
          </c:spPr>
          <c:dLbls>
            <c:dLbl>
              <c:idx val="0"/>
              <c:layout>
                <c:manualLayout>
                  <c:x val="-0.13225013964842741"/>
                  <c:y val="0.55464386770275487"/>
                </c:manualLayout>
              </c:layout>
              <c:tx>
                <c:rich>
                  <a:bodyPr/>
                  <a:lstStyle/>
                  <a:p>
                    <a:r>
                      <a:rPr lang="en-US" sz="1400" b="1"/>
                      <a:t>Architecture</a:t>
                    </a:r>
                  </a:p>
                </c:rich>
              </c:tx>
              <c:dLblPos val="r"/>
              <c:showVal val="1"/>
            </c:dLbl>
            <c:dLbl>
              <c:idx val="1"/>
              <c:layout>
                <c:manualLayout>
                  <c:x val="-0.16454683732555492"/>
                  <c:y val="0.40909541109688707"/>
                </c:manualLayout>
              </c:layout>
              <c:tx>
                <c:rich>
                  <a:bodyPr/>
                  <a:lstStyle/>
                  <a:p>
                    <a:r>
                      <a:rPr lang="en-US" sz="1400" b="1"/>
                      <a:t>Engineering</a:t>
                    </a:r>
                  </a:p>
                </c:rich>
              </c:tx>
              <c:dLblPos val="r"/>
              <c:showVal val="1"/>
            </c:dLbl>
            <c:delete val="1"/>
          </c:dLbls>
          <c:xVal>
            <c:numRef>
              <c:f>'bub All'!$B$78:$V$78</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All'!$B$77:$V$77</c:f>
              <c:numCache>
                <c:formatCode>General</c:formatCode>
                <c:ptCount val="21"/>
                <c:pt idx="0">
                  <c:v>119</c:v>
                </c:pt>
                <c:pt idx="1">
                  <c:v>119</c:v>
                </c:pt>
                <c:pt idx="2">
                  <c:v>119</c:v>
                </c:pt>
                <c:pt idx="3">
                  <c:v>119</c:v>
                </c:pt>
                <c:pt idx="4">
                  <c:v>119</c:v>
                </c:pt>
                <c:pt idx="5">
                  <c:v>119</c:v>
                </c:pt>
                <c:pt idx="6">
                  <c:v>119</c:v>
                </c:pt>
                <c:pt idx="7">
                  <c:v>119</c:v>
                </c:pt>
                <c:pt idx="8">
                  <c:v>119</c:v>
                </c:pt>
                <c:pt idx="9">
                  <c:v>119</c:v>
                </c:pt>
                <c:pt idx="10">
                  <c:v>119</c:v>
                </c:pt>
                <c:pt idx="11">
                  <c:v>119</c:v>
                </c:pt>
                <c:pt idx="12">
                  <c:v>119</c:v>
                </c:pt>
                <c:pt idx="13">
                  <c:v>119</c:v>
                </c:pt>
                <c:pt idx="14">
                  <c:v>119</c:v>
                </c:pt>
                <c:pt idx="15">
                  <c:v>119</c:v>
                </c:pt>
                <c:pt idx="16">
                  <c:v>119</c:v>
                </c:pt>
                <c:pt idx="17">
                  <c:v>119</c:v>
                </c:pt>
                <c:pt idx="18">
                  <c:v>119</c:v>
                </c:pt>
                <c:pt idx="19">
                  <c:v>119</c:v>
                </c:pt>
                <c:pt idx="20">
                  <c:v>119</c:v>
                </c:pt>
              </c:numCache>
            </c:numRef>
          </c:yVal>
          <c:bubbleSize>
            <c:numRef>
              <c:f>'bub All'!$B$80:$V$80</c:f>
              <c:numCache>
                <c:formatCode>General</c:formatCode>
                <c:ptCount val="21"/>
                <c:pt idx="0">
                  <c:v>5</c:v>
                </c:pt>
                <c:pt idx="1">
                  <c:v>12</c:v>
                </c:pt>
                <c:pt idx="2">
                  <c:v>7</c:v>
                </c:pt>
                <c:pt idx="3">
                  <c:v>4</c:v>
                </c:pt>
                <c:pt idx="4">
                  <c:v>4</c:v>
                </c:pt>
                <c:pt idx="5">
                  <c:v>1</c:v>
                </c:pt>
                <c:pt idx="6">
                  <c:v>1</c:v>
                </c:pt>
                <c:pt idx="7">
                  <c:v>0</c:v>
                </c:pt>
                <c:pt idx="8">
                  <c:v>0</c:v>
                </c:pt>
                <c:pt idx="9">
                  <c:v>8</c:v>
                </c:pt>
                <c:pt idx="10">
                  <c:v>5</c:v>
                </c:pt>
                <c:pt idx="11">
                  <c:v>0</c:v>
                </c:pt>
                <c:pt idx="12">
                  <c:v>2</c:v>
                </c:pt>
                <c:pt idx="13">
                  <c:v>8</c:v>
                </c:pt>
                <c:pt idx="14">
                  <c:v>0</c:v>
                </c:pt>
                <c:pt idx="15">
                  <c:v>0</c:v>
                </c:pt>
                <c:pt idx="16">
                  <c:v>0</c:v>
                </c:pt>
                <c:pt idx="17">
                  <c:v>0</c:v>
                </c:pt>
                <c:pt idx="18">
                  <c:v>0</c:v>
                </c:pt>
                <c:pt idx="19">
                  <c:v>0</c:v>
                </c:pt>
                <c:pt idx="20">
                  <c:v>0</c:v>
                </c:pt>
              </c:numCache>
            </c:numRef>
          </c:bubbleSize>
          <c:bubble3D val="1"/>
        </c:ser>
        <c:ser>
          <c:idx val="18"/>
          <c:order val="18"/>
          <c:tx>
            <c:strRef>
              <c:f>'bub All'!$A$81</c:f>
              <c:strCache>
                <c:ptCount val="1"/>
                <c:pt idx="0">
                  <c:v>South asian studies</c:v>
                </c:pt>
              </c:strCache>
            </c:strRef>
          </c:tx>
          <c:spPr>
            <a:ln w="25400">
              <a:noFill/>
            </a:ln>
          </c:spPr>
          <c:dLbls>
            <c:dLbl>
              <c:idx val="3"/>
              <c:tx>
                <c:rich>
                  <a:bodyPr/>
                  <a:lstStyle/>
                  <a:p>
                    <a:r>
                      <a:t>Architecture</a:t>
                    </a:r>
                  </a:p>
                </c:rich>
              </c:tx>
              <c:dLblPos val="t"/>
              <c:showVal val="1"/>
            </c:dLbl>
            <c:delete val="1"/>
          </c:dLbls>
          <c:xVal>
            <c:numRef>
              <c:f>'bub All'!$B$82:$V$82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All'!$B$81:$V$81</c:f>
              <c:numCache>
                <c:formatCode>General</c:formatCode>
                <c:ptCount val="21"/>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numCache>
            </c:numRef>
          </c:yVal>
          <c:bubbleSize>
            <c:numRef>
              <c:f>'bub All'!$B$84:$V$84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19"/>
          <c:order val="19"/>
          <c:tx>
            <c:strRef>
              <c:f>'bub All'!$A$85</c:f>
              <c:strCache>
                <c:ptCount val="1"/>
                <c:pt idx="0">
                  <c:v>Women's, gender, and sexuality studies</c:v>
                </c:pt>
              </c:strCache>
            </c:strRef>
          </c:tx>
          <c:spPr>
            <a:ln w="25400">
              <a:noFill/>
            </a:ln>
          </c:spPr>
          <c:xVal>
            <c:numRef>
              <c:f>'bub All'!$B$86:$V$86</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 All'!$B$85:$V$85</c:f>
              <c:numCache>
                <c:formatCode>General</c:formatCode>
                <c:ptCount val="21"/>
                <c:pt idx="0">
                  <c:v>121</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numCache>
            </c:numRef>
          </c:yVal>
          <c:bubbleSize>
            <c:numRef>
              <c:f>'bub All'!$B$88:$V$88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bubbleScale val="30"/>
        <c:axId val="160693248"/>
        <c:axId val="160801536"/>
      </c:bubbleChart>
      <c:valAx>
        <c:axId val="160693248"/>
        <c:scaling>
          <c:orientation val="minMax"/>
          <c:max val="31"/>
          <c:min val="9"/>
        </c:scaling>
        <c:axPos val="b"/>
        <c:majorGridlines>
          <c:spPr>
            <a:ln>
              <a:prstDash val="sysDot"/>
            </a:ln>
          </c:spPr>
        </c:majorGridlines>
        <c:numFmt formatCode="General" sourceLinked="1"/>
        <c:tickLblPos val="none"/>
        <c:txPr>
          <a:bodyPr/>
          <a:lstStyle/>
          <a:p>
            <a:pPr>
              <a:defRPr sz="1200"/>
            </a:pPr>
            <a:endParaRPr lang="en-US"/>
          </a:p>
        </c:txPr>
        <c:crossAx val="160801536"/>
        <c:crosses val="autoZero"/>
        <c:crossBetween val="midCat"/>
        <c:majorUnit val="1"/>
      </c:valAx>
      <c:valAx>
        <c:axId val="160801536"/>
        <c:scaling>
          <c:orientation val="minMax"/>
          <c:max val="120"/>
          <c:min val="99"/>
        </c:scaling>
        <c:axPos val="l"/>
        <c:majorGridlines>
          <c:spPr>
            <a:ln>
              <a:prstDash val="sysDot"/>
            </a:ln>
          </c:spPr>
        </c:majorGridlines>
        <c:numFmt formatCode="General" sourceLinked="1"/>
        <c:tickLblPos val="none"/>
        <c:txPr>
          <a:bodyPr/>
          <a:lstStyle/>
          <a:p>
            <a:pPr>
              <a:defRPr sz="1200"/>
            </a:pPr>
            <a:endParaRPr lang="en-US"/>
          </a:p>
        </c:txPr>
        <c:crossAx val="160693248"/>
        <c:crosses val="autoZero"/>
        <c:crossBetween val="midCat"/>
        <c:majorUnit val="1"/>
        <c:minorUnit val="1"/>
      </c:valAx>
    </c:plotArea>
    <c:plotVisOnly val="1"/>
  </c:chart>
  <c:printSettings>
    <c:headerFooter/>
    <c:pageMargins b="0.75000000000001166" l="0.70000000000000062" r="0.70000000000000062" t="0.75000000000001166"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325221878706941"/>
          <c:y val="6.620477960658315E-2"/>
          <c:w val="0.8214677287045995"/>
          <c:h val="0.32383202430489955"/>
        </c:manualLayout>
      </c:layout>
      <c:bubbleChart>
        <c:ser>
          <c:idx val="3"/>
          <c:order val="0"/>
          <c:tx>
            <c:strRef>
              <c:f>'bub-Top5-Rank 1-3'!$A$1</c:f>
              <c:strCache>
                <c:ptCount val="1"/>
                <c:pt idx="0">
                  <c:v>Biology</c:v>
                </c:pt>
              </c:strCache>
            </c:strRef>
          </c:tx>
          <c:spPr>
            <a:ln w="25400">
              <a:noFill/>
            </a:ln>
          </c:spPr>
          <c:xVal>
            <c:numRef>
              <c:f>'bub-Top5-Rank 1-3'!$B$2:$V$2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1-3'!$B$1:$V$1</c:f>
              <c:numCache>
                <c:formatCode>General</c:formatCode>
                <c:ptCount val="21"/>
                <c:pt idx="0">
                  <c:v>103</c:v>
                </c:pt>
                <c:pt idx="1">
                  <c:v>103</c:v>
                </c:pt>
                <c:pt idx="2">
                  <c:v>103</c:v>
                </c:pt>
                <c:pt idx="3">
                  <c:v>103</c:v>
                </c:pt>
                <c:pt idx="4">
                  <c:v>103</c:v>
                </c:pt>
                <c:pt idx="5">
                  <c:v>103</c:v>
                </c:pt>
                <c:pt idx="6">
                  <c:v>103</c:v>
                </c:pt>
                <c:pt idx="7">
                  <c:v>103</c:v>
                </c:pt>
                <c:pt idx="8">
                  <c:v>103</c:v>
                </c:pt>
                <c:pt idx="9">
                  <c:v>103</c:v>
                </c:pt>
                <c:pt idx="10">
                  <c:v>103</c:v>
                </c:pt>
                <c:pt idx="11">
                  <c:v>103</c:v>
                </c:pt>
                <c:pt idx="12">
                  <c:v>103</c:v>
                </c:pt>
                <c:pt idx="13">
                  <c:v>103</c:v>
                </c:pt>
                <c:pt idx="14">
                  <c:v>103</c:v>
                </c:pt>
                <c:pt idx="15">
                  <c:v>103</c:v>
                </c:pt>
                <c:pt idx="16">
                  <c:v>103</c:v>
                </c:pt>
                <c:pt idx="17">
                  <c:v>103</c:v>
                </c:pt>
                <c:pt idx="18">
                  <c:v>103</c:v>
                </c:pt>
                <c:pt idx="19">
                  <c:v>103</c:v>
                </c:pt>
                <c:pt idx="20">
                  <c:v>103</c:v>
                </c:pt>
              </c:numCache>
            </c:numRef>
          </c:yVal>
          <c:bubbleSize>
            <c:numRef>
              <c:f>'bub-Top5-Rank 1-3'!$B$3:$V$3</c:f>
              <c:numCache>
                <c:formatCode>General</c:formatCode>
                <c:ptCount val="21"/>
                <c:pt idx="0">
                  <c:v>0</c:v>
                </c:pt>
                <c:pt idx="1">
                  <c:v>0</c:v>
                </c:pt>
                <c:pt idx="2">
                  <c:v>0</c:v>
                </c:pt>
                <c:pt idx="3">
                  <c:v>3</c:v>
                </c:pt>
                <c:pt idx="4">
                  <c:v>1</c:v>
                </c:pt>
                <c:pt idx="5">
                  <c:v>2</c:v>
                </c:pt>
                <c:pt idx="6">
                  <c:v>0</c:v>
                </c:pt>
                <c:pt idx="7">
                  <c:v>1</c:v>
                </c:pt>
                <c:pt idx="8">
                  <c:v>0</c:v>
                </c:pt>
                <c:pt idx="9">
                  <c:v>0</c:v>
                </c:pt>
                <c:pt idx="10">
                  <c:v>1</c:v>
                </c:pt>
                <c:pt idx="11">
                  <c:v>0</c:v>
                </c:pt>
                <c:pt idx="12">
                  <c:v>14</c:v>
                </c:pt>
                <c:pt idx="13">
                  <c:v>2</c:v>
                </c:pt>
                <c:pt idx="14">
                  <c:v>2</c:v>
                </c:pt>
                <c:pt idx="15">
                  <c:v>1</c:v>
                </c:pt>
                <c:pt idx="16">
                  <c:v>2</c:v>
                </c:pt>
                <c:pt idx="17">
                  <c:v>5</c:v>
                </c:pt>
                <c:pt idx="18">
                  <c:v>3</c:v>
                </c:pt>
                <c:pt idx="19">
                  <c:v>15</c:v>
                </c:pt>
                <c:pt idx="20">
                  <c:v>5</c:v>
                </c:pt>
              </c:numCache>
            </c:numRef>
          </c:bubbleSize>
          <c:bubble3D val="1"/>
        </c:ser>
        <c:ser>
          <c:idx val="5"/>
          <c:order val="1"/>
          <c:tx>
            <c:strRef>
              <c:f>'bub-Top5-Rank 1-3'!$A$6</c:f>
              <c:strCache>
                <c:ptCount val="1"/>
                <c:pt idx="0">
                  <c:v>Economics</c:v>
                </c:pt>
              </c:strCache>
            </c:strRef>
          </c:tx>
          <c:spPr>
            <a:ln w="25400">
              <a:noFill/>
            </a:ln>
          </c:spPr>
          <c:xVal>
            <c:numRef>
              <c:f>'bub-Top5-Rank 1-3'!$B$7:$V$7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1-3'!$B$6:$V$6</c:f>
              <c:numCache>
                <c:formatCode>General</c:formatCode>
                <c:ptCount val="21"/>
                <c:pt idx="0">
                  <c:v>104</c:v>
                </c:pt>
                <c:pt idx="1">
                  <c:v>104</c:v>
                </c:pt>
                <c:pt idx="2">
                  <c:v>104</c:v>
                </c:pt>
                <c:pt idx="3">
                  <c:v>104</c:v>
                </c:pt>
                <c:pt idx="4">
                  <c:v>104</c:v>
                </c:pt>
                <c:pt idx="5">
                  <c:v>104</c:v>
                </c:pt>
                <c:pt idx="6">
                  <c:v>104</c:v>
                </c:pt>
                <c:pt idx="7">
                  <c:v>104</c:v>
                </c:pt>
                <c:pt idx="8">
                  <c:v>104</c:v>
                </c:pt>
                <c:pt idx="9">
                  <c:v>104</c:v>
                </c:pt>
                <c:pt idx="10">
                  <c:v>104</c:v>
                </c:pt>
                <c:pt idx="11">
                  <c:v>104</c:v>
                </c:pt>
                <c:pt idx="12">
                  <c:v>104</c:v>
                </c:pt>
                <c:pt idx="13">
                  <c:v>104</c:v>
                </c:pt>
                <c:pt idx="14">
                  <c:v>104</c:v>
                </c:pt>
                <c:pt idx="15">
                  <c:v>104</c:v>
                </c:pt>
                <c:pt idx="16">
                  <c:v>104</c:v>
                </c:pt>
                <c:pt idx="17">
                  <c:v>104</c:v>
                </c:pt>
                <c:pt idx="18">
                  <c:v>104</c:v>
                </c:pt>
                <c:pt idx="19">
                  <c:v>104</c:v>
                </c:pt>
                <c:pt idx="20">
                  <c:v>104</c:v>
                </c:pt>
              </c:numCache>
            </c:numRef>
          </c:yVal>
          <c:bubbleSize>
            <c:numRef>
              <c:f>'bub-Top5-Rank 1-3'!$B$8:$V$8</c:f>
              <c:numCache>
                <c:formatCode>General</c:formatCode>
                <c:ptCount val="21"/>
                <c:pt idx="0">
                  <c:v>3</c:v>
                </c:pt>
                <c:pt idx="1">
                  <c:v>1</c:v>
                </c:pt>
                <c:pt idx="2">
                  <c:v>11</c:v>
                </c:pt>
                <c:pt idx="3">
                  <c:v>5</c:v>
                </c:pt>
                <c:pt idx="4">
                  <c:v>2</c:v>
                </c:pt>
                <c:pt idx="5">
                  <c:v>16</c:v>
                </c:pt>
                <c:pt idx="6">
                  <c:v>37</c:v>
                </c:pt>
                <c:pt idx="7">
                  <c:v>2</c:v>
                </c:pt>
                <c:pt idx="8">
                  <c:v>0</c:v>
                </c:pt>
                <c:pt idx="9">
                  <c:v>2</c:v>
                </c:pt>
                <c:pt idx="10">
                  <c:v>1</c:v>
                </c:pt>
                <c:pt idx="11">
                  <c:v>0</c:v>
                </c:pt>
                <c:pt idx="12">
                  <c:v>5</c:v>
                </c:pt>
                <c:pt idx="13">
                  <c:v>19</c:v>
                </c:pt>
                <c:pt idx="14">
                  <c:v>0</c:v>
                </c:pt>
                <c:pt idx="15">
                  <c:v>3</c:v>
                </c:pt>
                <c:pt idx="16">
                  <c:v>3</c:v>
                </c:pt>
                <c:pt idx="17">
                  <c:v>1</c:v>
                </c:pt>
                <c:pt idx="18">
                  <c:v>2</c:v>
                </c:pt>
                <c:pt idx="19">
                  <c:v>2</c:v>
                </c:pt>
                <c:pt idx="20">
                  <c:v>2</c:v>
                </c:pt>
              </c:numCache>
            </c:numRef>
          </c:bubbleSize>
          <c:bubble3D val="1"/>
        </c:ser>
        <c:ser>
          <c:idx val="7"/>
          <c:order val="2"/>
          <c:tx>
            <c:strRef>
              <c:f>'bub-Top5-Rank 1-3'!$A$11</c:f>
              <c:strCache>
                <c:ptCount val="1"/>
                <c:pt idx="0">
                  <c:v>Environmental studies</c:v>
                </c:pt>
              </c:strCache>
            </c:strRef>
          </c:tx>
          <c:spPr>
            <a:ln w="25400">
              <a:noFill/>
            </a:ln>
          </c:spPr>
          <c:dLbls>
            <c:dLbl>
              <c:idx val="0"/>
              <c:delete val="1"/>
            </c:dLbl>
            <c:dLbl>
              <c:idx val="1"/>
              <c:delete val="1"/>
            </c:dLbl>
            <c:dLbl>
              <c:idx val="2"/>
              <c:layout>
                <c:manualLayout>
                  <c:x val="-0.29199618233406277"/>
                  <c:y val="0"/>
                </c:manualLayout>
              </c:layout>
              <c:tx>
                <c:strRef>
                  <c:f>All!$C$423</c:f>
                  <c:strCache>
                    <c:ptCount val="1"/>
                    <c:pt idx="0">
                      <c:v>Architecture</c:v>
                    </c:pt>
                  </c:strCache>
                </c:strRef>
              </c:tx>
              <c:dLblPos val="r"/>
              <c:showVal val="1"/>
            </c:dLbl>
            <c:dLbl>
              <c:idx val="3"/>
              <c:layout>
                <c:manualLayout>
                  <c:x val="-0.23431723717032979"/>
                  <c:y val="9.6801624336112196E-2"/>
                </c:manualLayout>
              </c:layout>
              <c:tx>
                <c:strRef>
                  <c:f>All!$C$424</c:f>
                  <c:strCache>
                    <c:ptCount val="1"/>
                    <c:pt idx="0">
                      <c:v>Biology</c:v>
                    </c:pt>
                  </c:strCache>
                </c:strRef>
              </c:tx>
              <c:dLblPos val="r"/>
              <c:showVal val="1"/>
            </c:dLbl>
            <c:dLbl>
              <c:idx val="4"/>
              <c:delete val="1"/>
            </c:dLbl>
            <c:dLbl>
              <c:idx val="5"/>
              <c:layout>
                <c:manualLayout>
                  <c:x val="-0.32535963722755828"/>
                  <c:y val="4.5628816665039346E-2"/>
                </c:manualLayout>
              </c:layout>
              <c:tx>
                <c:strRef>
                  <c:f>All!$C$427</c:f>
                  <c:strCache>
                    <c:ptCount val="1"/>
                    <c:pt idx="0">
                      <c:v>Economics</c:v>
                    </c:pt>
                  </c:strCache>
                </c:strRef>
              </c:tx>
              <c:dLblPos val="r"/>
              <c:showVal val="1"/>
            </c:dLbl>
            <c:dLbl>
              <c:idx val="6"/>
              <c:layout>
                <c:manualLayout>
                  <c:x val="-0.44253373516929528"/>
                  <c:y val="0"/>
                </c:manualLayout>
              </c:layout>
              <c:tx>
                <c:strRef>
                  <c:f>All!$C$428</c:f>
                  <c:strCache>
                    <c:ptCount val="1"/>
                    <c:pt idx="0">
                      <c:v>Engineering</c:v>
                    </c:pt>
                  </c:strCache>
                </c:strRef>
              </c:tx>
              <c:dLblPos val="r"/>
              <c:showVal val="1"/>
            </c:dLbl>
            <c:dLbl>
              <c:idx val="7"/>
              <c:layout>
                <c:manualLayout>
                  <c:x val="-0.41534465920043601"/>
                  <c:y val="-9.2661252670281217E-4"/>
                </c:manualLayout>
              </c:layout>
              <c:tx>
                <c:rich>
                  <a:bodyPr/>
                  <a:lstStyle/>
                  <a:p>
                    <a:r>
                      <a:rPr lang="en-US" sz="2000"/>
                      <a:t>Environmental </a:t>
                    </a:r>
                  </a:p>
                  <a:p>
                    <a:r>
                      <a:rPr lang="en-US" sz="2000"/>
                      <a:t>s</a:t>
                    </a:r>
                    <a:r>
                      <a:rPr lang="en-US" sz="2000" b="1" i="0" u="none" strike="noStrike" baseline="0"/>
                      <a:t>t</a:t>
                    </a:r>
                    <a:r>
                      <a:rPr lang="en-US" sz="2000"/>
                      <a:t>udies</a:t>
                    </a:r>
                  </a:p>
                </c:rich>
              </c:tx>
              <c:dLblPos val="r"/>
              <c:showVal val="1"/>
            </c:dLbl>
            <c:dLbl>
              <c:idx val="8"/>
              <c:layout>
                <c:manualLayout>
                  <c:x val="-0.38555676550730106"/>
                  <c:y val="-4.6909886270505845E-2"/>
                </c:manualLayout>
              </c:layout>
              <c:tx>
                <c:strRef>
                  <c:f>All!$C$430</c:f>
                  <c:strCache>
                    <c:ptCount val="1"/>
                    <c:pt idx="0">
                      <c:v>FES</c:v>
                    </c:pt>
                  </c:strCache>
                </c:strRef>
              </c:tx>
              <c:dLblPos val="r"/>
              <c:showVal val="1"/>
            </c:dLbl>
            <c:dLbl>
              <c:idx val="9"/>
              <c:delete val="1"/>
            </c:dLbl>
            <c:dLbl>
              <c:idx val="10"/>
              <c:delete val="1"/>
            </c:dLbl>
            <c:dLbl>
              <c:idx val="11"/>
              <c:delete val="1"/>
            </c:dLbl>
            <c:dLbl>
              <c:idx val="12"/>
              <c:delete val="1"/>
            </c:dLbl>
            <c:dLbl>
              <c:idx val="13"/>
              <c:delete val="1"/>
            </c:dLbl>
            <c:dLbl>
              <c:idx val="14"/>
              <c:layout>
                <c:manualLayout>
                  <c:x val="-0.62312273577951582"/>
                  <c:y val="-0.13787455698940637"/>
                </c:manualLayout>
              </c:layout>
              <c:tx>
                <c:rich>
                  <a:bodyPr/>
                  <a:lstStyle/>
                  <a:p>
                    <a:r>
                      <a:rPr lang="en-US" sz="2000"/>
                      <a:t>Other</a:t>
                    </a:r>
                  </a:p>
                </c:rich>
              </c:tx>
              <c:dLblPos val="r"/>
              <c:showVal val="1"/>
            </c:dLbl>
            <c:dLbl>
              <c:idx val="15"/>
              <c:delete val="1"/>
            </c:dLbl>
            <c:dLbl>
              <c:idx val="16"/>
              <c:delete val="1"/>
            </c:dLbl>
            <c:dLbl>
              <c:idx val="17"/>
              <c:layout>
                <c:manualLayout>
                  <c:x val="-0.7320646215692036"/>
                  <c:y val="-8.9639737407503819E-2"/>
                </c:manualLayout>
              </c:layout>
              <c:tx>
                <c:strRef>
                  <c:f>All!$C$440</c:f>
                  <c:strCache>
                    <c:ptCount val="1"/>
                    <c:pt idx="0">
                      <c:v>SOM</c:v>
                    </c:pt>
                  </c:strCache>
                </c:strRef>
              </c:tx>
              <c:spPr/>
              <c:txPr>
                <a:bodyPr/>
                <a:lstStyle/>
                <a:p>
                  <a:pPr>
                    <a:defRPr sz="2000" b="1" i="0"/>
                  </a:pPr>
                  <a:endParaRPr lang="en-US"/>
                </a:p>
              </c:txPr>
              <c:dLblPos val="r"/>
              <c:showVal val="1"/>
            </c:dLbl>
            <c:dLbl>
              <c:idx val="18"/>
              <c:delete val="1"/>
            </c:dLbl>
            <c:dLbl>
              <c:idx val="19"/>
              <c:delete val="1"/>
            </c:dLbl>
            <c:dLbl>
              <c:idx val="20"/>
              <c:layout>
                <c:manualLayout>
                  <c:x val="-1.294232941233724E-2"/>
                  <c:y val="-0.52558399660931487"/>
                </c:manualLayout>
              </c:layout>
              <c:tx>
                <c:strRef>
                  <c:f>All!$C$443</c:f>
                  <c:strCache>
                    <c:ptCount val="1"/>
                  </c:strCache>
                </c:strRef>
              </c:tx>
              <c:dLblPos val="r"/>
              <c:showVal val="1"/>
            </c:dLbl>
            <c:txPr>
              <a:bodyPr/>
              <a:lstStyle/>
              <a:p>
                <a:pPr>
                  <a:defRPr sz="2000" b="1"/>
                </a:pPr>
                <a:endParaRPr lang="en-US"/>
              </a:p>
            </c:txPr>
            <c:showVal val="1"/>
          </c:dLbls>
          <c:xVal>
            <c:numRef>
              <c:f>'bub-Top5-Rank 1-3'!$B$12:$V$12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1-3'!$B$11:$V$11</c:f>
              <c:numCache>
                <c:formatCode>General</c:formatCode>
                <c:ptCount val="21"/>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numCache>
            </c:numRef>
          </c:yVal>
          <c:bubbleSize>
            <c:numRef>
              <c:f>'bub-Top5-Rank 1-3'!$B$13:$V$13</c:f>
              <c:numCache>
                <c:formatCode>General</c:formatCode>
                <c:ptCount val="21"/>
                <c:pt idx="0">
                  <c:v>1</c:v>
                </c:pt>
                <c:pt idx="1">
                  <c:v>1</c:v>
                </c:pt>
                <c:pt idx="2">
                  <c:v>0</c:v>
                </c:pt>
                <c:pt idx="3">
                  <c:v>10</c:v>
                </c:pt>
                <c:pt idx="4">
                  <c:v>11</c:v>
                </c:pt>
                <c:pt idx="5">
                  <c:v>15</c:v>
                </c:pt>
                <c:pt idx="6">
                  <c:v>0</c:v>
                </c:pt>
                <c:pt idx="7">
                  <c:v>3</c:v>
                </c:pt>
                <c:pt idx="8">
                  <c:v>4</c:v>
                </c:pt>
                <c:pt idx="9">
                  <c:v>1</c:v>
                </c:pt>
                <c:pt idx="10">
                  <c:v>6</c:v>
                </c:pt>
                <c:pt idx="11">
                  <c:v>2</c:v>
                </c:pt>
                <c:pt idx="12">
                  <c:v>13</c:v>
                </c:pt>
                <c:pt idx="13">
                  <c:v>8</c:v>
                </c:pt>
                <c:pt idx="14">
                  <c:v>2</c:v>
                </c:pt>
                <c:pt idx="15">
                  <c:v>8</c:v>
                </c:pt>
                <c:pt idx="16">
                  <c:v>7</c:v>
                </c:pt>
                <c:pt idx="17">
                  <c:v>7</c:v>
                </c:pt>
                <c:pt idx="18">
                  <c:v>9</c:v>
                </c:pt>
                <c:pt idx="19">
                  <c:v>4</c:v>
                </c:pt>
                <c:pt idx="20">
                  <c:v>3</c:v>
                </c:pt>
              </c:numCache>
            </c:numRef>
          </c:bubbleSize>
          <c:bubble3D val="1"/>
        </c:ser>
        <c:ser>
          <c:idx val="8"/>
          <c:order val="3"/>
          <c:tx>
            <c:strRef>
              <c:f>'bub-Top5-Rank 1-3'!$A$16</c:f>
              <c:strCache>
                <c:ptCount val="1"/>
                <c:pt idx="0">
                  <c:v>FES</c:v>
                </c:pt>
              </c:strCache>
            </c:strRef>
          </c:tx>
          <c:spPr>
            <a:ln w="25400">
              <a:noFill/>
            </a:ln>
          </c:spPr>
          <c:dLbls>
            <c:dLbl>
              <c:idx val="0"/>
              <c:layout>
                <c:manualLayout>
                  <c:x val="-3.5729275906020812E-2"/>
                  <c:y val="0.23583511455815523"/>
                </c:manualLayout>
              </c:layout>
              <c:tx>
                <c:strRef>
                  <c:f>All!$H$419</c:f>
                  <c:strCache>
                    <c:ptCount val="1"/>
                    <c:pt idx="0">
                      <c:v>Corp.  Env Strat.</c:v>
                    </c:pt>
                  </c:strCache>
                </c:strRef>
              </c:tx>
              <c:dLblPos val="r"/>
              <c:showVal val="1"/>
            </c:dLbl>
            <c:dLbl>
              <c:idx val="1"/>
              <c:layout>
                <c:manualLayout>
                  <c:x val="-2.2562198834735578E-2"/>
                  <c:y val="0.23311016331255233"/>
                </c:manualLayout>
              </c:layout>
              <c:tx>
                <c:strRef>
                  <c:f>All!$I$419</c:f>
                  <c:strCache>
                    <c:ptCount val="1"/>
                    <c:pt idx="0">
                      <c:v>Soc/Env Vent.</c:v>
                    </c:pt>
                  </c:strCache>
                </c:strRef>
              </c:tx>
              <c:dLblPos val="r"/>
              <c:showVal val="1"/>
            </c:dLbl>
            <c:dLbl>
              <c:idx val="2"/>
              <c:layout>
                <c:manualLayout>
                  <c:x val="-3.0768066319329941E-2"/>
                  <c:y val="0.22614214454873729"/>
                </c:manualLayout>
              </c:layout>
              <c:tx>
                <c:strRef>
                  <c:f>All!$J$419</c:f>
                  <c:strCache>
                    <c:ptCount val="1"/>
                    <c:pt idx="0">
                      <c:v>Env.Finance</c:v>
                    </c:pt>
                  </c:strCache>
                </c:strRef>
              </c:tx>
              <c:dLblPos val="r"/>
              <c:showVal val="1"/>
            </c:dLbl>
            <c:dLbl>
              <c:idx val="3"/>
              <c:layout>
                <c:manualLayout>
                  <c:x val="-4.1446989113644632E-2"/>
                  <c:y val="0.23000690463932394"/>
                </c:manualLayout>
              </c:layout>
              <c:tx>
                <c:strRef>
                  <c:f>All!$K$419</c:f>
                  <c:strCache>
                    <c:ptCount val="1"/>
                    <c:pt idx="0">
                      <c:v>Clim. Change</c:v>
                    </c:pt>
                  </c:strCache>
                </c:strRef>
              </c:tx>
              <c:dLblPos val="r"/>
              <c:showVal val="1"/>
            </c:dLbl>
            <c:dLbl>
              <c:idx val="4"/>
              <c:layout>
                <c:manualLayout>
                  <c:x val="-3.8231362706419948E-2"/>
                  <c:y val="0.24202821209225744"/>
                </c:manualLayout>
              </c:layout>
              <c:tx>
                <c:strRef>
                  <c:f>All!$L$419</c:f>
                  <c:strCache>
                    <c:ptCount val="1"/>
                    <c:pt idx="0">
                      <c:v>Env.Just. &amp; Ethics</c:v>
                    </c:pt>
                  </c:strCache>
                </c:strRef>
              </c:tx>
              <c:dLblPos val="r"/>
              <c:showVal val="1"/>
            </c:dLbl>
            <c:dLbl>
              <c:idx val="5"/>
              <c:layout>
                <c:manualLayout>
                  <c:x val="-3.9608673650338634E-2"/>
                  <c:y val="0.24646521048574788"/>
                </c:manualLayout>
              </c:layout>
              <c:tx>
                <c:strRef>
                  <c:f>All!$M$419</c:f>
                  <c:strCache>
                    <c:ptCount val="1"/>
                    <c:pt idx="0">
                      <c:v>Env. Policy &amp; Law</c:v>
                    </c:pt>
                  </c:strCache>
                </c:strRef>
              </c:tx>
              <c:dLblPos val="r"/>
              <c:showVal val="1"/>
            </c:dLbl>
            <c:dLbl>
              <c:idx val="6"/>
              <c:layout>
                <c:manualLayout>
                  <c:x val="-3.2470231867647012E-2"/>
                  <c:y val="0.22746516300586594"/>
                </c:manualLayout>
              </c:layout>
              <c:tx>
                <c:strRef>
                  <c:f>All!$N$419</c:f>
                  <c:strCache>
                    <c:ptCount val="1"/>
                    <c:pt idx="0">
                      <c:v>Env. Econ.</c:v>
                    </c:pt>
                  </c:strCache>
                </c:strRef>
              </c:tx>
              <c:dLblPos val="r"/>
              <c:showVal val="1"/>
            </c:dLbl>
            <c:dLbl>
              <c:idx val="7"/>
              <c:layout>
                <c:manualLayout>
                  <c:x val="-3.3390296833383674E-2"/>
                  <c:y val="0.21136627474250574"/>
                </c:manualLayout>
              </c:layout>
              <c:tx>
                <c:strRef>
                  <c:f>All!$O$419</c:f>
                  <c:strCache>
                    <c:ptCount val="1"/>
                    <c:pt idx="0">
                      <c:v> EH&amp;S</c:v>
                    </c:pt>
                  </c:strCache>
                </c:strRef>
              </c:tx>
              <c:dLblPos val="r"/>
              <c:showVal val="1"/>
            </c:dLbl>
            <c:dLbl>
              <c:idx val="8"/>
              <c:layout>
                <c:manualLayout>
                  <c:x val="-4.3312132784854095E-2"/>
                  <c:y val="0.23674459858023086"/>
                </c:manualLayout>
              </c:layout>
              <c:tx>
                <c:rich>
                  <a:bodyPr/>
                  <a:lstStyle/>
                  <a:p>
                    <a:r>
                      <a:rPr lang="en-US" sz="1800" b="1"/>
                      <a:t>Green Desgn </a:t>
                    </a:r>
                  </a:p>
                  <a:p>
                    <a:r>
                      <a:rPr lang="en-US" sz="1800" b="1"/>
                      <a:t>&amp; Build.</a:t>
                    </a:r>
                  </a:p>
                </c:rich>
              </c:tx>
              <c:dLblPos val="r"/>
              <c:showVal val="1"/>
            </c:dLbl>
            <c:dLbl>
              <c:idx val="9"/>
              <c:layout>
                <c:manualLayout>
                  <c:x val="-2.7257459230034326E-2"/>
                  <c:y val="0.20591797679408141"/>
                </c:manualLayout>
              </c:layout>
              <c:tx>
                <c:strRef>
                  <c:f>All!$Q$419</c:f>
                  <c:strCache>
                    <c:ptCount val="1"/>
                    <c:pt idx="0">
                      <c:v>CSR</c:v>
                    </c:pt>
                  </c:strCache>
                </c:strRef>
              </c:tx>
              <c:dLblPos val="r"/>
              <c:showVal val="1"/>
            </c:dLbl>
            <c:dLbl>
              <c:idx val="10"/>
              <c:layout>
                <c:manualLayout>
                  <c:x val="-3.1090912048256942E-2"/>
                  <c:y val="0.21544086526865772"/>
                </c:manualLayout>
              </c:layout>
              <c:tx>
                <c:strRef>
                  <c:f>All!$R$419</c:f>
                  <c:strCache>
                    <c:ptCount val="1"/>
                    <c:pt idx="0">
                      <c:v>Energy</c:v>
                    </c:pt>
                  </c:strCache>
                </c:strRef>
              </c:tx>
              <c:dLblPos val="r"/>
              <c:showVal val="1"/>
            </c:dLbl>
            <c:dLbl>
              <c:idx val="11"/>
              <c:layout>
                <c:manualLayout>
                  <c:x val="-3.0557328802174624E-2"/>
                  <c:y val="0.22490650073943896"/>
                </c:manualLayout>
              </c:layout>
              <c:tx>
                <c:strRef>
                  <c:f>All!$S$419</c:f>
                  <c:strCache>
                    <c:ptCount val="1"/>
                    <c:pt idx="0">
                      <c:v>Ind. Ecol.</c:v>
                    </c:pt>
                  </c:strCache>
                </c:strRef>
              </c:tx>
              <c:dLblPos val="r"/>
              <c:showVal val="1"/>
            </c:dLbl>
            <c:dLbl>
              <c:idx val="12"/>
              <c:layout>
                <c:manualLayout>
                  <c:x val="-4.4350526996079033E-2"/>
                  <c:y val="0.23396925010453443"/>
                </c:manualLayout>
              </c:layout>
              <c:tx>
                <c:strRef>
                  <c:f>All!$T$419</c:f>
                  <c:strCache>
                    <c:ptCount val="1"/>
                    <c:pt idx="0">
                      <c:v>NR Managmt</c:v>
                    </c:pt>
                  </c:strCache>
                </c:strRef>
              </c:tx>
              <c:dLblPos val="r"/>
              <c:showVal val="1"/>
            </c:dLbl>
            <c:dLbl>
              <c:idx val="13"/>
              <c:layout>
                <c:manualLayout>
                  <c:x val="-3.3594294897346139E-2"/>
                  <c:y val="0.2277741833588347"/>
                </c:manualLayout>
              </c:layout>
              <c:tx>
                <c:strRef>
                  <c:f>All!$U$419</c:f>
                  <c:strCache>
                    <c:ptCount val="1"/>
                    <c:pt idx="0">
                      <c:v>Intern. Dev.</c:v>
                    </c:pt>
                  </c:strCache>
                </c:strRef>
              </c:tx>
              <c:dLblPos val="r"/>
              <c:showVal val="1"/>
            </c:dLbl>
            <c:dLbl>
              <c:idx val="14"/>
              <c:layout>
                <c:manualLayout>
                  <c:x val="-3.1333856375383405E-2"/>
                  <c:y val="0.22355853893543401"/>
                </c:manualLayout>
              </c:layout>
              <c:tx>
                <c:strRef>
                  <c:f>All!$V$419</c:f>
                  <c:strCache>
                    <c:ptCount val="1"/>
                    <c:pt idx="0">
                      <c:v>Env. Chem.</c:v>
                    </c:pt>
                  </c:strCache>
                </c:strRef>
              </c:tx>
              <c:dLblPos val="r"/>
              <c:showVal val="1"/>
            </c:dLbl>
            <c:dLbl>
              <c:idx val="15"/>
              <c:layout>
                <c:manualLayout>
                  <c:x val="-3.2923200885149863E-2"/>
                  <c:y val="0.22187012232669487"/>
                </c:manualLayout>
              </c:layout>
              <c:tx>
                <c:strRef>
                  <c:f>All!$W$419</c:f>
                  <c:strCache>
                    <c:ptCount val="1"/>
                    <c:pt idx="0">
                      <c:v>Pollution</c:v>
                    </c:pt>
                  </c:strCache>
                </c:strRef>
              </c:tx>
              <c:dLblPos val="r"/>
              <c:showVal val="1"/>
            </c:dLbl>
            <c:dLbl>
              <c:idx val="16"/>
              <c:layout>
                <c:manualLayout>
                  <c:x val="-3.1105676245585089E-2"/>
                  <c:y val="0.20407302323143992"/>
                </c:manualLayout>
              </c:layout>
              <c:tx>
                <c:strRef>
                  <c:f>All!$X$419</c:f>
                  <c:strCache>
                    <c:ptCount val="1"/>
                    <c:pt idx="0">
                      <c:v>Air</c:v>
                    </c:pt>
                  </c:strCache>
                </c:strRef>
              </c:tx>
              <c:dLblPos val="r"/>
              <c:showVal val="1"/>
            </c:dLbl>
            <c:dLbl>
              <c:idx val="17"/>
              <c:layout>
                <c:manualLayout>
                  <c:x val="-3.5136657642063654E-2"/>
                  <c:y val="0.20798696177709519"/>
                </c:manualLayout>
              </c:layout>
              <c:tx>
                <c:strRef>
                  <c:f>All!$Y$419</c:f>
                  <c:strCache>
                    <c:ptCount val="1"/>
                    <c:pt idx="0">
                      <c:v>Soils</c:v>
                    </c:pt>
                  </c:strCache>
                </c:strRef>
              </c:tx>
              <c:dLblPos val="r"/>
              <c:showVal val="1"/>
            </c:dLbl>
            <c:dLbl>
              <c:idx val="18"/>
              <c:layout>
                <c:manualLayout>
                  <c:x val="-3.9479344044197152E-2"/>
                  <c:y val="0.2103346764299176"/>
                </c:manualLayout>
              </c:layout>
              <c:tx>
                <c:strRef>
                  <c:f>All!$Z$419</c:f>
                  <c:strCache>
                    <c:ptCount val="1"/>
                    <c:pt idx="0">
                      <c:v>Water</c:v>
                    </c:pt>
                  </c:strCache>
                </c:strRef>
              </c:tx>
              <c:dLblPos val="r"/>
              <c:showVal val="1"/>
            </c:dLbl>
            <c:dLbl>
              <c:idx val="19"/>
              <c:layout>
                <c:manualLayout>
                  <c:x val="-4.1979535520773846E-2"/>
                  <c:y val="0.21372495263134444"/>
                </c:manualLayout>
              </c:layout>
              <c:tx>
                <c:strRef>
                  <c:f>All!$AA$419</c:f>
                  <c:strCache>
                    <c:ptCount val="1"/>
                    <c:pt idx="0">
                      <c:v>Ecosyst.</c:v>
                    </c:pt>
                  </c:strCache>
                </c:strRef>
              </c:tx>
              <c:dLblPos val="r"/>
              <c:showVal val="1"/>
            </c:dLbl>
            <c:dLbl>
              <c:idx val="20"/>
              <c:layout>
                <c:manualLayout>
                  <c:x val="-2.0946414931673176E-2"/>
                  <c:y val="0.21773215236067425"/>
                </c:manualLayout>
              </c:layout>
              <c:tx>
                <c:strRef>
                  <c:f>All!$AB$419</c:f>
                  <c:strCache>
                    <c:ptCount val="1"/>
                    <c:pt idx="0">
                      <c:v>Forests</c:v>
                    </c:pt>
                  </c:strCache>
                </c:strRef>
              </c:tx>
              <c:dLblPos val="r"/>
              <c:showVal val="1"/>
            </c:dLbl>
            <c:txPr>
              <a:bodyPr rot="3300000"/>
              <a:lstStyle/>
              <a:p>
                <a:pPr>
                  <a:defRPr sz="1800" b="1"/>
                </a:pPr>
                <a:endParaRPr lang="en-US"/>
              </a:p>
            </c:txPr>
            <c:showVal val="1"/>
          </c:dLbls>
          <c:xVal>
            <c:numRef>
              <c:f>'bub-Top5-Rank 1-3'!$B$17:$V$17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1-3'!$B$16:$V$16</c:f>
              <c:numCache>
                <c:formatCode>General</c:formatCode>
                <c:ptCount val="21"/>
                <c:pt idx="0">
                  <c:v>106</c:v>
                </c:pt>
                <c:pt idx="1">
                  <c:v>106</c:v>
                </c:pt>
                <c:pt idx="2">
                  <c:v>106</c:v>
                </c:pt>
                <c:pt idx="3">
                  <c:v>106</c:v>
                </c:pt>
                <c:pt idx="4">
                  <c:v>106</c:v>
                </c:pt>
                <c:pt idx="5">
                  <c:v>106</c:v>
                </c:pt>
                <c:pt idx="6">
                  <c:v>106</c:v>
                </c:pt>
                <c:pt idx="7">
                  <c:v>106</c:v>
                </c:pt>
                <c:pt idx="8">
                  <c:v>106</c:v>
                </c:pt>
                <c:pt idx="9">
                  <c:v>106</c:v>
                </c:pt>
                <c:pt idx="10">
                  <c:v>106</c:v>
                </c:pt>
                <c:pt idx="11">
                  <c:v>106</c:v>
                </c:pt>
                <c:pt idx="12">
                  <c:v>106</c:v>
                </c:pt>
                <c:pt idx="13">
                  <c:v>106</c:v>
                </c:pt>
                <c:pt idx="14">
                  <c:v>106</c:v>
                </c:pt>
                <c:pt idx="15">
                  <c:v>106</c:v>
                </c:pt>
                <c:pt idx="16">
                  <c:v>106</c:v>
                </c:pt>
                <c:pt idx="17">
                  <c:v>106</c:v>
                </c:pt>
                <c:pt idx="18">
                  <c:v>106</c:v>
                </c:pt>
                <c:pt idx="19">
                  <c:v>106</c:v>
                </c:pt>
                <c:pt idx="20">
                  <c:v>106</c:v>
                </c:pt>
              </c:numCache>
            </c:numRef>
          </c:yVal>
          <c:bubbleSize>
            <c:numRef>
              <c:f>'bub-Top5-Rank 1-3'!$B$18:$V$18</c:f>
              <c:numCache>
                <c:formatCode>General</c:formatCode>
                <c:ptCount val="21"/>
                <c:pt idx="0">
                  <c:v>23</c:v>
                </c:pt>
                <c:pt idx="1">
                  <c:v>6</c:v>
                </c:pt>
                <c:pt idx="2">
                  <c:v>24</c:v>
                </c:pt>
                <c:pt idx="3">
                  <c:v>32</c:v>
                </c:pt>
                <c:pt idx="4">
                  <c:v>30</c:v>
                </c:pt>
                <c:pt idx="5">
                  <c:v>54</c:v>
                </c:pt>
                <c:pt idx="6">
                  <c:v>26</c:v>
                </c:pt>
                <c:pt idx="7">
                  <c:v>14</c:v>
                </c:pt>
                <c:pt idx="8">
                  <c:v>19</c:v>
                </c:pt>
                <c:pt idx="9">
                  <c:v>18</c:v>
                </c:pt>
                <c:pt idx="10">
                  <c:v>17</c:v>
                </c:pt>
                <c:pt idx="11">
                  <c:v>8</c:v>
                </c:pt>
                <c:pt idx="12">
                  <c:v>71</c:v>
                </c:pt>
                <c:pt idx="13">
                  <c:v>33</c:v>
                </c:pt>
                <c:pt idx="14">
                  <c:v>19</c:v>
                </c:pt>
                <c:pt idx="15">
                  <c:v>24</c:v>
                </c:pt>
                <c:pt idx="16">
                  <c:v>20</c:v>
                </c:pt>
                <c:pt idx="17">
                  <c:v>34</c:v>
                </c:pt>
                <c:pt idx="18">
                  <c:v>38</c:v>
                </c:pt>
                <c:pt idx="19">
                  <c:v>53</c:v>
                </c:pt>
                <c:pt idx="20">
                  <c:v>32</c:v>
                </c:pt>
              </c:numCache>
            </c:numRef>
          </c:bubbleSize>
          <c:bubble3D val="1"/>
        </c:ser>
        <c:ser>
          <c:idx val="17"/>
          <c:order val="4"/>
          <c:tx>
            <c:strRef>
              <c:f>'bub-Top5-Rank 1-3'!$A$21</c:f>
              <c:strCache>
                <c:ptCount val="1"/>
                <c:pt idx="0">
                  <c:v>SOM</c:v>
                </c:pt>
              </c:strCache>
            </c:strRef>
          </c:tx>
          <c:spPr>
            <a:ln w="25400">
              <a:noFill/>
            </a:ln>
          </c:spPr>
          <c:xVal>
            <c:numRef>
              <c:f>'bub-Top5-Rank 1-3'!$B$22:$V$22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1-3'!$B$21:$V$21</c:f>
              <c:numCache>
                <c:formatCode>General</c:formatCode>
                <c:ptCount val="2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107</c:v>
                </c:pt>
              </c:numCache>
            </c:numRef>
          </c:yVal>
          <c:bubbleSize>
            <c:numRef>
              <c:f>'bub-Top5-Rank 1-3'!$B$23:$V$23</c:f>
              <c:numCache>
                <c:formatCode>General</c:formatCode>
                <c:ptCount val="21"/>
                <c:pt idx="0">
                  <c:v>23</c:v>
                </c:pt>
                <c:pt idx="1">
                  <c:v>21</c:v>
                </c:pt>
                <c:pt idx="2">
                  <c:v>22</c:v>
                </c:pt>
                <c:pt idx="3">
                  <c:v>4</c:v>
                </c:pt>
                <c:pt idx="4">
                  <c:v>6</c:v>
                </c:pt>
                <c:pt idx="5">
                  <c:v>5</c:v>
                </c:pt>
                <c:pt idx="6">
                  <c:v>3</c:v>
                </c:pt>
                <c:pt idx="7">
                  <c:v>0</c:v>
                </c:pt>
                <c:pt idx="8">
                  <c:v>1</c:v>
                </c:pt>
                <c:pt idx="9">
                  <c:v>10</c:v>
                </c:pt>
                <c:pt idx="10">
                  <c:v>5</c:v>
                </c:pt>
                <c:pt idx="11">
                  <c:v>4</c:v>
                </c:pt>
                <c:pt idx="12">
                  <c:v>2</c:v>
                </c:pt>
                <c:pt idx="13">
                  <c:v>11</c:v>
                </c:pt>
                <c:pt idx="14">
                  <c:v>0</c:v>
                </c:pt>
                <c:pt idx="15">
                  <c:v>0</c:v>
                </c:pt>
                <c:pt idx="16">
                  <c:v>0</c:v>
                </c:pt>
                <c:pt idx="17">
                  <c:v>0</c:v>
                </c:pt>
                <c:pt idx="18">
                  <c:v>0</c:v>
                </c:pt>
                <c:pt idx="19">
                  <c:v>0</c:v>
                </c:pt>
                <c:pt idx="20">
                  <c:v>0</c:v>
                </c:pt>
              </c:numCache>
            </c:numRef>
          </c:bubbleSize>
          <c:bubble3D val="1"/>
        </c:ser>
        <c:ser>
          <c:idx val="0"/>
          <c:order val="5"/>
          <c:tx>
            <c:strRef>
              <c:f>'bub-Top5-Rank 1-3'!$A$26</c:f>
              <c:strCache>
                <c:ptCount val="1"/>
                <c:pt idx="0">
                  <c:v>OTHER</c:v>
                </c:pt>
              </c:strCache>
            </c:strRef>
          </c:tx>
          <c:spPr>
            <a:ln w="25400">
              <a:noFill/>
            </a:ln>
          </c:spPr>
          <c:xVal>
            <c:numRef>
              <c:f>'bub-Top5-Rank 1-3'!$B$27:$V$27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1-3'!$B$26:$V$26</c:f>
              <c:numCache>
                <c:formatCode>General</c:formatCode>
                <c:ptCount val="21"/>
                <c:pt idx="0">
                  <c:v>108</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108</c:v>
                </c:pt>
                <c:pt idx="18">
                  <c:v>108</c:v>
                </c:pt>
                <c:pt idx="19">
                  <c:v>108</c:v>
                </c:pt>
                <c:pt idx="20">
                  <c:v>108</c:v>
                </c:pt>
              </c:numCache>
            </c:numRef>
          </c:yVal>
          <c:bubbleSize>
            <c:numRef>
              <c:f>'bub-Top5-Rank 1-3'!$B$28:$V$28</c:f>
              <c:numCache>
                <c:formatCode>General</c:formatCode>
                <c:ptCount val="21"/>
                <c:pt idx="0">
                  <c:v>6</c:v>
                </c:pt>
                <c:pt idx="1">
                  <c:v>4</c:v>
                </c:pt>
                <c:pt idx="2">
                  <c:v>6</c:v>
                </c:pt>
                <c:pt idx="3">
                  <c:v>24</c:v>
                </c:pt>
                <c:pt idx="4">
                  <c:v>25</c:v>
                </c:pt>
                <c:pt idx="5">
                  <c:v>47</c:v>
                </c:pt>
                <c:pt idx="6">
                  <c:v>8</c:v>
                </c:pt>
                <c:pt idx="7">
                  <c:v>22</c:v>
                </c:pt>
                <c:pt idx="8">
                  <c:v>18</c:v>
                </c:pt>
                <c:pt idx="9">
                  <c:v>5</c:v>
                </c:pt>
                <c:pt idx="10">
                  <c:v>24</c:v>
                </c:pt>
                <c:pt idx="11">
                  <c:v>12</c:v>
                </c:pt>
                <c:pt idx="12">
                  <c:v>24</c:v>
                </c:pt>
                <c:pt idx="13">
                  <c:v>45</c:v>
                </c:pt>
                <c:pt idx="14">
                  <c:v>15</c:v>
                </c:pt>
                <c:pt idx="15">
                  <c:v>21</c:v>
                </c:pt>
                <c:pt idx="16">
                  <c:v>17</c:v>
                </c:pt>
                <c:pt idx="17">
                  <c:v>18</c:v>
                </c:pt>
                <c:pt idx="18">
                  <c:v>23</c:v>
                </c:pt>
                <c:pt idx="19">
                  <c:v>16</c:v>
                </c:pt>
                <c:pt idx="20">
                  <c:v>3</c:v>
                </c:pt>
              </c:numCache>
            </c:numRef>
          </c:bubbleSize>
          <c:bubble3D val="1"/>
        </c:ser>
        <c:bubbleScale val="20"/>
        <c:axId val="160974336"/>
        <c:axId val="160975872"/>
      </c:bubbleChart>
      <c:valAx>
        <c:axId val="160974336"/>
        <c:scaling>
          <c:orientation val="minMax"/>
          <c:max val="31"/>
          <c:min val="9"/>
        </c:scaling>
        <c:axPos val="b"/>
        <c:majorGridlines>
          <c:spPr>
            <a:ln>
              <a:prstDash val="sysDot"/>
            </a:ln>
          </c:spPr>
        </c:majorGridlines>
        <c:numFmt formatCode="General" sourceLinked="1"/>
        <c:tickLblPos val="none"/>
        <c:txPr>
          <a:bodyPr/>
          <a:lstStyle/>
          <a:p>
            <a:pPr>
              <a:defRPr sz="1200"/>
            </a:pPr>
            <a:endParaRPr lang="en-US"/>
          </a:p>
        </c:txPr>
        <c:crossAx val="160975872"/>
        <c:crosses val="autoZero"/>
        <c:crossBetween val="midCat"/>
        <c:majorUnit val="1"/>
      </c:valAx>
      <c:valAx>
        <c:axId val="160975872"/>
        <c:scaling>
          <c:orientation val="minMax"/>
          <c:max val="109"/>
          <c:min val="102"/>
        </c:scaling>
        <c:axPos val="l"/>
        <c:majorGridlines>
          <c:spPr>
            <a:ln>
              <a:prstDash val="sysDot"/>
            </a:ln>
          </c:spPr>
        </c:majorGridlines>
        <c:numFmt formatCode="General" sourceLinked="1"/>
        <c:tickLblPos val="none"/>
        <c:txPr>
          <a:bodyPr/>
          <a:lstStyle/>
          <a:p>
            <a:pPr>
              <a:defRPr sz="1200"/>
            </a:pPr>
            <a:endParaRPr lang="en-US"/>
          </a:p>
        </c:txPr>
        <c:crossAx val="160974336"/>
        <c:crossesAt val="9"/>
        <c:crossBetween val="midCat"/>
      </c:valAx>
    </c:plotArea>
    <c:plotVisOnly val="1"/>
  </c:chart>
  <c:printSettings>
    <c:headerFooter/>
    <c:pageMargins b="0.75000000000001188" l="0.70000000000000062" r="0.70000000000000062" t="0.7500000000000118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325221878706941"/>
          <c:y val="6.620477960658315E-2"/>
          <c:w val="0.8214677287045995"/>
          <c:h val="0.35937347468566316"/>
        </c:manualLayout>
      </c:layout>
      <c:bubbleChart>
        <c:ser>
          <c:idx val="3"/>
          <c:order val="0"/>
          <c:tx>
            <c:strRef>
              <c:f>'bub-Top5-Rank 1-3'!$A$1</c:f>
              <c:strCache>
                <c:ptCount val="1"/>
                <c:pt idx="0">
                  <c:v>Biology</c:v>
                </c:pt>
              </c:strCache>
            </c:strRef>
          </c:tx>
          <c:spPr>
            <a:ln w="25400">
              <a:noFill/>
            </a:ln>
          </c:spPr>
          <c:xVal>
            <c:numRef>
              <c:f>'bub-Top5-Rank 1-3'!$B$2:$V$2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1-3'!$B$1:$V$1</c:f>
              <c:numCache>
                <c:formatCode>General</c:formatCode>
                <c:ptCount val="21"/>
                <c:pt idx="0">
                  <c:v>103</c:v>
                </c:pt>
                <c:pt idx="1">
                  <c:v>103</c:v>
                </c:pt>
                <c:pt idx="2">
                  <c:v>103</c:v>
                </c:pt>
                <c:pt idx="3">
                  <c:v>103</c:v>
                </c:pt>
                <c:pt idx="4">
                  <c:v>103</c:v>
                </c:pt>
                <c:pt idx="5">
                  <c:v>103</c:v>
                </c:pt>
                <c:pt idx="6">
                  <c:v>103</c:v>
                </c:pt>
                <c:pt idx="7">
                  <c:v>103</c:v>
                </c:pt>
                <c:pt idx="8">
                  <c:v>103</c:v>
                </c:pt>
                <c:pt idx="9">
                  <c:v>103</c:v>
                </c:pt>
                <c:pt idx="10">
                  <c:v>103</c:v>
                </c:pt>
                <c:pt idx="11">
                  <c:v>103</c:v>
                </c:pt>
                <c:pt idx="12">
                  <c:v>103</c:v>
                </c:pt>
                <c:pt idx="13">
                  <c:v>103</c:v>
                </c:pt>
                <c:pt idx="14">
                  <c:v>103</c:v>
                </c:pt>
                <c:pt idx="15">
                  <c:v>103</c:v>
                </c:pt>
                <c:pt idx="16">
                  <c:v>103</c:v>
                </c:pt>
                <c:pt idx="17">
                  <c:v>103</c:v>
                </c:pt>
                <c:pt idx="18">
                  <c:v>103</c:v>
                </c:pt>
                <c:pt idx="19">
                  <c:v>103</c:v>
                </c:pt>
                <c:pt idx="20">
                  <c:v>103</c:v>
                </c:pt>
              </c:numCache>
            </c:numRef>
          </c:yVal>
          <c:bubbleSize>
            <c:numRef>
              <c:f>'bub-Top5-Rank 1-3'!$B$4:$V$4</c:f>
              <c:numCache>
                <c:formatCode>General</c:formatCode>
                <c:ptCount val="21"/>
                <c:pt idx="0">
                  <c:v>0</c:v>
                </c:pt>
                <c:pt idx="1">
                  <c:v>0</c:v>
                </c:pt>
                <c:pt idx="2">
                  <c:v>0</c:v>
                </c:pt>
                <c:pt idx="3">
                  <c:v>2</c:v>
                </c:pt>
                <c:pt idx="4">
                  <c:v>0</c:v>
                </c:pt>
                <c:pt idx="5">
                  <c:v>0</c:v>
                </c:pt>
                <c:pt idx="6">
                  <c:v>0</c:v>
                </c:pt>
                <c:pt idx="7">
                  <c:v>0</c:v>
                </c:pt>
                <c:pt idx="8">
                  <c:v>0</c:v>
                </c:pt>
                <c:pt idx="9">
                  <c:v>0</c:v>
                </c:pt>
                <c:pt idx="10">
                  <c:v>0</c:v>
                </c:pt>
                <c:pt idx="11">
                  <c:v>0</c:v>
                </c:pt>
                <c:pt idx="12">
                  <c:v>2</c:v>
                </c:pt>
                <c:pt idx="13">
                  <c:v>1</c:v>
                </c:pt>
                <c:pt idx="14">
                  <c:v>1</c:v>
                </c:pt>
                <c:pt idx="15">
                  <c:v>1</c:v>
                </c:pt>
                <c:pt idx="16">
                  <c:v>1</c:v>
                </c:pt>
                <c:pt idx="17">
                  <c:v>1</c:v>
                </c:pt>
                <c:pt idx="18">
                  <c:v>1</c:v>
                </c:pt>
                <c:pt idx="19">
                  <c:v>2</c:v>
                </c:pt>
                <c:pt idx="20">
                  <c:v>2</c:v>
                </c:pt>
              </c:numCache>
            </c:numRef>
          </c:bubbleSize>
          <c:bubble3D val="1"/>
        </c:ser>
        <c:ser>
          <c:idx val="5"/>
          <c:order val="1"/>
          <c:tx>
            <c:strRef>
              <c:f>'bub-Top5-Rank 1-3'!$A$6</c:f>
              <c:strCache>
                <c:ptCount val="1"/>
                <c:pt idx="0">
                  <c:v>Economics</c:v>
                </c:pt>
              </c:strCache>
            </c:strRef>
          </c:tx>
          <c:spPr>
            <a:ln w="25400">
              <a:noFill/>
            </a:ln>
          </c:spPr>
          <c:xVal>
            <c:numRef>
              <c:f>'bub-Top5-Rank 1-3'!$B$7:$V$7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1-3'!$B$6:$V$6</c:f>
              <c:numCache>
                <c:formatCode>General</c:formatCode>
                <c:ptCount val="21"/>
                <c:pt idx="0">
                  <c:v>104</c:v>
                </c:pt>
                <c:pt idx="1">
                  <c:v>104</c:v>
                </c:pt>
                <c:pt idx="2">
                  <c:v>104</c:v>
                </c:pt>
                <c:pt idx="3">
                  <c:v>104</c:v>
                </c:pt>
                <c:pt idx="4">
                  <c:v>104</c:v>
                </c:pt>
                <c:pt idx="5">
                  <c:v>104</c:v>
                </c:pt>
                <c:pt idx="6">
                  <c:v>104</c:v>
                </c:pt>
                <c:pt idx="7">
                  <c:v>104</c:v>
                </c:pt>
                <c:pt idx="8">
                  <c:v>104</c:v>
                </c:pt>
                <c:pt idx="9">
                  <c:v>104</c:v>
                </c:pt>
                <c:pt idx="10">
                  <c:v>104</c:v>
                </c:pt>
                <c:pt idx="11">
                  <c:v>104</c:v>
                </c:pt>
                <c:pt idx="12">
                  <c:v>104</c:v>
                </c:pt>
                <c:pt idx="13">
                  <c:v>104</c:v>
                </c:pt>
                <c:pt idx="14">
                  <c:v>104</c:v>
                </c:pt>
                <c:pt idx="15">
                  <c:v>104</c:v>
                </c:pt>
                <c:pt idx="16">
                  <c:v>104</c:v>
                </c:pt>
                <c:pt idx="17">
                  <c:v>104</c:v>
                </c:pt>
                <c:pt idx="18">
                  <c:v>104</c:v>
                </c:pt>
                <c:pt idx="19">
                  <c:v>104</c:v>
                </c:pt>
                <c:pt idx="20">
                  <c:v>104</c:v>
                </c:pt>
              </c:numCache>
            </c:numRef>
          </c:yVal>
          <c:bubbleSize>
            <c:numRef>
              <c:f>'bub-Top5-Rank 1-3'!$B$9:$V$9</c:f>
              <c:numCache>
                <c:formatCode>General</c:formatCode>
                <c:ptCount val="21"/>
                <c:pt idx="0">
                  <c:v>1</c:v>
                </c:pt>
                <c:pt idx="1">
                  <c:v>0</c:v>
                </c:pt>
                <c:pt idx="2">
                  <c:v>3</c:v>
                </c:pt>
                <c:pt idx="3">
                  <c:v>4</c:v>
                </c:pt>
                <c:pt idx="4">
                  <c:v>1</c:v>
                </c:pt>
                <c:pt idx="5">
                  <c:v>5</c:v>
                </c:pt>
                <c:pt idx="6">
                  <c:v>5</c:v>
                </c:pt>
                <c:pt idx="7">
                  <c:v>1</c:v>
                </c:pt>
                <c:pt idx="8">
                  <c:v>0</c:v>
                </c:pt>
                <c:pt idx="9">
                  <c:v>1</c:v>
                </c:pt>
                <c:pt idx="10">
                  <c:v>1</c:v>
                </c:pt>
                <c:pt idx="11">
                  <c:v>0</c:v>
                </c:pt>
                <c:pt idx="12">
                  <c:v>3</c:v>
                </c:pt>
                <c:pt idx="13">
                  <c:v>3</c:v>
                </c:pt>
                <c:pt idx="14">
                  <c:v>0</c:v>
                </c:pt>
                <c:pt idx="15">
                  <c:v>3</c:v>
                </c:pt>
                <c:pt idx="16">
                  <c:v>3</c:v>
                </c:pt>
                <c:pt idx="17">
                  <c:v>1</c:v>
                </c:pt>
                <c:pt idx="18">
                  <c:v>2</c:v>
                </c:pt>
                <c:pt idx="19">
                  <c:v>2</c:v>
                </c:pt>
                <c:pt idx="20">
                  <c:v>2</c:v>
                </c:pt>
              </c:numCache>
            </c:numRef>
          </c:bubbleSize>
          <c:bubble3D val="1"/>
        </c:ser>
        <c:ser>
          <c:idx val="7"/>
          <c:order val="2"/>
          <c:tx>
            <c:strRef>
              <c:f>'bub-Top5-Rank 1-3'!$A$11</c:f>
              <c:strCache>
                <c:ptCount val="1"/>
                <c:pt idx="0">
                  <c:v>Environmental studies</c:v>
                </c:pt>
              </c:strCache>
            </c:strRef>
          </c:tx>
          <c:spPr>
            <a:ln w="25400">
              <a:noFill/>
            </a:ln>
          </c:spPr>
          <c:dLbls>
            <c:dLbl>
              <c:idx val="0"/>
              <c:delete val="1"/>
            </c:dLbl>
            <c:dLbl>
              <c:idx val="1"/>
              <c:delete val="1"/>
            </c:dLbl>
            <c:dLbl>
              <c:idx val="2"/>
              <c:layout>
                <c:manualLayout>
                  <c:x val="-0.29199618233406294"/>
                  <c:y val="0"/>
                </c:manualLayout>
              </c:layout>
              <c:tx>
                <c:strRef>
                  <c:f>All!$C$423</c:f>
                  <c:strCache>
                    <c:ptCount val="1"/>
                    <c:pt idx="0">
                      <c:v>Architecture</c:v>
                    </c:pt>
                  </c:strCache>
                </c:strRef>
              </c:tx>
              <c:dLblPos val="r"/>
              <c:showVal val="1"/>
            </c:dLbl>
            <c:dLbl>
              <c:idx val="3"/>
              <c:layout>
                <c:manualLayout>
                  <c:x val="-0.22786990135795621"/>
                  <c:y val="0.11015677067829215"/>
                </c:manualLayout>
              </c:layout>
              <c:tx>
                <c:strRef>
                  <c:f>All!$C$424</c:f>
                  <c:strCache>
                    <c:ptCount val="1"/>
                    <c:pt idx="0">
                      <c:v>Biology</c:v>
                    </c:pt>
                  </c:strCache>
                </c:strRef>
              </c:tx>
              <c:dLblPos val="r"/>
              <c:showVal val="1"/>
            </c:dLbl>
            <c:dLbl>
              <c:idx val="4"/>
              <c:delete val="1"/>
            </c:dLbl>
            <c:dLbl>
              <c:idx val="5"/>
              <c:layout>
                <c:manualLayout>
                  <c:x val="-0.32375768763699631"/>
                  <c:y val="5.4697922981343371E-2"/>
                </c:manualLayout>
              </c:layout>
              <c:tx>
                <c:strRef>
                  <c:f>All!$C$427</c:f>
                  <c:strCache>
                    <c:ptCount val="1"/>
                    <c:pt idx="0">
                      <c:v>Economics</c:v>
                    </c:pt>
                  </c:strCache>
                </c:strRef>
              </c:tx>
              <c:dLblPos val="r"/>
              <c:showVal val="1"/>
            </c:dLbl>
            <c:dLbl>
              <c:idx val="6"/>
              <c:layout>
                <c:manualLayout>
                  <c:x val="-0.44253373516929528"/>
                  <c:y val="0"/>
                </c:manualLayout>
              </c:layout>
              <c:tx>
                <c:strRef>
                  <c:f>All!$C$428</c:f>
                  <c:strCache>
                    <c:ptCount val="1"/>
                    <c:pt idx="0">
                      <c:v>Engineering</c:v>
                    </c:pt>
                  </c:strCache>
                </c:strRef>
              </c:tx>
              <c:dLblPos val="r"/>
              <c:showVal val="1"/>
            </c:dLbl>
            <c:dLbl>
              <c:idx val="7"/>
              <c:layout>
                <c:manualLayout>
                  <c:x val="-0.41534465920043612"/>
                  <c:y val="-9.2661252670281228E-4"/>
                </c:manualLayout>
              </c:layout>
              <c:tx>
                <c:rich>
                  <a:bodyPr/>
                  <a:lstStyle/>
                  <a:p>
                    <a:r>
                      <a:rPr lang="en-US" sz="2000"/>
                      <a:t>Environmental </a:t>
                    </a:r>
                  </a:p>
                  <a:p>
                    <a:r>
                      <a:rPr lang="en-US" sz="2000"/>
                      <a:t>s</a:t>
                    </a:r>
                    <a:r>
                      <a:rPr lang="en-US" sz="2000" b="1" i="0" u="none" strike="noStrike" baseline="0"/>
                      <a:t>t</a:t>
                    </a:r>
                    <a:r>
                      <a:rPr lang="en-US" sz="2000"/>
                      <a:t>udies</a:t>
                    </a:r>
                  </a:p>
                </c:rich>
              </c:tx>
              <c:dLblPos val="r"/>
              <c:showVal val="1"/>
            </c:dLbl>
            <c:dLbl>
              <c:idx val="8"/>
              <c:layout>
                <c:manualLayout>
                  <c:x val="-0.3855611963181963"/>
                  <c:y val="-5.5072510054269573E-2"/>
                </c:manualLayout>
              </c:layout>
              <c:tx>
                <c:strRef>
                  <c:f>All!$C$430</c:f>
                  <c:strCache>
                    <c:ptCount val="1"/>
                    <c:pt idx="0">
                      <c:v>FES</c:v>
                    </c:pt>
                  </c:strCache>
                </c:strRef>
              </c:tx>
              <c:dLblPos val="r"/>
              <c:showVal val="1"/>
            </c:dLbl>
            <c:dLbl>
              <c:idx val="9"/>
              <c:delete val="1"/>
            </c:dLbl>
            <c:dLbl>
              <c:idx val="10"/>
              <c:delete val="1"/>
            </c:dLbl>
            <c:dLbl>
              <c:idx val="11"/>
              <c:delete val="1"/>
            </c:dLbl>
            <c:dLbl>
              <c:idx val="12"/>
              <c:delete val="1"/>
            </c:dLbl>
            <c:dLbl>
              <c:idx val="13"/>
              <c:delete val="1"/>
            </c:dLbl>
            <c:dLbl>
              <c:idx val="14"/>
              <c:layout>
                <c:manualLayout>
                  <c:x val="-0.62070662000286569"/>
                  <c:y val="-0.30661657764738826"/>
                </c:manualLayout>
              </c:layout>
              <c:tx>
                <c:rich>
                  <a:bodyPr/>
                  <a:lstStyle/>
                  <a:p>
                    <a:r>
                      <a:rPr lang="en-US" sz="2000"/>
                      <a:t>Other</a:t>
                    </a:r>
                  </a:p>
                </c:rich>
              </c:tx>
              <c:dLblPos val="r"/>
              <c:showVal val="1"/>
            </c:dLbl>
            <c:dLbl>
              <c:idx val="15"/>
              <c:delete val="1"/>
            </c:dLbl>
            <c:dLbl>
              <c:idx val="16"/>
              <c:delete val="1"/>
            </c:dLbl>
            <c:dLbl>
              <c:idx val="17"/>
              <c:layout>
                <c:manualLayout>
                  <c:x val="-0.73125045921638265"/>
                  <c:y val="-0.11147923704454488"/>
                </c:manualLayout>
              </c:layout>
              <c:tx>
                <c:strRef>
                  <c:f>All!$C$440</c:f>
                  <c:strCache>
                    <c:ptCount val="1"/>
                    <c:pt idx="0">
                      <c:v>SOM</c:v>
                    </c:pt>
                  </c:strCache>
                </c:strRef>
              </c:tx>
              <c:spPr/>
              <c:txPr>
                <a:bodyPr/>
                <a:lstStyle/>
                <a:p>
                  <a:pPr>
                    <a:defRPr sz="2000" b="1" i="0"/>
                  </a:pPr>
                  <a:endParaRPr lang="en-US"/>
                </a:p>
              </c:txPr>
              <c:dLblPos val="r"/>
              <c:showVal val="1"/>
            </c:dLbl>
            <c:dLbl>
              <c:idx val="18"/>
              <c:delete val="1"/>
            </c:dLbl>
            <c:dLbl>
              <c:idx val="19"/>
              <c:delete val="1"/>
            </c:dLbl>
            <c:dLbl>
              <c:idx val="20"/>
              <c:layout>
                <c:manualLayout>
                  <c:x val="-1.294232941233725E-2"/>
                  <c:y val="-0.52558399660931487"/>
                </c:manualLayout>
              </c:layout>
              <c:tx>
                <c:strRef>
                  <c:f>All!$C$443</c:f>
                  <c:strCache>
                    <c:ptCount val="1"/>
                  </c:strCache>
                </c:strRef>
              </c:tx>
              <c:dLblPos val="r"/>
              <c:showVal val="1"/>
            </c:dLbl>
            <c:txPr>
              <a:bodyPr/>
              <a:lstStyle/>
              <a:p>
                <a:pPr>
                  <a:defRPr sz="2000" b="1"/>
                </a:pPr>
                <a:endParaRPr lang="en-US"/>
              </a:p>
            </c:txPr>
            <c:showVal val="1"/>
          </c:dLbls>
          <c:xVal>
            <c:numRef>
              <c:f>'bub-Top5-Rank 1-3'!$B$12:$V$12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1-3'!$B$11:$V$11</c:f>
              <c:numCache>
                <c:formatCode>General</c:formatCode>
                <c:ptCount val="21"/>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numCache>
            </c:numRef>
          </c:yVal>
          <c:bubbleSize>
            <c:numRef>
              <c:f>'bub-Top5-Rank 1-3'!$B$14:$V$14</c:f>
              <c:numCache>
                <c:formatCode>General</c:formatCode>
                <c:ptCount val="21"/>
                <c:pt idx="0">
                  <c:v>1</c:v>
                </c:pt>
                <c:pt idx="1">
                  <c:v>1</c:v>
                </c:pt>
                <c:pt idx="2">
                  <c:v>0</c:v>
                </c:pt>
                <c:pt idx="3">
                  <c:v>4</c:v>
                </c:pt>
                <c:pt idx="4">
                  <c:v>2</c:v>
                </c:pt>
                <c:pt idx="5">
                  <c:v>4</c:v>
                </c:pt>
                <c:pt idx="6">
                  <c:v>0</c:v>
                </c:pt>
                <c:pt idx="7">
                  <c:v>1</c:v>
                </c:pt>
                <c:pt idx="8">
                  <c:v>2</c:v>
                </c:pt>
                <c:pt idx="9">
                  <c:v>1</c:v>
                </c:pt>
                <c:pt idx="10">
                  <c:v>3</c:v>
                </c:pt>
                <c:pt idx="11">
                  <c:v>1</c:v>
                </c:pt>
                <c:pt idx="12">
                  <c:v>3</c:v>
                </c:pt>
                <c:pt idx="13">
                  <c:v>3</c:v>
                </c:pt>
                <c:pt idx="14">
                  <c:v>0</c:v>
                </c:pt>
                <c:pt idx="15">
                  <c:v>4</c:v>
                </c:pt>
                <c:pt idx="16">
                  <c:v>2</c:v>
                </c:pt>
                <c:pt idx="17">
                  <c:v>3</c:v>
                </c:pt>
                <c:pt idx="18">
                  <c:v>4</c:v>
                </c:pt>
                <c:pt idx="19">
                  <c:v>2</c:v>
                </c:pt>
                <c:pt idx="20">
                  <c:v>1</c:v>
                </c:pt>
              </c:numCache>
            </c:numRef>
          </c:bubbleSize>
          <c:bubble3D val="1"/>
        </c:ser>
        <c:ser>
          <c:idx val="8"/>
          <c:order val="3"/>
          <c:tx>
            <c:strRef>
              <c:f>'bub-Top5-Rank 1-3'!$A$16</c:f>
              <c:strCache>
                <c:ptCount val="1"/>
                <c:pt idx="0">
                  <c:v>FES</c:v>
                </c:pt>
              </c:strCache>
            </c:strRef>
          </c:tx>
          <c:spPr>
            <a:ln w="25400">
              <a:noFill/>
            </a:ln>
          </c:spPr>
          <c:dLbls>
            <c:dLbl>
              <c:idx val="0"/>
              <c:layout>
                <c:manualLayout>
                  <c:x val="-3.5851263400840896E-2"/>
                  <c:y val="0.26304795317126789"/>
                </c:manualLayout>
              </c:layout>
              <c:tx>
                <c:strRef>
                  <c:f>All!$H$419</c:f>
                  <c:strCache>
                    <c:ptCount val="1"/>
                    <c:pt idx="0">
                      <c:v>Corp.  Env Strat.</c:v>
                    </c:pt>
                  </c:strCache>
                </c:strRef>
              </c:tx>
              <c:dLblPos val="r"/>
              <c:showVal val="1"/>
            </c:dLbl>
            <c:dLbl>
              <c:idx val="1"/>
              <c:layout>
                <c:manualLayout>
                  <c:x val="-2.5165404616539735E-2"/>
                  <c:y val="0.2595154758016634"/>
                </c:manualLayout>
              </c:layout>
              <c:tx>
                <c:strRef>
                  <c:f>All!$I$419</c:f>
                  <c:strCache>
                    <c:ptCount val="1"/>
                    <c:pt idx="0">
                      <c:v>Soc/Env Vent.</c:v>
                    </c:pt>
                  </c:strCache>
                </c:strRef>
              </c:tx>
              <c:dLblPos val="r"/>
              <c:showVal val="1"/>
            </c:dLbl>
            <c:dLbl>
              <c:idx val="2"/>
              <c:layout>
                <c:manualLayout>
                  <c:x val="-3.6485163329668092E-2"/>
                  <c:y val="0.25054384047185463"/>
                </c:manualLayout>
              </c:layout>
              <c:tx>
                <c:strRef>
                  <c:f>All!$J$419</c:f>
                  <c:strCache>
                    <c:ptCount val="1"/>
                    <c:pt idx="0">
                      <c:v>Env.Finance</c:v>
                    </c:pt>
                  </c:strCache>
                </c:strRef>
              </c:tx>
              <c:dLblPos val="r"/>
              <c:showVal val="1"/>
            </c:dLbl>
            <c:dLbl>
              <c:idx val="3"/>
              <c:layout>
                <c:manualLayout>
                  <c:x val="-3.8324551591955379E-2"/>
                  <c:y val="0.25348231147567052"/>
                </c:manualLayout>
              </c:layout>
              <c:tx>
                <c:strRef>
                  <c:f>All!$K$419</c:f>
                  <c:strCache>
                    <c:ptCount val="1"/>
                    <c:pt idx="0">
                      <c:v>Clim. Change</c:v>
                    </c:pt>
                  </c:strCache>
                </c:strRef>
              </c:tx>
              <c:dLblPos val="r"/>
              <c:showVal val="1"/>
            </c:dLbl>
            <c:dLbl>
              <c:idx val="4"/>
              <c:layout>
                <c:manualLayout>
                  <c:x val="-3.2650544926262084E-2"/>
                  <c:y val="0.26834648091527114"/>
                </c:manualLayout>
              </c:layout>
              <c:tx>
                <c:strRef>
                  <c:f>All!$L$419</c:f>
                  <c:strCache>
                    <c:ptCount val="1"/>
                    <c:pt idx="0">
                      <c:v>Env.Just. &amp; Ethics</c:v>
                    </c:pt>
                  </c:strCache>
                </c:strRef>
              </c:tx>
              <c:dLblPos val="r"/>
              <c:showVal val="1"/>
            </c:dLbl>
            <c:dLbl>
              <c:idx val="5"/>
              <c:layout>
                <c:manualLayout>
                  <c:x val="-4.2962156155329112E-2"/>
                  <c:y val="0.26501843332968394"/>
                </c:manualLayout>
              </c:layout>
              <c:tx>
                <c:strRef>
                  <c:f>All!$M$419</c:f>
                  <c:strCache>
                    <c:ptCount val="1"/>
                    <c:pt idx="0">
                      <c:v>Env. Policy &amp; Law</c:v>
                    </c:pt>
                  </c:strCache>
                </c:strRef>
              </c:tx>
              <c:dLblPos val="r"/>
              <c:showVal val="1"/>
            </c:dLbl>
            <c:dLbl>
              <c:idx val="6"/>
              <c:layout>
                <c:manualLayout>
                  <c:x val="-3.824495934141512E-2"/>
                  <c:y val="0.25102825017746438"/>
                </c:manualLayout>
              </c:layout>
              <c:tx>
                <c:strRef>
                  <c:f>All!$N$419</c:f>
                  <c:strCache>
                    <c:ptCount val="1"/>
                    <c:pt idx="0">
                      <c:v>Env. Econ.</c:v>
                    </c:pt>
                  </c:strCache>
                </c:strRef>
              </c:tx>
              <c:dLblPos val="r"/>
              <c:showVal val="1"/>
            </c:dLbl>
            <c:dLbl>
              <c:idx val="7"/>
              <c:layout>
                <c:manualLayout>
                  <c:x val="-3.5772869448842594E-2"/>
                  <c:y val="0.23387241833956615"/>
                </c:manualLayout>
              </c:layout>
              <c:tx>
                <c:strRef>
                  <c:f>All!$O$419</c:f>
                  <c:strCache>
                    <c:ptCount val="1"/>
                    <c:pt idx="0">
                      <c:v> EH&amp;S</c:v>
                    </c:pt>
                  </c:strCache>
                </c:strRef>
              </c:tx>
              <c:dLblPos val="r"/>
              <c:showVal val="1"/>
            </c:dLbl>
            <c:dLbl>
              <c:idx val="8"/>
              <c:layout>
                <c:manualLayout>
                  <c:x val="-4.7359659531849993E-2"/>
                  <c:y val="0.25648262361901125"/>
                </c:manualLayout>
              </c:layout>
              <c:tx>
                <c:rich>
                  <a:bodyPr/>
                  <a:lstStyle/>
                  <a:p>
                    <a:r>
                      <a:rPr lang="en-US" sz="1800" b="1"/>
                      <a:t>Green Desgn </a:t>
                    </a:r>
                  </a:p>
                  <a:p>
                    <a:r>
                      <a:rPr lang="en-US" sz="1800" b="1"/>
                      <a:t>&amp; Build.</a:t>
                    </a:r>
                  </a:p>
                </c:rich>
              </c:tx>
              <c:dLblPos val="r"/>
              <c:showVal val="1"/>
            </c:dLbl>
            <c:dLbl>
              <c:idx val="9"/>
              <c:layout>
                <c:manualLayout>
                  <c:x val="-3.2960841180349282E-2"/>
                  <c:y val="0.23320444364366491"/>
                </c:manualLayout>
              </c:layout>
              <c:tx>
                <c:strRef>
                  <c:f>All!$Q$419</c:f>
                  <c:strCache>
                    <c:ptCount val="1"/>
                    <c:pt idx="0">
                      <c:v>CSR</c:v>
                    </c:pt>
                  </c:strCache>
                </c:strRef>
              </c:tx>
              <c:dLblPos val="r"/>
              <c:showVal val="1"/>
            </c:dLbl>
            <c:dLbl>
              <c:idx val="10"/>
              <c:layout>
                <c:manualLayout>
                  <c:x val="-3.1880165100311816E-2"/>
                  <c:y val="0.23968269846109724"/>
                </c:manualLayout>
              </c:layout>
              <c:tx>
                <c:strRef>
                  <c:f>All!$R$419</c:f>
                  <c:strCache>
                    <c:ptCount val="1"/>
                    <c:pt idx="0">
                      <c:v>Energy</c:v>
                    </c:pt>
                  </c:strCache>
                </c:strRef>
              </c:tx>
              <c:dLblPos val="r"/>
              <c:showVal val="1"/>
            </c:dLbl>
            <c:dLbl>
              <c:idx val="11"/>
              <c:layout>
                <c:manualLayout>
                  <c:x val="-2.6520617199431249E-2"/>
                  <c:y val="0.24257740612500137"/>
                </c:manualLayout>
              </c:layout>
              <c:tx>
                <c:strRef>
                  <c:f>All!$S$419</c:f>
                  <c:strCache>
                    <c:ptCount val="1"/>
                    <c:pt idx="0">
                      <c:v>Ind. Ecol.</c:v>
                    </c:pt>
                  </c:strCache>
                </c:strRef>
              </c:tx>
              <c:dLblPos val="r"/>
              <c:showVal val="1"/>
            </c:dLbl>
            <c:dLbl>
              <c:idx val="12"/>
              <c:layout>
                <c:manualLayout>
                  <c:x val="-3.8068431045644766E-2"/>
                  <c:y val="0.25741701988678478"/>
                </c:manualLayout>
              </c:layout>
              <c:tx>
                <c:strRef>
                  <c:f>All!$T$419</c:f>
                  <c:strCache>
                    <c:ptCount val="1"/>
                    <c:pt idx="0">
                      <c:v>NR Managmt</c:v>
                    </c:pt>
                  </c:strCache>
                </c:strRef>
              </c:tx>
              <c:dLblPos val="r"/>
              <c:showVal val="1"/>
            </c:dLbl>
            <c:dLbl>
              <c:idx val="13"/>
              <c:layout>
                <c:manualLayout>
                  <c:x val="-3.4517304849987204E-2"/>
                  <c:y val="0.25300965233980982"/>
                </c:manualLayout>
              </c:layout>
              <c:tx>
                <c:strRef>
                  <c:f>All!$U$419</c:f>
                  <c:strCache>
                    <c:ptCount val="1"/>
                    <c:pt idx="0">
                      <c:v>Intern. Dev.</c:v>
                    </c:pt>
                  </c:strCache>
                </c:strRef>
              </c:tx>
              <c:dLblPos val="r"/>
              <c:showVal val="1"/>
            </c:dLbl>
            <c:dLbl>
              <c:idx val="14"/>
              <c:layout>
                <c:manualLayout>
                  <c:x val="-2.7452830396923852E-2"/>
                  <c:y val="0.25055754946989867"/>
                </c:manualLayout>
              </c:layout>
              <c:tx>
                <c:strRef>
                  <c:f>All!$V$419</c:f>
                  <c:strCache>
                    <c:ptCount val="1"/>
                    <c:pt idx="0">
                      <c:v>Env. Chem.</c:v>
                    </c:pt>
                  </c:strCache>
                </c:strRef>
              </c:tx>
              <c:dLblPos val="r"/>
              <c:showVal val="1"/>
            </c:dLbl>
            <c:dLbl>
              <c:idx val="15"/>
              <c:layout>
                <c:manualLayout>
                  <c:x val="-2.7468975893071412E-2"/>
                  <c:y val="0.24225991476920231"/>
                </c:manualLayout>
              </c:layout>
              <c:tx>
                <c:strRef>
                  <c:f>All!$W$419</c:f>
                  <c:strCache>
                    <c:ptCount val="1"/>
                    <c:pt idx="0">
                      <c:v>Pollution</c:v>
                    </c:pt>
                  </c:strCache>
                </c:strRef>
              </c:tx>
              <c:dLblPos val="r"/>
              <c:showVal val="1"/>
            </c:dLbl>
            <c:dLbl>
              <c:idx val="16"/>
              <c:layout>
                <c:manualLayout>
                  <c:x val="-3.0304717859031542E-2"/>
                  <c:y val="0.22929451688285721"/>
                </c:manualLayout>
              </c:layout>
              <c:tx>
                <c:strRef>
                  <c:f>All!$X$419</c:f>
                  <c:strCache>
                    <c:ptCount val="1"/>
                    <c:pt idx="0">
                      <c:v>Air</c:v>
                    </c:pt>
                  </c:strCache>
                </c:strRef>
              </c:tx>
              <c:dLblPos val="r"/>
              <c:showVal val="1"/>
            </c:dLbl>
            <c:dLbl>
              <c:idx val="17"/>
              <c:layout>
                <c:manualLayout>
                  <c:x val="-3.4445785347520796E-2"/>
                  <c:y val="0.23500627299646942"/>
                </c:manualLayout>
              </c:layout>
              <c:tx>
                <c:strRef>
                  <c:f>All!$Y$419</c:f>
                  <c:strCache>
                    <c:ptCount val="1"/>
                    <c:pt idx="0">
                      <c:v>Soils</c:v>
                    </c:pt>
                  </c:strCache>
                </c:strRef>
              </c:tx>
              <c:dLblPos val="r"/>
              <c:showVal val="1"/>
            </c:dLbl>
            <c:dLbl>
              <c:idx val="18"/>
              <c:layout>
                <c:manualLayout>
                  <c:x val="-4.1909293215139053E-2"/>
                  <c:y val="0.24019075995454037"/>
                </c:manualLayout>
              </c:layout>
              <c:tx>
                <c:strRef>
                  <c:f>All!$Z$419</c:f>
                  <c:strCache>
                    <c:ptCount val="1"/>
                    <c:pt idx="0">
                      <c:v>Water</c:v>
                    </c:pt>
                  </c:strCache>
                </c:strRef>
              </c:tx>
              <c:dLblPos val="r"/>
              <c:showVal val="1"/>
            </c:dLbl>
            <c:dLbl>
              <c:idx val="19"/>
              <c:layout>
                <c:manualLayout>
                  <c:x val="-4.9278198566266855E-2"/>
                  <c:y val="0.23796349971738706"/>
                </c:manualLayout>
              </c:layout>
              <c:tx>
                <c:strRef>
                  <c:f>All!$AA$419</c:f>
                  <c:strCache>
                    <c:ptCount val="1"/>
                    <c:pt idx="0">
                      <c:v>Ecosyst.</c:v>
                    </c:pt>
                  </c:strCache>
                </c:strRef>
              </c:tx>
              <c:dLblPos val="r"/>
              <c:showVal val="1"/>
            </c:dLbl>
            <c:dLbl>
              <c:idx val="20"/>
              <c:layout>
                <c:manualLayout>
                  <c:x val="-1.9422401182153274E-2"/>
                  <c:y val="0.23539584957824494"/>
                </c:manualLayout>
              </c:layout>
              <c:tx>
                <c:strRef>
                  <c:f>All!$AB$419</c:f>
                  <c:strCache>
                    <c:ptCount val="1"/>
                    <c:pt idx="0">
                      <c:v>Forests</c:v>
                    </c:pt>
                  </c:strCache>
                </c:strRef>
              </c:tx>
              <c:dLblPos val="r"/>
              <c:showVal val="1"/>
            </c:dLbl>
            <c:txPr>
              <a:bodyPr rot="3300000"/>
              <a:lstStyle/>
              <a:p>
                <a:pPr>
                  <a:defRPr sz="1800" b="1"/>
                </a:pPr>
                <a:endParaRPr lang="en-US"/>
              </a:p>
            </c:txPr>
            <c:showVal val="1"/>
          </c:dLbls>
          <c:xVal>
            <c:numRef>
              <c:f>'bub-Top5-Rank 1-3'!$B$17:$V$17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1-3'!$B$16:$V$16</c:f>
              <c:numCache>
                <c:formatCode>General</c:formatCode>
                <c:ptCount val="21"/>
                <c:pt idx="0">
                  <c:v>106</c:v>
                </c:pt>
                <c:pt idx="1">
                  <c:v>106</c:v>
                </c:pt>
                <c:pt idx="2">
                  <c:v>106</c:v>
                </c:pt>
                <c:pt idx="3">
                  <c:v>106</c:v>
                </c:pt>
                <c:pt idx="4">
                  <c:v>106</c:v>
                </c:pt>
                <c:pt idx="5">
                  <c:v>106</c:v>
                </c:pt>
                <c:pt idx="6">
                  <c:v>106</c:v>
                </c:pt>
                <c:pt idx="7">
                  <c:v>106</c:v>
                </c:pt>
                <c:pt idx="8">
                  <c:v>106</c:v>
                </c:pt>
                <c:pt idx="9">
                  <c:v>106</c:v>
                </c:pt>
                <c:pt idx="10">
                  <c:v>106</c:v>
                </c:pt>
                <c:pt idx="11">
                  <c:v>106</c:v>
                </c:pt>
                <c:pt idx="12">
                  <c:v>106</c:v>
                </c:pt>
                <c:pt idx="13">
                  <c:v>106</c:v>
                </c:pt>
                <c:pt idx="14">
                  <c:v>106</c:v>
                </c:pt>
                <c:pt idx="15">
                  <c:v>106</c:v>
                </c:pt>
                <c:pt idx="16">
                  <c:v>106</c:v>
                </c:pt>
                <c:pt idx="17">
                  <c:v>106</c:v>
                </c:pt>
                <c:pt idx="18">
                  <c:v>106</c:v>
                </c:pt>
                <c:pt idx="19">
                  <c:v>106</c:v>
                </c:pt>
                <c:pt idx="20">
                  <c:v>106</c:v>
                </c:pt>
              </c:numCache>
            </c:numRef>
          </c:yVal>
          <c:bubbleSize>
            <c:numRef>
              <c:f>'bub-Top5-Rank 1-3'!$B$19:$V$19</c:f>
              <c:numCache>
                <c:formatCode>General</c:formatCode>
                <c:ptCount val="21"/>
                <c:pt idx="0">
                  <c:v>21</c:v>
                </c:pt>
                <c:pt idx="1">
                  <c:v>6</c:v>
                </c:pt>
                <c:pt idx="2">
                  <c:v>21</c:v>
                </c:pt>
                <c:pt idx="3">
                  <c:v>23</c:v>
                </c:pt>
                <c:pt idx="4">
                  <c:v>17</c:v>
                </c:pt>
                <c:pt idx="5">
                  <c:v>41</c:v>
                </c:pt>
                <c:pt idx="6">
                  <c:v>22</c:v>
                </c:pt>
                <c:pt idx="7">
                  <c:v>11</c:v>
                </c:pt>
                <c:pt idx="8">
                  <c:v>19</c:v>
                </c:pt>
                <c:pt idx="9">
                  <c:v>16</c:v>
                </c:pt>
                <c:pt idx="10">
                  <c:v>14</c:v>
                </c:pt>
                <c:pt idx="11">
                  <c:v>8</c:v>
                </c:pt>
                <c:pt idx="12">
                  <c:v>44</c:v>
                </c:pt>
                <c:pt idx="13">
                  <c:v>19</c:v>
                </c:pt>
                <c:pt idx="14">
                  <c:v>11</c:v>
                </c:pt>
                <c:pt idx="15">
                  <c:v>16</c:v>
                </c:pt>
                <c:pt idx="16">
                  <c:v>16</c:v>
                </c:pt>
                <c:pt idx="17">
                  <c:v>23</c:v>
                </c:pt>
                <c:pt idx="18">
                  <c:v>25</c:v>
                </c:pt>
                <c:pt idx="19">
                  <c:v>31</c:v>
                </c:pt>
                <c:pt idx="20">
                  <c:v>19</c:v>
                </c:pt>
              </c:numCache>
            </c:numRef>
          </c:bubbleSize>
          <c:bubble3D val="1"/>
        </c:ser>
        <c:ser>
          <c:idx val="17"/>
          <c:order val="4"/>
          <c:tx>
            <c:strRef>
              <c:f>'bub-Top5-Rank 1-3'!$A$21</c:f>
              <c:strCache>
                <c:ptCount val="1"/>
                <c:pt idx="0">
                  <c:v>SOM</c:v>
                </c:pt>
              </c:strCache>
            </c:strRef>
          </c:tx>
          <c:spPr>
            <a:ln w="25400">
              <a:noFill/>
            </a:ln>
          </c:spPr>
          <c:xVal>
            <c:numRef>
              <c:f>'bub-Top5-Rank 1-3'!$B$22:$V$22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1-3'!$B$21:$V$21</c:f>
              <c:numCache>
                <c:formatCode>General</c:formatCode>
                <c:ptCount val="2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107</c:v>
                </c:pt>
              </c:numCache>
            </c:numRef>
          </c:yVal>
          <c:bubbleSize>
            <c:numRef>
              <c:f>'bub-Top5-Rank 1-3'!$B$24:$V$24</c:f>
              <c:numCache>
                <c:formatCode>General</c:formatCode>
                <c:ptCount val="21"/>
                <c:pt idx="0">
                  <c:v>5</c:v>
                </c:pt>
                <c:pt idx="1">
                  <c:v>12</c:v>
                </c:pt>
                <c:pt idx="2">
                  <c:v>7</c:v>
                </c:pt>
                <c:pt idx="3">
                  <c:v>4</c:v>
                </c:pt>
                <c:pt idx="4">
                  <c:v>4</c:v>
                </c:pt>
                <c:pt idx="5">
                  <c:v>1</c:v>
                </c:pt>
                <c:pt idx="6">
                  <c:v>1</c:v>
                </c:pt>
                <c:pt idx="7">
                  <c:v>0</c:v>
                </c:pt>
                <c:pt idx="8">
                  <c:v>0</c:v>
                </c:pt>
                <c:pt idx="9">
                  <c:v>8</c:v>
                </c:pt>
                <c:pt idx="10">
                  <c:v>5</c:v>
                </c:pt>
                <c:pt idx="11">
                  <c:v>0</c:v>
                </c:pt>
                <c:pt idx="12">
                  <c:v>2</c:v>
                </c:pt>
                <c:pt idx="13">
                  <c:v>8</c:v>
                </c:pt>
                <c:pt idx="14">
                  <c:v>0</c:v>
                </c:pt>
                <c:pt idx="15">
                  <c:v>0</c:v>
                </c:pt>
                <c:pt idx="16">
                  <c:v>0</c:v>
                </c:pt>
                <c:pt idx="17">
                  <c:v>0</c:v>
                </c:pt>
                <c:pt idx="18">
                  <c:v>0</c:v>
                </c:pt>
                <c:pt idx="19">
                  <c:v>0</c:v>
                </c:pt>
                <c:pt idx="20">
                  <c:v>0</c:v>
                </c:pt>
              </c:numCache>
            </c:numRef>
          </c:bubbleSize>
          <c:bubble3D val="1"/>
        </c:ser>
        <c:ser>
          <c:idx val="0"/>
          <c:order val="5"/>
          <c:tx>
            <c:strRef>
              <c:f>'bub-Top5-Rank 1-3'!$A$26</c:f>
              <c:strCache>
                <c:ptCount val="1"/>
                <c:pt idx="0">
                  <c:v>OTHER</c:v>
                </c:pt>
              </c:strCache>
            </c:strRef>
          </c:tx>
          <c:spPr>
            <a:ln w="25400">
              <a:noFill/>
            </a:ln>
          </c:spPr>
          <c:dLbls>
            <c:dLbl>
              <c:idx val="0"/>
              <c:layout>
                <c:manualLayout>
                  <c:x val="-0.1028053114898225"/>
                  <c:y val="-1.8499614942868161E-3"/>
                </c:manualLayout>
              </c:layout>
              <c:tx>
                <c:strRef>
                  <c:f>'bub-Top5-Rank 1-3'!$A$26</c:f>
                  <c:strCache>
                    <c:ptCount val="1"/>
                    <c:pt idx="0">
                      <c:v>OTHER</c:v>
                    </c:pt>
                  </c:strCache>
                </c:strRef>
              </c:tx>
              <c:dLblPos val="r"/>
              <c:showVal val="1"/>
            </c:dLbl>
            <c:delete val="1"/>
          </c:dLbls>
          <c:xVal>
            <c:numRef>
              <c:f>'bub-Top5-Rank 1-3'!$B$27:$V$27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1-3'!$B$26:$V$26</c:f>
              <c:numCache>
                <c:formatCode>General</c:formatCode>
                <c:ptCount val="21"/>
                <c:pt idx="0">
                  <c:v>108</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108</c:v>
                </c:pt>
                <c:pt idx="18">
                  <c:v>108</c:v>
                </c:pt>
                <c:pt idx="19">
                  <c:v>108</c:v>
                </c:pt>
                <c:pt idx="20">
                  <c:v>108</c:v>
                </c:pt>
              </c:numCache>
            </c:numRef>
          </c:yVal>
          <c:bubbleSize>
            <c:numRef>
              <c:f>'bub-Top5-Rank 1-3'!$B$29:$V$29</c:f>
              <c:numCache>
                <c:formatCode>General</c:formatCode>
                <c:ptCount val="21"/>
                <c:pt idx="0">
                  <c:v>3</c:v>
                </c:pt>
                <c:pt idx="1">
                  <c:v>1</c:v>
                </c:pt>
                <c:pt idx="2">
                  <c:v>3</c:v>
                </c:pt>
                <c:pt idx="3">
                  <c:v>10</c:v>
                </c:pt>
                <c:pt idx="4">
                  <c:v>4</c:v>
                </c:pt>
                <c:pt idx="5">
                  <c:v>8</c:v>
                </c:pt>
                <c:pt idx="6">
                  <c:v>3</c:v>
                </c:pt>
                <c:pt idx="7">
                  <c:v>6</c:v>
                </c:pt>
                <c:pt idx="8">
                  <c:v>6</c:v>
                </c:pt>
                <c:pt idx="9">
                  <c:v>3</c:v>
                </c:pt>
                <c:pt idx="10">
                  <c:v>10</c:v>
                </c:pt>
                <c:pt idx="11">
                  <c:v>6</c:v>
                </c:pt>
                <c:pt idx="12">
                  <c:v>7</c:v>
                </c:pt>
                <c:pt idx="13">
                  <c:v>6</c:v>
                </c:pt>
                <c:pt idx="14">
                  <c:v>8</c:v>
                </c:pt>
                <c:pt idx="15">
                  <c:v>10</c:v>
                </c:pt>
                <c:pt idx="16">
                  <c:v>8</c:v>
                </c:pt>
                <c:pt idx="17">
                  <c:v>6</c:v>
                </c:pt>
                <c:pt idx="18">
                  <c:v>10</c:v>
                </c:pt>
                <c:pt idx="19">
                  <c:v>3</c:v>
                </c:pt>
                <c:pt idx="20">
                  <c:v>2</c:v>
                </c:pt>
              </c:numCache>
            </c:numRef>
          </c:bubbleSize>
          <c:bubble3D val="1"/>
        </c:ser>
        <c:bubbleScale val="20"/>
        <c:axId val="161078656"/>
        <c:axId val="161137792"/>
      </c:bubbleChart>
      <c:valAx>
        <c:axId val="161078656"/>
        <c:scaling>
          <c:orientation val="minMax"/>
          <c:max val="31"/>
          <c:min val="9"/>
        </c:scaling>
        <c:axPos val="b"/>
        <c:majorGridlines>
          <c:spPr>
            <a:ln>
              <a:prstDash val="sysDot"/>
            </a:ln>
          </c:spPr>
        </c:majorGridlines>
        <c:numFmt formatCode="General" sourceLinked="1"/>
        <c:tickLblPos val="none"/>
        <c:txPr>
          <a:bodyPr/>
          <a:lstStyle/>
          <a:p>
            <a:pPr>
              <a:defRPr sz="1200"/>
            </a:pPr>
            <a:endParaRPr lang="en-US"/>
          </a:p>
        </c:txPr>
        <c:crossAx val="161137792"/>
        <c:crosses val="autoZero"/>
        <c:crossBetween val="midCat"/>
        <c:majorUnit val="1"/>
      </c:valAx>
      <c:valAx>
        <c:axId val="161137792"/>
        <c:scaling>
          <c:orientation val="minMax"/>
          <c:max val="109"/>
          <c:min val="102"/>
        </c:scaling>
        <c:axPos val="l"/>
        <c:majorGridlines>
          <c:spPr>
            <a:ln>
              <a:prstDash val="sysDot"/>
            </a:ln>
          </c:spPr>
        </c:majorGridlines>
        <c:numFmt formatCode="General" sourceLinked="1"/>
        <c:tickLblPos val="none"/>
        <c:txPr>
          <a:bodyPr/>
          <a:lstStyle/>
          <a:p>
            <a:pPr>
              <a:defRPr sz="1200"/>
            </a:pPr>
            <a:endParaRPr lang="en-US"/>
          </a:p>
        </c:txPr>
        <c:crossAx val="161078656"/>
        <c:crossesAt val="9"/>
        <c:crossBetween val="midCat"/>
      </c:valAx>
    </c:plotArea>
    <c:plotVisOnly val="1"/>
  </c:chart>
  <c:printSettings>
    <c:headerFooter/>
    <c:pageMargins b="0.7500000000000121" l="0.70000000000000062" r="0.70000000000000062" t="0.7500000000000121"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325221878706941"/>
          <c:y val="6.620477960658315E-2"/>
          <c:w val="0.8214677287045995"/>
          <c:h val="0.70949523543370563"/>
        </c:manualLayout>
      </c:layout>
      <c:bubbleChart>
        <c:ser>
          <c:idx val="3"/>
          <c:order val="0"/>
          <c:tx>
            <c:strRef>
              <c:f>'bub-Top5-Rank 1-3'!$A$1</c:f>
              <c:strCache>
                <c:ptCount val="1"/>
                <c:pt idx="0">
                  <c:v>Biology</c:v>
                </c:pt>
              </c:strCache>
            </c:strRef>
          </c:tx>
          <c:spPr>
            <a:ln w="25400">
              <a:noFill/>
            </a:ln>
          </c:spPr>
          <c:xVal>
            <c:numRef>
              <c:f>'bub-Top5-Rank 1-3'!$B$2:$V$2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1-3'!$B$1:$V$1</c:f>
              <c:numCache>
                <c:formatCode>General</c:formatCode>
                <c:ptCount val="21"/>
                <c:pt idx="0">
                  <c:v>103</c:v>
                </c:pt>
                <c:pt idx="1">
                  <c:v>103</c:v>
                </c:pt>
                <c:pt idx="2">
                  <c:v>103</c:v>
                </c:pt>
                <c:pt idx="3">
                  <c:v>103</c:v>
                </c:pt>
                <c:pt idx="4">
                  <c:v>103</c:v>
                </c:pt>
                <c:pt idx="5">
                  <c:v>103</c:v>
                </c:pt>
                <c:pt idx="6">
                  <c:v>103</c:v>
                </c:pt>
                <c:pt idx="7">
                  <c:v>103</c:v>
                </c:pt>
                <c:pt idx="8">
                  <c:v>103</c:v>
                </c:pt>
                <c:pt idx="9">
                  <c:v>103</c:v>
                </c:pt>
                <c:pt idx="10">
                  <c:v>103</c:v>
                </c:pt>
                <c:pt idx="11">
                  <c:v>103</c:v>
                </c:pt>
                <c:pt idx="12">
                  <c:v>103</c:v>
                </c:pt>
                <c:pt idx="13">
                  <c:v>103</c:v>
                </c:pt>
                <c:pt idx="14">
                  <c:v>103</c:v>
                </c:pt>
                <c:pt idx="15">
                  <c:v>103</c:v>
                </c:pt>
                <c:pt idx="16">
                  <c:v>103</c:v>
                </c:pt>
                <c:pt idx="17">
                  <c:v>103</c:v>
                </c:pt>
                <c:pt idx="18">
                  <c:v>103</c:v>
                </c:pt>
                <c:pt idx="19">
                  <c:v>103</c:v>
                </c:pt>
                <c:pt idx="20">
                  <c:v>103</c:v>
                </c:pt>
              </c:numCache>
            </c:numRef>
          </c:yVal>
          <c:bubbleSize>
            <c:numRef>
              <c:f>'bub-Top5-Rank 1-3'!$B$4:$V$4</c:f>
              <c:numCache>
                <c:formatCode>General</c:formatCode>
                <c:ptCount val="21"/>
                <c:pt idx="0">
                  <c:v>0</c:v>
                </c:pt>
                <c:pt idx="1">
                  <c:v>0</c:v>
                </c:pt>
                <c:pt idx="2">
                  <c:v>0</c:v>
                </c:pt>
                <c:pt idx="3">
                  <c:v>2</c:v>
                </c:pt>
                <c:pt idx="4">
                  <c:v>0</c:v>
                </c:pt>
                <c:pt idx="5">
                  <c:v>0</c:v>
                </c:pt>
                <c:pt idx="6">
                  <c:v>0</c:v>
                </c:pt>
                <c:pt idx="7">
                  <c:v>0</c:v>
                </c:pt>
                <c:pt idx="8">
                  <c:v>0</c:v>
                </c:pt>
                <c:pt idx="9">
                  <c:v>0</c:v>
                </c:pt>
                <c:pt idx="10">
                  <c:v>0</c:v>
                </c:pt>
                <c:pt idx="11">
                  <c:v>0</c:v>
                </c:pt>
                <c:pt idx="12">
                  <c:v>2</c:v>
                </c:pt>
                <c:pt idx="13">
                  <c:v>1</c:v>
                </c:pt>
                <c:pt idx="14">
                  <c:v>1</c:v>
                </c:pt>
                <c:pt idx="15">
                  <c:v>1</c:v>
                </c:pt>
                <c:pt idx="16">
                  <c:v>1</c:v>
                </c:pt>
                <c:pt idx="17">
                  <c:v>1</c:v>
                </c:pt>
                <c:pt idx="18">
                  <c:v>1</c:v>
                </c:pt>
                <c:pt idx="19">
                  <c:v>2</c:v>
                </c:pt>
                <c:pt idx="20">
                  <c:v>2</c:v>
                </c:pt>
              </c:numCache>
            </c:numRef>
          </c:bubbleSize>
          <c:bubble3D val="1"/>
        </c:ser>
        <c:ser>
          <c:idx val="5"/>
          <c:order val="1"/>
          <c:tx>
            <c:strRef>
              <c:f>'bub-Top5-Rank 1-3'!$A$6</c:f>
              <c:strCache>
                <c:ptCount val="1"/>
                <c:pt idx="0">
                  <c:v>Economics</c:v>
                </c:pt>
              </c:strCache>
            </c:strRef>
          </c:tx>
          <c:spPr>
            <a:ln w="25400">
              <a:noFill/>
            </a:ln>
          </c:spPr>
          <c:xVal>
            <c:numRef>
              <c:f>'bub-Top5-Rank 1-3'!$B$7:$V$7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1-3'!$B$6:$V$6</c:f>
              <c:numCache>
                <c:formatCode>General</c:formatCode>
                <c:ptCount val="21"/>
                <c:pt idx="0">
                  <c:v>104</c:v>
                </c:pt>
                <c:pt idx="1">
                  <c:v>104</c:v>
                </c:pt>
                <c:pt idx="2">
                  <c:v>104</c:v>
                </c:pt>
                <c:pt idx="3">
                  <c:v>104</c:v>
                </c:pt>
                <c:pt idx="4">
                  <c:v>104</c:v>
                </c:pt>
                <c:pt idx="5">
                  <c:v>104</c:v>
                </c:pt>
                <c:pt idx="6">
                  <c:v>104</c:v>
                </c:pt>
                <c:pt idx="7">
                  <c:v>104</c:v>
                </c:pt>
                <c:pt idx="8">
                  <c:v>104</c:v>
                </c:pt>
                <c:pt idx="9">
                  <c:v>104</c:v>
                </c:pt>
                <c:pt idx="10">
                  <c:v>104</c:v>
                </c:pt>
                <c:pt idx="11">
                  <c:v>104</c:v>
                </c:pt>
                <c:pt idx="12">
                  <c:v>104</c:v>
                </c:pt>
                <c:pt idx="13">
                  <c:v>104</c:v>
                </c:pt>
                <c:pt idx="14">
                  <c:v>104</c:v>
                </c:pt>
                <c:pt idx="15">
                  <c:v>104</c:v>
                </c:pt>
                <c:pt idx="16">
                  <c:v>104</c:v>
                </c:pt>
                <c:pt idx="17">
                  <c:v>104</c:v>
                </c:pt>
                <c:pt idx="18">
                  <c:v>104</c:v>
                </c:pt>
                <c:pt idx="19">
                  <c:v>104</c:v>
                </c:pt>
                <c:pt idx="20">
                  <c:v>104</c:v>
                </c:pt>
              </c:numCache>
            </c:numRef>
          </c:yVal>
          <c:bubbleSize>
            <c:numRef>
              <c:f>'bub-Top5-Rank 1-3'!$B$9:$V$9</c:f>
              <c:numCache>
                <c:formatCode>General</c:formatCode>
                <c:ptCount val="21"/>
                <c:pt idx="0">
                  <c:v>1</c:v>
                </c:pt>
                <c:pt idx="1">
                  <c:v>0</c:v>
                </c:pt>
                <c:pt idx="2">
                  <c:v>3</c:v>
                </c:pt>
                <c:pt idx="3">
                  <c:v>4</c:v>
                </c:pt>
                <c:pt idx="4">
                  <c:v>1</c:v>
                </c:pt>
                <c:pt idx="5">
                  <c:v>5</c:v>
                </c:pt>
                <c:pt idx="6">
                  <c:v>5</c:v>
                </c:pt>
                <c:pt idx="7">
                  <c:v>1</c:v>
                </c:pt>
                <c:pt idx="8">
                  <c:v>0</c:v>
                </c:pt>
                <c:pt idx="9">
                  <c:v>1</c:v>
                </c:pt>
                <c:pt idx="10">
                  <c:v>1</c:v>
                </c:pt>
                <c:pt idx="11">
                  <c:v>0</c:v>
                </c:pt>
                <c:pt idx="12">
                  <c:v>3</c:v>
                </c:pt>
                <c:pt idx="13">
                  <c:v>3</c:v>
                </c:pt>
                <c:pt idx="14">
                  <c:v>0</c:v>
                </c:pt>
                <c:pt idx="15">
                  <c:v>3</c:v>
                </c:pt>
                <c:pt idx="16">
                  <c:v>3</c:v>
                </c:pt>
                <c:pt idx="17">
                  <c:v>1</c:v>
                </c:pt>
                <c:pt idx="18">
                  <c:v>2</c:v>
                </c:pt>
                <c:pt idx="19">
                  <c:v>2</c:v>
                </c:pt>
                <c:pt idx="20">
                  <c:v>2</c:v>
                </c:pt>
              </c:numCache>
            </c:numRef>
          </c:bubbleSize>
          <c:bubble3D val="1"/>
        </c:ser>
        <c:ser>
          <c:idx val="7"/>
          <c:order val="2"/>
          <c:tx>
            <c:strRef>
              <c:f>'bub-Top5-Rank 1-3'!$A$11</c:f>
              <c:strCache>
                <c:ptCount val="1"/>
                <c:pt idx="0">
                  <c:v>Environmental studies</c:v>
                </c:pt>
              </c:strCache>
            </c:strRef>
          </c:tx>
          <c:spPr>
            <a:ln w="25400">
              <a:noFill/>
            </a:ln>
          </c:spPr>
          <c:dLbls>
            <c:dLbl>
              <c:idx val="0"/>
              <c:delete val="1"/>
            </c:dLbl>
            <c:dLbl>
              <c:idx val="1"/>
              <c:delete val="1"/>
            </c:dLbl>
            <c:dLbl>
              <c:idx val="2"/>
              <c:layout>
                <c:manualLayout>
                  <c:x val="-0.29199618233406316"/>
                  <c:y val="0"/>
                </c:manualLayout>
              </c:layout>
              <c:tx>
                <c:strRef>
                  <c:f>All!$C$423</c:f>
                  <c:strCache>
                    <c:ptCount val="1"/>
                    <c:pt idx="0">
                      <c:v>Architecture</c:v>
                    </c:pt>
                  </c:strCache>
                </c:strRef>
              </c:tx>
              <c:dLblPos val="r"/>
              <c:showVal val="1"/>
            </c:dLbl>
            <c:dLbl>
              <c:idx val="3"/>
              <c:layout>
                <c:manualLayout>
                  <c:x val="-0.22706896190841613"/>
                  <c:y val="0.20486182010104376"/>
                </c:manualLayout>
              </c:layout>
              <c:tx>
                <c:strRef>
                  <c:f>All!$C$424</c:f>
                  <c:strCache>
                    <c:ptCount val="1"/>
                    <c:pt idx="0">
                      <c:v>Biology</c:v>
                    </c:pt>
                  </c:strCache>
                </c:strRef>
              </c:tx>
              <c:dLblPos val="r"/>
              <c:showVal val="1"/>
            </c:dLbl>
            <c:dLbl>
              <c:idx val="4"/>
              <c:delete val="1"/>
            </c:dLbl>
            <c:dLbl>
              <c:idx val="5"/>
              <c:layout>
                <c:manualLayout>
                  <c:x val="-0.32535960977011213"/>
                  <c:y val="9.9658908674934085E-2"/>
                </c:manualLayout>
              </c:layout>
              <c:tx>
                <c:strRef>
                  <c:f>All!$C$427</c:f>
                  <c:strCache>
                    <c:ptCount val="1"/>
                    <c:pt idx="0">
                      <c:v>Economics</c:v>
                    </c:pt>
                  </c:strCache>
                </c:strRef>
              </c:tx>
              <c:dLblPos val="r"/>
              <c:showVal val="1"/>
            </c:dLbl>
            <c:dLbl>
              <c:idx val="6"/>
              <c:layout>
                <c:manualLayout>
                  <c:x val="-0.44253373516929528"/>
                  <c:y val="0"/>
                </c:manualLayout>
              </c:layout>
              <c:tx>
                <c:strRef>
                  <c:f>All!$C$428</c:f>
                  <c:strCache>
                    <c:ptCount val="1"/>
                    <c:pt idx="0">
                      <c:v>Engineering</c:v>
                    </c:pt>
                  </c:strCache>
                </c:strRef>
              </c:tx>
              <c:dLblPos val="r"/>
              <c:showVal val="1"/>
            </c:dLbl>
            <c:dLbl>
              <c:idx val="7"/>
              <c:layout>
                <c:manualLayout>
                  <c:x val="-0.41534465920043623"/>
                  <c:y val="-9.2661252670281228E-4"/>
                </c:manualLayout>
              </c:layout>
              <c:tx>
                <c:rich>
                  <a:bodyPr/>
                  <a:lstStyle/>
                  <a:p>
                    <a:r>
                      <a:rPr lang="en-US" sz="2000"/>
                      <a:t>Environmental </a:t>
                    </a:r>
                  </a:p>
                  <a:p>
                    <a:r>
                      <a:rPr lang="en-US" sz="2000"/>
                      <a:t>s</a:t>
                    </a:r>
                    <a:r>
                      <a:rPr lang="en-US" sz="2000" b="1" i="0" u="none" strike="noStrike" baseline="0"/>
                      <a:t>t</a:t>
                    </a:r>
                    <a:r>
                      <a:rPr lang="en-US" sz="2000"/>
                      <a:t>udies</a:t>
                    </a:r>
                  </a:p>
                </c:rich>
              </c:tx>
              <c:dLblPos val="r"/>
              <c:showVal val="1"/>
            </c:dLbl>
            <c:dLbl>
              <c:idx val="8"/>
              <c:layout>
                <c:manualLayout>
                  <c:x val="-0.38636215916269256"/>
                  <c:y val="-9.9076865255495583E-2"/>
                </c:manualLayout>
              </c:layout>
              <c:tx>
                <c:strRef>
                  <c:f>All!$C$430</c:f>
                  <c:strCache>
                    <c:ptCount val="1"/>
                    <c:pt idx="0">
                      <c:v>FES</c:v>
                    </c:pt>
                  </c:strCache>
                </c:strRef>
              </c:tx>
              <c:dLblPos val="r"/>
              <c:showVal val="1"/>
            </c:dLbl>
            <c:dLbl>
              <c:idx val="9"/>
              <c:delete val="1"/>
            </c:dLbl>
            <c:dLbl>
              <c:idx val="10"/>
              <c:delete val="1"/>
            </c:dLbl>
            <c:dLbl>
              <c:idx val="11"/>
              <c:delete val="1"/>
            </c:dLbl>
            <c:dLbl>
              <c:idx val="12"/>
              <c:delete val="1"/>
            </c:dLbl>
            <c:dLbl>
              <c:idx val="13"/>
              <c:delete val="1"/>
            </c:dLbl>
            <c:dLbl>
              <c:idx val="14"/>
              <c:layout>
                <c:manualLayout>
                  <c:x val="-0.62070662000286569"/>
                  <c:y val="-0.30661657764738842"/>
                </c:manualLayout>
              </c:layout>
              <c:tx>
                <c:rich>
                  <a:bodyPr/>
                  <a:lstStyle/>
                  <a:p>
                    <a:r>
                      <a:rPr lang="en-US" sz="2000"/>
                      <a:t>Other</a:t>
                    </a:r>
                  </a:p>
                </c:rich>
              </c:tx>
              <c:dLblPos val="r"/>
              <c:showVal val="1"/>
            </c:dLbl>
            <c:dLbl>
              <c:idx val="15"/>
              <c:delete val="1"/>
            </c:dLbl>
            <c:dLbl>
              <c:idx val="16"/>
              <c:delete val="1"/>
            </c:dLbl>
            <c:dLbl>
              <c:idx val="17"/>
              <c:layout>
                <c:manualLayout>
                  <c:x val="-0.72964852001932623"/>
                  <c:y val="-0.20235774228947329"/>
                </c:manualLayout>
              </c:layout>
              <c:tx>
                <c:strRef>
                  <c:f>All!$C$440</c:f>
                  <c:strCache>
                    <c:ptCount val="1"/>
                    <c:pt idx="0">
                      <c:v>SOM</c:v>
                    </c:pt>
                  </c:strCache>
                </c:strRef>
              </c:tx>
              <c:spPr/>
              <c:txPr>
                <a:bodyPr/>
                <a:lstStyle/>
                <a:p>
                  <a:pPr>
                    <a:defRPr sz="2000" b="1" i="0"/>
                  </a:pPr>
                  <a:endParaRPr lang="en-US"/>
                </a:p>
              </c:txPr>
              <c:dLblPos val="r"/>
              <c:showVal val="1"/>
            </c:dLbl>
            <c:dLbl>
              <c:idx val="18"/>
              <c:delete val="1"/>
            </c:dLbl>
            <c:dLbl>
              <c:idx val="19"/>
              <c:delete val="1"/>
            </c:dLbl>
            <c:dLbl>
              <c:idx val="20"/>
              <c:layout>
                <c:manualLayout>
                  <c:x val="-1.2942329412337261E-2"/>
                  <c:y val="-0.52558399660931487"/>
                </c:manualLayout>
              </c:layout>
              <c:tx>
                <c:strRef>
                  <c:f>All!$C$443</c:f>
                  <c:strCache>
                    <c:ptCount val="1"/>
                  </c:strCache>
                </c:strRef>
              </c:tx>
              <c:dLblPos val="r"/>
              <c:showVal val="1"/>
            </c:dLbl>
            <c:txPr>
              <a:bodyPr/>
              <a:lstStyle/>
              <a:p>
                <a:pPr>
                  <a:defRPr sz="2000" b="1"/>
                </a:pPr>
                <a:endParaRPr lang="en-US"/>
              </a:p>
            </c:txPr>
            <c:showVal val="1"/>
          </c:dLbls>
          <c:xVal>
            <c:numRef>
              <c:f>'bub-Top5-Rank 1-3'!$B$12:$V$12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1-3'!$B$11:$V$11</c:f>
              <c:numCache>
                <c:formatCode>General</c:formatCode>
                <c:ptCount val="21"/>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numCache>
            </c:numRef>
          </c:yVal>
          <c:bubbleSize>
            <c:numRef>
              <c:f>'bub-Top5-Rank 1-3'!$B$14:$V$14</c:f>
              <c:numCache>
                <c:formatCode>General</c:formatCode>
                <c:ptCount val="21"/>
                <c:pt idx="0">
                  <c:v>1</c:v>
                </c:pt>
                <c:pt idx="1">
                  <c:v>1</c:v>
                </c:pt>
                <c:pt idx="2">
                  <c:v>0</c:v>
                </c:pt>
                <c:pt idx="3">
                  <c:v>4</c:v>
                </c:pt>
                <c:pt idx="4">
                  <c:v>2</c:v>
                </c:pt>
                <c:pt idx="5">
                  <c:v>4</c:v>
                </c:pt>
                <c:pt idx="6">
                  <c:v>0</c:v>
                </c:pt>
                <c:pt idx="7">
                  <c:v>1</c:v>
                </c:pt>
                <c:pt idx="8">
                  <c:v>2</c:v>
                </c:pt>
                <c:pt idx="9">
                  <c:v>1</c:v>
                </c:pt>
                <c:pt idx="10">
                  <c:v>3</c:v>
                </c:pt>
                <c:pt idx="11">
                  <c:v>1</c:v>
                </c:pt>
                <c:pt idx="12">
                  <c:v>3</c:v>
                </c:pt>
                <c:pt idx="13">
                  <c:v>3</c:v>
                </c:pt>
                <c:pt idx="14">
                  <c:v>0</c:v>
                </c:pt>
                <c:pt idx="15">
                  <c:v>4</c:v>
                </c:pt>
                <c:pt idx="16">
                  <c:v>2</c:v>
                </c:pt>
                <c:pt idx="17">
                  <c:v>3</c:v>
                </c:pt>
                <c:pt idx="18">
                  <c:v>4</c:v>
                </c:pt>
                <c:pt idx="19">
                  <c:v>2</c:v>
                </c:pt>
                <c:pt idx="20">
                  <c:v>1</c:v>
                </c:pt>
              </c:numCache>
            </c:numRef>
          </c:bubbleSize>
          <c:bubble3D val="1"/>
        </c:ser>
        <c:ser>
          <c:idx val="8"/>
          <c:order val="3"/>
          <c:tx>
            <c:strRef>
              <c:f>'bub-Top5-Rank 1-3'!$A$16</c:f>
              <c:strCache>
                <c:ptCount val="1"/>
                <c:pt idx="0">
                  <c:v>FES</c:v>
                </c:pt>
              </c:strCache>
            </c:strRef>
          </c:tx>
          <c:spPr>
            <a:ln w="25400">
              <a:noFill/>
            </a:ln>
          </c:spPr>
          <c:dLbls>
            <c:dLbl>
              <c:idx val="0"/>
              <c:layout>
                <c:manualLayout>
                  <c:x val="-3.9055131254415072E-2"/>
                  <c:y val="0.46202426029215155"/>
                </c:manualLayout>
              </c:layout>
              <c:tx>
                <c:strRef>
                  <c:f>All!$H$419</c:f>
                  <c:strCache>
                    <c:ptCount val="1"/>
                    <c:pt idx="0">
                      <c:v>Corp.  Env Strat.</c:v>
                    </c:pt>
                  </c:strCache>
                </c:strRef>
              </c:tx>
              <c:dLblPos val="r"/>
              <c:showVal val="1"/>
            </c:dLbl>
            <c:dLbl>
              <c:idx val="1"/>
              <c:layout>
                <c:manualLayout>
                  <c:x val="-2.3563461250963029E-2"/>
                  <c:y val="0.45466531794392334"/>
                </c:manualLayout>
              </c:layout>
              <c:tx>
                <c:strRef>
                  <c:f>All!$I$419</c:f>
                  <c:strCache>
                    <c:ptCount val="1"/>
                    <c:pt idx="0">
                      <c:v>Soc/Env Vent.</c:v>
                    </c:pt>
                  </c:strCache>
                </c:strRef>
              </c:tx>
              <c:dLblPos val="r"/>
              <c:showVal val="1"/>
            </c:dLbl>
            <c:dLbl>
              <c:idx val="2"/>
              <c:layout>
                <c:manualLayout>
                  <c:x val="-3.0878360062933961E-2"/>
                  <c:y val="0.45047675468291581"/>
                </c:manualLayout>
              </c:layout>
              <c:tx>
                <c:strRef>
                  <c:f>All!$J$419</c:f>
                  <c:strCache>
                    <c:ptCount val="1"/>
                    <c:pt idx="0">
                      <c:v>Env.Finance</c:v>
                    </c:pt>
                  </c:strCache>
                </c:strRef>
              </c:tx>
              <c:dLblPos val="r"/>
              <c:showVal val="1"/>
            </c:dLbl>
            <c:dLbl>
              <c:idx val="3"/>
              <c:layout>
                <c:manualLayout>
                  <c:x val="-4.2329403864907918E-2"/>
                  <c:y val="0.45341525674689726"/>
                </c:manualLayout>
              </c:layout>
              <c:tx>
                <c:strRef>
                  <c:f>All!$K$419</c:f>
                  <c:strCache>
                    <c:ptCount val="1"/>
                    <c:pt idx="0">
                      <c:v>Clim. Change</c:v>
                    </c:pt>
                  </c:strCache>
                </c:strRef>
              </c:tx>
              <c:dLblPos val="r"/>
              <c:showVal val="1"/>
            </c:dLbl>
            <c:dLbl>
              <c:idx val="4"/>
              <c:layout>
                <c:manualLayout>
                  <c:x val="-3.0247637967461685E-2"/>
                  <c:y val="0.46636618927016715"/>
                </c:manualLayout>
              </c:layout>
              <c:tx>
                <c:strRef>
                  <c:f>All!$L$419</c:f>
                  <c:strCache>
                    <c:ptCount val="1"/>
                    <c:pt idx="0">
                      <c:v>Env.Just. &amp; Ethics</c:v>
                    </c:pt>
                  </c:strCache>
                </c:strRef>
              </c:tx>
              <c:dLblPos val="r"/>
              <c:showVal val="1"/>
            </c:dLbl>
            <c:dLbl>
              <c:idx val="5"/>
              <c:layout>
                <c:manualLayout>
                  <c:x val="-3.6554405305142028E-2"/>
                  <c:y val="0.47451755847151594"/>
                </c:manualLayout>
              </c:layout>
              <c:tx>
                <c:strRef>
                  <c:f>All!$M$419</c:f>
                  <c:strCache>
                    <c:ptCount val="1"/>
                    <c:pt idx="0">
                      <c:v>Env. Policy &amp; Law</c:v>
                    </c:pt>
                  </c:strCache>
                </c:strRef>
              </c:tx>
              <c:dLblPos val="r"/>
              <c:showVal val="1"/>
            </c:dLbl>
            <c:dLbl>
              <c:idx val="6"/>
              <c:layout>
                <c:manualLayout>
                  <c:x val="-3.5041074051102808E-2"/>
                  <c:y val="0.44809141402743274"/>
                </c:manualLayout>
              </c:layout>
              <c:tx>
                <c:strRef>
                  <c:f>All!$N$419</c:f>
                  <c:strCache>
                    <c:ptCount val="1"/>
                    <c:pt idx="0">
                      <c:v>Env. Econ.</c:v>
                    </c:pt>
                  </c:strCache>
                </c:strRef>
              </c:tx>
              <c:dLblPos val="r"/>
              <c:showVal val="1"/>
            </c:dLbl>
            <c:dLbl>
              <c:idx val="7"/>
              <c:layout>
                <c:manualLayout>
                  <c:x val="-3.0166116504797745E-2"/>
                  <c:y val="0.43476195551065788"/>
                </c:manualLayout>
              </c:layout>
              <c:tx>
                <c:strRef>
                  <c:f>All!$O$419</c:f>
                  <c:strCache>
                    <c:ptCount val="1"/>
                    <c:pt idx="0">
                      <c:v> EH&amp;S</c:v>
                    </c:pt>
                  </c:strCache>
                </c:strRef>
              </c:tx>
              <c:dLblPos val="r"/>
              <c:showVal val="1"/>
            </c:dLbl>
            <c:dLbl>
              <c:idx val="8"/>
              <c:layout>
                <c:manualLayout>
                  <c:x val="-3.9349982331616157E-2"/>
                  <c:y val="0.45737216687623244"/>
                </c:manualLayout>
              </c:layout>
              <c:tx>
                <c:rich>
                  <a:bodyPr/>
                  <a:lstStyle/>
                  <a:p>
                    <a:r>
                      <a:rPr lang="en-US" sz="1800" b="1"/>
                      <a:t>Green Desgn </a:t>
                    </a:r>
                  </a:p>
                  <a:p>
                    <a:r>
                      <a:rPr lang="en-US" sz="1800" b="1"/>
                      <a:t>&amp; Build.</a:t>
                    </a:r>
                  </a:p>
                </c:rich>
              </c:tx>
              <c:dLblPos val="r"/>
              <c:showVal val="1"/>
            </c:dLbl>
            <c:dLbl>
              <c:idx val="9"/>
              <c:layout>
                <c:manualLayout>
                  <c:x val="-3.0557912024085625E-2"/>
                  <c:y val="0.42931094238643752"/>
                </c:manualLayout>
              </c:layout>
              <c:tx>
                <c:strRef>
                  <c:f>All!$Q$419</c:f>
                  <c:strCache>
                    <c:ptCount val="1"/>
                    <c:pt idx="0">
                      <c:v>CSR</c:v>
                    </c:pt>
                  </c:strCache>
                </c:strRef>
              </c:tx>
              <c:dLblPos val="r"/>
              <c:showVal val="1"/>
            </c:dLbl>
            <c:dLbl>
              <c:idx val="10"/>
              <c:layout>
                <c:manualLayout>
                  <c:x val="-2.7875350443466413E-2"/>
                  <c:y val="0.44439869593615938"/>
                </c:manualLayout>
              </c:layout>
              <c:tx>
                <c:strRef>
                  <c:f>All!$R$419</c:f>
                  <c:strCache>
                    <c:ptCount val="1"/>
                    <c:pt idx="0">
                      <c:v>Energy</c:v>
                    </c:pt>
                  </c:strCache>
                </c:strRef>
              </c:tx>
              <c:dLblPos val="r"/>
              <c:showVal val="1"/>
            </c:dLbl>
            <c:dLbl>
              <c:idx val="11"/>
              <c:layout>
                <c:manualLayout>
                  <c:x val="-2.4117716473666811E-2"/>
                  <c:y val="0.45016330650216879"/>
                </c:manualLayout>
              </c:layout>
              <c:tx>
                <c:strRef>
                  <c:f>All!$S$419</c:f>
                  <c:strCache>
                    <c:ptCount val="1"/>
                    <c:pt idx="0">
                      <c:v>Ind. Ecol.</c:v>
                    </c:pt>
                  </c:strCache>
                </c:strRef>
              </c:tx>
              <c:dLblPos val="r"/>
              <c:showVal val="1"/>
            </c:dLbl>
            <c:dLbl>
              <c:idx val="12"/>
              <c:layout>
                <c:manualLayout>
                  <c:x val="-4.2874262734601827E-2"/>
                  <c:y val="0.45830654097693141"/>
                </c:manualLayout>
              </c:layout>
              <c:tx>
                <c:strRef>
                  <c:f>All!$T$419</c:f>
                  <c:strCache>
                    <c:ptCount val="1"/>
                    <c:pt idx="0">
                      <c:v>NR Managmt</c:v>
                    </c:pt>
                  </c:strCache>
                </c:strRef>
              </c:tx>
              <c:dLblPos val="r"/>
              <c:showVal val="1"/>
            </c:dLbl>
            <c:dLbl>
              <c:idx val="13"/>
              <c:layout>
                <c:manualLayout>
                  <c:x val="-3.6920215048175296E-2"/>
                  <c:y val="0.45581246365494493"/>
                </c:manualLayout>
              </c:layout>
              <c:tx>
                <c:strRef>
                  <c:f>All!$U$419</c:f>
                  <c:strCache>
                    <c:ptCount val="1"/>
                    <c:pt idx="0">
                      <c:v>Intern. Dev.</c:v>
                    </c:pt>
                  </c:strCache>
                </c:strRef>
              </c:tx>
              <c:dLblPos val="r"/>
              <c:showVal val="1"/>
            </c:dLbl>
            <c:dLbl>
              <c:idx val="14"/>
              <c:layout>
                <c:manualLayout>
                  <c:x val="-3.2258651918842203E-2"/>
                  <c:y val="0.45623017067104177"/>
                </c:manualLayout>
              </c:layout>
              <c:tx>
                <c:strRef>
                  <c:f>All!$V$419</c:f>
                  <c:strCache>
                    <c:ptCount val="1"/>
                    <c:pt idx="0">
                      <c:v>Env. Chem.</c:v>
                    </c:pt>
                  </c:strCache>
                </c:strRef>
              </c:tx>
              <c:dLblPos val="r"/>
              <c:showVal val="1"/>
            </c:dLbl>
            <c:dLbl>
              <c:idx val="15"/>
              <c:layout>
                <c:manualLayout>
                  <c:x val="-3.7080601073685632E-2"/>
                  <c:y val="0.4517589816337278"/>
                </c:manualLayout>
              </c:layout>
              <c:tx>
                <c:strRef>
                  <c:f>All!$W$419</c:f>
                  <c:strCache>
                    <c:ptCount val="1"/>
                    <c:pt idx="0">
                      <c:v>Pollution</c:v>
                    </c:pt>
                  </c:strCache>
                </c:strRef>
              </c:tx>
              <c:dLblPos val="r"/>
              <c:showVal val="1"/>
            </c:dLbl>
            <c:dLbl>
              <c:idx val="16"/>
              <c:layout>
                <c:manualLayout>
                  <c:x val="-3.1105687003333892E-2"/>
                  <c:y val="0.43209727282171428"/>
                </c:manualLayout>
              </c:layout>
              <c:tx>
                <c:strRef>
                  <c:f>All!$X$419</c:f>
                  <c:strCache>
                    <c:ptCount val="1"/>
                    <c:pt idx="0">
                      <c:v>Air</c:v>
                    </c:pt>
                  </c:strCache>
                </c:strRef>
              </c:tx>
              <c:dLblPos val="r"/>
              <c:showVal val="1"/>
            </c:dLbl>
            <c:dLbl>
              <c:idx val="17"/>
              <c:layout>
                <c:manualLayout>
                  <c:x val="-3.9251612235970096E-2"/>
                  <c:y val="0.43972227297098115"/>
                </c:manualLayout>
              </c:layout>
              <c:tx>
                <c:strRef>
                  <c:f>All!$Y$419</c:f>
                  <c:strCache>
                    <c:ptCount val="1"/>
                    <c:pt idx="0">
                      <c:v>Soils</c:v>
                    </c:pt>
                  </c:strCache>
                </c:strRef>
              </c:tx>
              <c:dLblPos val="r"/>
              <c:showVal val="1"/>
            </c:dLbl>
            <c:dLbl>
              <c:idx val="18"/>
              <c:layout>
                <c:manualLayout>
                  <c:x val="-4.1108331590687865E-2"/>
                  <c:y val="0.44299355252017814"/>
                </c:manualLayout>
              </c:layout>
              <c:tx>
                <c:strRef>
                  <c:f>All!$Z$419</c:f>
                  <c:strCache>
                    <c:ptCount val="1"/>
                    <c:pt idx="0">
                      <c:v>Water</c:v>
                    </c:pt>
                  </c:strCache>
                </c:strRef>
              </c:tx>
              <c:dLblPos val="r"/>
              <c:showVal val="1"/>
            </c:dLbl>
            <c:dLbl>
              <c:idx val="19"/>
              <c:layout>
                <c:manualLayout>
                  <c:x val="-4.2870439390963314E-2"/>
                  <c:y val="0.44267950729528288"/>
                </c:manualLayout>
              </c:layout>
              <c:tx>
                <c:strRef>
                  <c:f>All!$AA$419</c:f>
                  <c:strCache>
                    <c:ptCount val="1"/>
                    <c:pt idx="0">
                      <c:v>Ecosyst.</c:v>
                    </c:pt>
                  </c:strCache>
                </c:strRef>
              </c:tx>
              <c:dLblPos val="r"/>
              <c:showVal val="1"/>
            </c:dLbl>
            <c:dLbl>
              <c:idx val="20"/>
              <c:layout>
                <c:manualLayout>
                  <c:x val="-2.2626288442505242E-2"/>
                  <c:y val="0.44298168626763046"/>
                </c:manualLayout>
              </c:layout>
              <c:tx>
                <c:strRef>
                  <c:f>All!$AB$419</c:f>
                  <c:strCache>
                    <c:ptCount val="1"/>
                    <c:pt idx="0">
                      <c:v>Forests</c:v>
                    </c:pt>
                  </c:strCache>
                </c:strRef>
              </c:tx>
              <c:dLblPos val="r"/>
              <c:showVal val="1"/>
            </c:dLbl>
            <c:txPr>
              <a:bodyPr rot="3300000"/>
              <a:lstStyle/>
              <a:p>
                <a:pPr>
                  <a:defRPr sz="1800" b="1"/>
                </a:pPr>
                <a:endParaRPr lang="en-US"/>
              </a:p>
            </c:txPr>
            <c:showVal val="1"/>
          </c:dLbls>
          <c:xVal>
            <c:numRef>
              <c:f>'bub-Top5-Rank 1-3'!$B$17:$V$17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1-3'!$B$16:$V$16</c:f>
              <c:numCache>
                <c:formatCode>General</c:formatCode>
                <c:ptCount val="21"/>
                <c:pt idx="0">
                  <c:v>106</c:v>
                </c:pt>
                <c:pt idx="1">
                  <c:v>106</c:v>
                </c:pt>
                <c:pt idx="2">
                  <c:v>106</c:v>
                </c:pt>
                <c:pt idx="3">
                  <c:v>106</c:v>
                </c:pt>
                <c:pt idx="4">
                  <c:v>106</c:v>
                </c:pt>
                <c:pt idx="5">
                  <c:v>106</c:v>
                </c:pt>
                <c:pt idx="6">
                  <c:v>106</c:v>
                </c:pt>
                <c:pt idx="7">
                  <c:v>106</c:v>
                </c:pt>
                <c:pt idx="8">
                  <c:v>106</c:v>
                </c:pt>
                <c:pt idx="9">
                  <c:v>106</c:v>
                </c:pt>
                <c:pt idx="10">
                  <c:v>106</c:v>
                </c:pt>
                <c:pt idx="11">
                  <c:v>106</c:v>
                </c:pt>
                <c:pt idx="12">
                  <c:v>106</c:v>
                </c:pt>
                <c:pt idx="13">
                  <c:v>106</c:v>
                </c:pt>
                <c:pt idx="14">
                  <c:v>106</c:v>
                </c:pt>
                <c:pt idx="15">
                  <c:v>106</c:v>
                </c:pt>
                <c:pt idx="16">
                  <c:v>106</c:v>
                </c:pt>
                <c:pt idx="17">
                  <c:v>106</c:v>
                </c:pt>
                <c:pt idx="18">
                  <c:v>106</c:v>
                </c:pt>
                <c:pt idx="19">
                  <c:v>106</c:v>
                </c:pt>
                <c:pt idx="20">
                  <c:v>106</c:v>
                </c:pt>
              </c:numCache>
            </c:numRef>
          </c:yVal>
          <c:bubbleSize>
            <c:numRef>
              <c:f>'bub-Top5-Rank 1-3'!$B$19:$V$19</c:f>
              <c:numCache>
                <c:formatCode>General</c:formatCode>
                <c:ptCount val="21"/>
                <c:pt idx="0">
                  <c:v>21</c:v>
                </c:pt>
                <c:pt idx="1">
                  <c:v>6</c:v>
                </c:pt>
                <c:pt idx="2">
                  <c:v>21</c:v>
                </c:pt>
                <c:pt idx="3">
                  <c:v>23</c:v>
                </c:pt>
                <c:pt idx="4">
                  <c:v>17</c:v>
                </c:pt>
                <c:pt idx="5">
                  <c:v>41</c:v>
                </c:pt>
                <c:pt idx="6">
                  <c:v>22</c:v>
                </c:pt>
                <c:pt idx="7">
                  <c:v>11</c:v>
                </c:pt>
                <c:pt idx="8">
                  <c:v>19</c:v>
                </c:pt>
                <c:pt idx="9">
                  <c:v>16</c:v>
                </c:pt>
                <c:pt idx="10">
                  <c:v>14</c:v>
                </c:pt>
                <c:pt idx="11">
                  <c:v>8</c:v>
                </c:pt>
                <c:pt idx="12">
                  <c:v>44</c:v>
                </c:pt>
                <c:pt idx="13">
                  <c:v>19</c:v>
                </c:pt>
                <c:pt idx="14">
                  <c:v>11</c:v>
                </c:pt>
                <c:pt idx="15">
                  <c:v>16</c:v>
                </c:pt>
                <c:pt idx="16">
                  <c:v>16</c:v>
                </c:pt>
                <c:pt idx="17">
                  <c:v>23</c:v>
                </c:pt>
                <c:pt idx="18">
                  <c:v>25</c:v>
                </c:pt>
                <c:pt idx="19">
                  <c:v>31</c:v>
                </c:pt>
                <c:pt idx="20">
                  <c:v>19</c:v>
                </c:pt>
              </c:numCache>
            </c:numRef>
          </c:bubbleSize>
          <c:bubble3D val="1"/>
        </c:ser>
        <c:ser>
          <c:idx val="17"/>
          <c:order val="4"/>
          <c:tx>
            <c:strRef>
              <c:f>'bub-Top5-Rank 1-3'!$A$21</c:f>
              <c:strCache>
                <c:ptCount val="1"/>
                <c:pt idx="0">
                  <c:v>SOM</c:v>
                </c:pt>
              </c:strCache>
            </c:strRef>
          </c:tx>
          <c:spPr>
            <a:ln w="25400">
              <a:noFill/>
            </a:ln>
          </c:spPr>
          <c:xVal>
            <c:numRef>
              <c:f>'bub-Top5-Rank 1-3'!$B$22:$V$22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1-3'!$B$21:$V$21</c:f>
              <c:numCache>
                <c:formatCode>General</c:formatCode>
                <c:ptCount val="2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107</c:v>
                </c:pt>
              </c:numCache>
            </c:numRef>
          </c:yVal>
          <c:bubbleSize>
            <c:numRef>
              <c:f>'bub-Top5-Rank 1-3'!$B$24:$V$24</c:f>
              <c:numCache>
                <c:formatCode>General</c:formatCode>
                <c:ptCount val="21"/>
                <c:pt idx="0">
                  <c:v>5</c:v>
                </c:pt>
                <c:pt idx="1">
                  <c:v>12</c:v>
                </c:pt>
                <c:pt idx="2">
                  <c:v>7</c:v>
                </c:pt>
                <c:pt idx="3">
                  <c:v>4</c:v>
                </c:pt>
                <c:pt idx="4">
                  <c:v>4</c:v>
                </c:pt>
                <c:pt idx="5">
                  <c:v>1</c:v>
                </c:pt>
                <c:pt idx="6">
                  <c:v>1</c:v>
                </c:pt>
                <c:pt idx="7">
                  <c:v>0</c:v>
                </c:pt>
                <c:pt idx="8">
                  <c:v>0</c:v>
                </c:pt>
                <c:pt idx="9">
                  <c:v>8</c:v>
                </c:pt>
                <c:pt idx="10">
                  <c:v>5</c:v>
                </c:pt>
                <c:pt idx="11">
                  <c:v>0</c:v>
                </c:pt>
                <c:pt idx="12">
                  <c:v>2</c:v>
                </c:pt>
                <c:pt idx="13">
                  <c:v>8</c:v>
                </c:pt>
                <c:pt idx="14">
                  <c:v>0</c:v>
                </c:pt>
                <c:pt idx="15">
                  <c:v>0</c:v>
                </c:pt>
                <c:pt idx="16">
                  <c:v>0</c:v>
                </c:pt>
                <c:pt idx="17">
                  <c:v>0</c:v>
                </c:pt>
                <c:pt idx="18">
                  <c:v>0</c:v>
                </c:pt>
                <c:pt idx="19">
                  <c:v>0</c:v>
                </c:pt>
                <c:pt idx="20">
                  <c:v>0</c:v>
                </c:pt>
              </c:numCache>
            </c:numRef>
          </c:bubbleSize>
          <c:bubble3D val="1"/>
        </c:ser>
        <c:ser>
          <c:idx val="0"/>
          <c:order val="5"/>
          <c:tx>
            <c:strRef>
              <c:f>'bub-Top5-Rank 1-3'!$A$26</c:f>
              <c:strCache>
                <c:ptCount val="1"/>
                <c:pt idx="0">
                  <c:v>OTHER</c:v>
                </c:pt>
              </c:strCache>
            </c:strRef>
          </c:tx>
          <c:spPr>
            <a:ln w="25400">
              <a:noFill/>
            </a:ln>
          </c:spPr>
          <c:xVal>
            <c:numRef>
              <c:f>'bub-Top5-Rank 1-3'!$B$27:$V$27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1-3'!$B$26:$V$26</c:f>
              <c:numCache>
                <c:formatCode>General</c:formatCode>
                <c:ptCount val="21"/>
                <c:pt idx="0">
                  <c:v>108</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108</c:v>
                </c:pt>
                <c:pt idx="18">
                  <c:v>108</c:v>
                </c:pt>
                <c:pt idx="19">
                  <c:v>108</c:v>
                </c:pt>
                <c:pt idx="20">
                  <c:v>108</c:v>
                </c:pt>
              </c:numCache>
            </c:numRef>
          </c:yVal>
          <c:bubbleSize>
            <c:numRef>
              <c:f>'bub-Top5-Rank 1-3'!$B$29:$V$29</c:f>
              <c:numCache>
                <c:formatCode>General</c:formatCode>
                <c:ptCount val="21"/>
                <c:pt idx="0">
                  <c:v>3</c:v>
                </c:pt>
                <c:pt idx="1">
                  <c:v>1</c:v>
                </c:pt>
                <c:pt idx="2">
                  <c:v>3</c:v>
                </c:pt>
                <c:pt idx="3">
                  <c:v>10</c:v>
                </c:pt>
                <c:pt idx="4">
                  <c:v>4</c:v>
                </c:pt>
                <c:pt idx="5">
                  <c:v>8</c:v>
                </c:pt>
                <c:pt idx="6">
                  <c:v>3</c:v>
                </c:pt>
                <c:pt idx="7">
                  <c:v>6</c:v>
                </c:pt>
                <c:pt idx="8">
                  <c:v>6</c:v>
                </c:pt>
                <c:pt idx="9">
                  <c:v>3</c:v>
                </c:pt>
                <c:pt idx="10">
                  <c:v>10</c:v>
                </c:pt>
                <c:pt idx="11">
                  <c:v>6</c:v>
                </c:pt>
                <c:pt idx="12">
                  <c:v>7</c:v>
                </c:pt>
                <c:pt idx="13">
                  <c:v>6</c:v>
                </c:pt>
                <c:pt idx="14">
                  <c:v>8</c:v>
                </c:pt>
                <c:pt idx="15">
                  <c:v>10</c:v>
                </c:pt>
                <c:pt idx="16">
                  <c:v>8</c:v>
                </c:pt>
                <c:pt idx="17">
                  <c:v>6</c:v>
                </c:pt>
                <c:pt idx="18">
                  <c:v>10</c:v>
                </c:pt>
                <c:pt idx="19">
                  <c:v>3</c:v>
                </c:pt>
                <c:pt idx="20">
                  <c:v>2</c:v>
                </c:pt>
              </c:numCache>
            </c:numRef>
          </c:bubbleSize>
          <c:bubble3D val="1"/>
        </c:ser>
        <c:bubbleScale val="25"/>
        <c:axId val="161605120"/>
        <c:axId val="161606656"/>
      </c:bubbleChart>
      <c:valAx>
        <c:axId val="161605120"/>
        <c:scaling>
          <c:orientation val="minMax"/>
          <c:max val="31"/>
          <c:min val="9"/>
        </c:scaling>
        <c:axPos val="b"/>
        <c:majorGridlines>
          <c:spPr>
            <a:ln>
              <a:prstDash val="sysDot"/>
            </a:ln>
          </c:spPr>
        </c:majorGridlines>
        <c:numFmt formatCode="General" sourceLinked="1"/>
        <c:tickLblPos val="none"/>
        <c:txPr>
          <a:bodyPr/>
          <a:lstStyle/>
          <a:p>
            <a:pPr>
              <a:defRPr sz="1200"/>
            </a:pPr>
            <a:endParaRPr lang="en-US"/>
          </a:p>
        </c:txPr>
        <c:crossAx val="161606656"/>
        <c:crosses val="autoZero"/>
        <c:crossBetween val="midCat"/>
        <c:majorUnit val="1"/>
      </c:valAx>
      <c:valAx>
        <c:axId val="161606656"/>
        <c:scaling>
          <c:orientation val="minMax"/>
          <c:max val="109"/>
          <c:min val="102"/>
        </c:scaling>
        <c:axPos val="l"/>
        <c:majorGridlines>
          <c:spPr>
            <a:ln>
              <a:prstDash val="sysDot"/>
            </a:ln>
          </c:spPr>
        </c:majorGridlines>
        <c:numFmt formatCode="General" sourceLinked="1"/>
        <c:tickLblPos val="none"/>
        <c:txPr>
          <a:bodyPr/>
          <a:lstStyle/>
          <a:p>
            <a:pPr>
              <a:defRPr sz="1200"/>
            </a:pPr>
            <a:endParaRPr lang="en-US"/>
          </a:p>
        </c:txPr>
        <c:crossAx val="161605120"/>
        <c:crossesAt val="9"/>
        <c:crossBetween val="midCat"/>
      </c:valAx>
    </c:plotArea>
    <c:plotVisOnly val="1"/>
  </c:chart>
  <c:printSettings>
    <c:headerFooter/>
    <c:pageMargins b="0.75000000000001232" l="0.70000000000000062" r="0.70000000000000062" t="0.75000000000001232"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806890589833381"/>
          <c:y val="6.2947565637896538E-2"/>
          <c:w val="0.8214677287045995"/>
          <c:h val="0.29361698356837568"/>
        </c:manualLayout>
      </c:layout>
      <c:bubbleChart>
        <c:ser>
          <c:idx val="3"/>
          <c:order val="0"/>
          <c:tx>
            <c:strRef>
              <c:f>'bub-Top5-Rank 3'!$A$1</c:f>
              <c:strCache>
                <c:ptCount val="1"/>
                <c:pt idx="0">
                  <c:v>Engineering</c:v>
                </c:pt>
              </c:strCache>
            </c:strRef>
          </c:tx>
          <c:spPr>
            <a:ln w="25400">
              <a:noFill/>
            </a:ln>
          </c:spPr>
          <c:dLbls>
            <c:dLbl>
              <c:idx val="0"/>
              <c:layout>
                <c:manualLayout>
                  <c:x val="-0.16879744631750332"/>
                  <c:y val="-4.3186268964692841E-3"/>
                </c:manualLayout>
              </c:layout>
              <c:tx>
                <c:strRef>
                  <c:f>'bub-Top5-Rank 3'!$A$1</c:f>
                  <c:strCache>
                    <c:ptCount val="1"/>
                    <c:pt idx="0">
                      <c:v>Engineering</c:v>
                    </c:pt>
                  </c:strCache>
                </c:strRef>
              </c:tx>
              <c:dLblPos val="r"/>
              <c:showVal val="1"/>
            </c:dLbl>
            <c:dLbl>
              <c:idx val="7"/>
              <c:layout>
                <c:manualLayout>
                  <c:x val="-0.36289476827543937"/>
                  <c:y val="-0.12918753323037188"/>
                </c:manualLayout>
              </c:layout>
              <c:tx>
                <c:strRef>
                  <c:f>'bub-Top5-Rank 3'!$A$16</c:f>
                  <c:strCache>
                    <c:ptCount val="1"/>
                    <c:pt idx="0">
                      <c:v>FES</c:v>
                    </c:pt>
                  </c:strCache>
                </c:strRef>
              </c:tx>
              <c:dLblPos val="r"/>
              <c:showVal val="1"/>
            </c:dLbl>
            <c:delete val="1"/>
          </c:dLbls>
          <c:xVal>
            <c:numRef>
              <c:f>'bub-Top5-Rank 3'!$B$2:$V$2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3'!$B$1:$V$1</c:f>
              <c:numCache>
                <c:formatCode>General</c:formatCode>
                <c:ptCount val="21"/>
                <c:pt idx="0">
                  <c:v>103</c:v>
                </c:pt>
                <c:pt idx="1">
                  <c:v>103</c:v>
                </c:pt>
                <c:pt idx="2">
                  <c:v>103</c:v>
                </c:pt>
                <c:pt idx="3">
                  <c:v>103</c:v>
                </c:pt>
                <c:pt idx="4">
                  <c:v>103</c:v>
                </c:pt>
                <c:pt idx="5">
                  <c:v>103</c:v>
                </c:pt>
                <c:pt idx="6">
                  <c:v>103</c:v>
                </c:pt>
                <c:pt idx="7">
                  <c:v>103</c:v>
                </c:pt>
                <c:pt idx="8">
                  <c:v>103</c:v>
                </c:pt>
                <c:pt idx="9">
                  <c:v>103</c:v>
                </c:pt>
                <c:pt idx="10">
                  <c:v>103</c:v>
                </c:pt>
                <c:pt idx="11">
                  <c:v>103</c:v>
                </c:pt>
                <c:pt idx="12">
                  <c:v>103</c:v>
                </c:pt>
                <c:pt idx="13">
                  <c:v>103</c:v>
                </c:pt>
                <c:pt idx="14">
                  <c:v>103</c:v>
                </c:pt>
                <c:pt idx="15">
                  <c:v>103</c:v>
                </c:pt>
                <c:pt idx="16">
                  <c:v>103</c:v>
                </c:pt>
                <c:pt idx="17">
                  <c:v>103</c:v>
                </c:pt>
                <c:pt idx="18">
                  <c:v>103</c:v>
                </c:pt>
                <c:pt idx="19">
                  <c:v>103</c:v>
                </c:pt>
                <c:pt idx="20">
                  <c:v>103</c:v>
                </c:pt>
              </c:numCache>
            </c:numRef>
          </c:yVal>
          <c:bubbleSize>
            <c:numRef>
              <c:f>'bub-Top5-Rank 3'!$B$5:$V$5</c:f>
              <c:numCache>
                <c:formatCode>General</c:formatCode>
                <c:ptCount val="21"/>
                <c:pt idx="0">
                  <c:v>1</c:v>
                </c:pt>
                <c:pt idx="1">
                  <c:v>0</c:v>
                </c:pt>
                <c:pt idx="2">
                  <c:v>0</c:v>
                </c:pt>
                <c:pt idx="3">
                  <c:v>1</c:v>
                </c:pt>
                <c:pt idx="4">
                  <c:v>0</c:v>
                </c:pt>
                <c:pt idx="5">
                  <c:v>0</c:v>
                </c:pt>
                <c:pt idx="6">
                  <c:v>0</c:v>
                </c:pt>
                <c:pt idx="7">
                  <c:v>2</c:v>
                </c:pt>
                <c:pt idx="8">
                  <c:v>0</c:v>
                </c:pt>
                <c:pt idx="9">
                  <c:v>0</c:v>
                </c:pt>
                <c:pt idx="10">
                  <c:v>0</c:v>
                </c:pt>
                <c:pt idx="11">
                  <c:v>1</c:v>
                </c:pt>
                <c:pt idx="12">
                  <c:v>1</c:v>
                </c:pt>
                <c:pt idx="13">
                  <c:v>0</c:v>
                </c:pt>
                <c:pt idx="14">
                  <c:v>1</c:v>
                </c:pt>
                <c:pt idx="15">
                  <c:v>2</c:v>
                </c:pt>
                <c:pt idx="16">
                  <c:v>2</c:v>
                </c:pt>
                <c:pt idx="17">
                  <c:v>1</c:v>
                </c:pt>
                <c:pt idx="18">
                  <c:v>1</c:v>
                </c:pt>
                <c:pt idx="19">
                  <c:v>0</c:v>
                </c:pt>
                <c:pt idx="20">
                  <c:v>1</c:v>
                </c:pt>
              </c:numCache>
            </c:numRef>
          </c:bubbleSize>
          <c:bubble3D val="1"/>
        </c:ser>
        <c:ser>
          <c:idx val="5"/>
          <c:order val="1"/>
          <c:tx>
            <c:strRef>
              <c:f>'bub-Top5-Rank 3'!$A$6</c:f>
              <c:strCache>
                <c:ptCount val="1"/>
                <c:pt idx="0">
                  <c:v>Economics</c:v>
                </c:pt>
              </c:strCache>
            </c:strRef>
          </c:tx>
          <c:spPr>
            <a:ln w="25400">
              <a:noFill/>
            </a:ln>
          </c:spPr>
          <c:dLbls>
            <c:dLbl>
              <c:idx val="0"/>
              <c:tx>
                <c:rich>
                  <a:bodyPr/>
                  <a:lstStyle/>
                  <a:p>
                    <a:r>
                      <a:rPr sz="2500" b="1"/>
                      <a:t>Economics</a:t>
                    </a:r>
                  </a:p>
                </c:rich>
              </c:tx>
              <c:dLblPos val="l"/>
              <c:showVal val="1"/>
            </c:dLbl>
            <c:dLbl>
              <c:idx val="3"/>
              <c:layout>
                <c:manualLayout>
                  <c:x val="-0.27181588539664003"/>
                  <c:y val="-1.928368688338864E-4"/>
                </c:manualLayout>
              </c:layout>
              <c:tx>
                <c:strRef>
                  <c:f>'bub-Top5-Rank 3'!$A$6</c:f>
                  <c:strCache>
                    <c:ptCount val="1"/>
                    <c:pt idx="0">
                      <c:v>Economics</c:v>
                    </c:pt>
                  </c:strCache>
                </c:strRef>
              </c:tx>
              <c:dLblPos val="r"/>
              <c:showVal val="1"/>
            </c:dLbl>
            <c:delete val="1"/>
          </c:dLbls>
          <c:xVal>
            <c:numRef>
              <c:f>'bub-Top5-Rank 3'!$B$7:$V$7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3'!$B$6:$V$6</c:f>
              <c:numCache>
                <c:formatCode>General</c:formatCode>
                <c:ptCount val="21"/>
                <c:pt idx="0">
                  <c:v>104</c:v>
                </c:pt>
                <c:pt idx="1">
                  <c:v>104</c:v>
                </c:pt>
                <c:pt idx="2">
                  <c:v>104</c:v>
                </c:pt>
                <c:pt idx="3">
                  <c:v>104</c:v>
                </c:pt>
                <c:pt idx="4">
                  <c:v>104</c:v>
                </c:pt>
                <c:pt idx="5">
                  <c:v>104</c:v>
                </c:pt>
                <c:pt idx="6">
                  <c:v>104</c:v>
                </c:pt>
                <c:pt idx="7">
                  <c:v>104</c:v>
                </c:pt>
                <c:pt idx="8">
                  <c:v>104</c:v>
                </c:pt>
                <c:pt idx="9">
                  <c:v>104</c:v>
                </c:pt>
                <c:pt idx="10">
                  <c:v>104</c:v>
                </c:pt>
                <c:pt idx="11">
                  <c:v>104</c:v>
                </c:pt>
                <c:pt idx="12">
                  <c:v>104</c:v>
                </c:pt>
                <c:pt idx="13">
                  <c:v>104</c:v>
                </c:pt>
                <c:pt idx="14">
                  <c:v>104</c:v>
                </c:pt>
                <c:pt idx="15">
                  <c:v>104</c:v>
                </c:pt>
                <c:pt idx="16">
                  <c:v>104</c:v>
                </c:pt>
                <c:pt idx="17">
                  <c:v>104</c:v>
                </c:pt>
                <c:pt idx="18">
                  <c:v>104</c:v>
                </c:pt>
                <c:pt idx="19">
                  <c:v>104</c:v>
                </c:pt>
                <c:pt idx="20">
                  <c:v>104</c:v>
                </c:pt>
              </c:numCache>
            </c:numRef>
          </c:yVal>
          <c:bubbleSize>
            <c:numRef>
              <c:f>'bub-Top5-Rank 3'!$B$10:$V$10</c:f>
              <c:numCache>
                <c:formatCode>General</c:formatCode>
                <c:ptCount val="21"/>
                <c:pt idx="0">
                  <c:v>0</c:v>
                </c:pt>
                <c:pt idx="1">
                  <c:v>0</c:v>
                </c:pt>
                <c:pt idx="2">
                  <c:v>1</c:v>
                </c:pt>
                <c:pt idx="3">
                  <c:v>2</c:v>
                </c:pt>
                <c:pt idx="4">
                  <c:v>0</c:v>
                </c:pt>
                <c:pt idx="5">
                  <c:v>2</c:v>
                </c:pt>
                <c:pt idx="6">
                  <c:v>2</c:v>
                </c:pt>
                <c:pt idx="7">
                  <c:v>0</c:v>
                </c:pt>
                <c:pt idx="8">
                  <c:v>0</c:v>
                </c:pt>
                <c:pt idx="9">
                  <c:v>0</c:v>
                </c:pt>
                <c:pt idx="10">
                  <c:v>1</c:v>
                </c:pt>
                <c:pt idx="11">
                  <c:v>0</c:v>
                </c:pt>
                <c:pt idx="12">
                  <c:v>2</c:v>
                </c:pt>
                <c:pt idx="13">
                  <c:v>1</c:v>
                </c:pt>
                <c:pt idx="14">
                  <c:v>0</c:v>
                </c:pt>
                <c:pt idx="15">
                  <c:v>2</c:v>
                </c:pt>
                <c:pt idx="16">
                  <c:v>2</c:v>
                </c:pt>
                <c:pt idx="17">
                  <c:v>0</c:v>
                </c:pt>
                <c:pt idx="18">
                  <c:v>1</c:v>
                </c:pt>
                <c:pt idx="19">
                  <c:v>1</c:v>
                </c:pt>
                <c:pt idx="20">
                  <c:v>1</c:v>
                </c:pt>
              </c:numCache>
            </c:numRef>
          </c:bubbleSize>
          <c:bubble3D val="1"/>
        </c:ser>
        <c:ser>
          <c:idx val="7"/>
          <c:order val="2"/>
          <c:tx>
            <c:strRef>
              <c:f>'bub-Top5-Rank 3'!$A$11</c:f>
              <c:strCache>
                <c:ptCount val="1"/>
                <c:pt idx="0">
                  <c:v>Architecture</c:v>
                </c:pt>
              </c:strCache>
            </c:strRef>
          </c:tx>
          <c:spPr>
            <a:ln w="25400">
              <a:noFill/>
            </a:ln>
          </c:spPr>
          <c:dLbls>
            <c:dLbl>
              <c:idx val="3"/>
              <c:layout>
                <c:manualLayout>
                  <c:x val="-0.28590289782879236"/>
                  <c:y val="-1.5398505339225723E-3"/>
                </c:manualLayout>
              </c:layout>
              <c:tx>
                <c:strRef>
                  <c:f>'bub-Top5-Rank 3'!$A$11</c:f>
                  <c:strCache>
                    <c:ptCount val="1"/>
                    <c:pt idx="0">
                      <c:v>Architecture</c:v>
                    </c:pt>
                  </c:strCache>
                </c:strRef>
              </c:tx>
              <c:dLblPos val="r"/>
              <c:showVal val="1"/>
            </c:dLbl>
            <c:delete val="1"/>
          </c:dLbls>
          <c:xVal>
            <c:numRef>
              <c:f>'bub-Top5-Rank 3'!$B$12:$V$12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3'!$B$11:$V$11</c:f>
              <c:numCache>
                <c:formatCode>General</c:formatCode>
                <c:ptCount val="21"/>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numCache>
            </c:numRef>
          </c:yVal>
          <c:bubbleSize>
            <c:numRef>
              <c:f>'bub-Top5-Rank 3'!$B$15:$V$15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bubbleSize>
          <c:bubble3D val="1"/>
        </c:ser>
        <c:ser>
          <c:idx val="8"/>
          <c:order val="3"/>
          <c:tx>
            <c:strRef>
              <c:f>'bub-Top5-Rank 3'!$A$16</c:f>
              <c:strCache>
                <c:ptCount val="1"/>
                <c:pt idx="0">
                  <c:v>FES</c:v>
                </c:pt>
              </c:strCache>
            </c:strRef>
          </c:tx>
          <c:spPr>
            <a:ln w="25400">
              <a:noFill/>
            </a:ln>
          </c:spPr>
          <c:dLbls>
            <c:dLbl>
              <c:idx val="0"/>
              <c:layout>
                <c:manualLayout>
                  <c:x val="-4.2033365946005534E-2"/>
                  <c:y val="0.22909410841329741"/>
                </c:manualLayout>
              </c:layout>
              <c:tx>
                <c:rich>
                  <a:bodyPr/>
                  <a:lstStyle/>
                  <a:p>
                    <a:r>
                      <a:rPr lang="en-US" sz="1700"/>
                      <a:t>Corp. Env Strat.</a:t>
                    </a:r>
                  </a:p>
                </c:rich>
              </c:tx>
              <c:dLblPos val="r"/>
              <c:showBubbleSize val="1"/>
            </c:dLbl>
            <c:dLbl>
              <c:idx val="1"/>
              <c:layout>
                <c:manualLayout>
                  <c:x val="-3.3539897435659612E-2"/>
                  <c:y val="0.22720366947700671"/>
                </c:manualLayout>
              </c:layout>
              <c:tx>
                <c:rich>
                  <a:bodyPr/>
                  <a:lstStyle/>
                  <a:p>
                    <a:r>
                      <a:rPr lang="en-US" sz="1700" b="1"/>
                      <a:t>Soc/Env Vent.</a:t>
                    </a:r>
                  </a:p>
                </c:rich>
              </c:tx>
              <c:dLblPos val="r"/>
              <c:showBubbleSize val="1"/>
            </c:dLbl>
            <c:dLbl>
              <c:idx val="2"/>
              <c:layout>
                <c:manualLayout>
                  <c:x val="-3.6672698271451212E-2"/>
                  <c:y val="0.2203284637651805"/>
                </c:manualLayout>
              </c:layout>
              <c:tx>
                <c:strRef>
                  <c:f>All!$J$419</c:f>
                  <c:strCache>
                    <c:ptCount val="1"/>
                    <c:pt idx="0">
                      <c:v>Env.Finance</c:v>
                    </c:pt>
                  </c:strCache>
                </c:strRef>
              </c:tx>
              <c:dLblPos val="r"/>
              <c:showBubbleSize val="1"/>
            </c:dLbl>
            <c:dLbl>
              <c:idx val="3"/>
              <c:layout>
                <c:manualLayout>
                  <c:x val="-3.3309959415198487E-2"/>
                  <c:y val="0.22555603379159644"/>
                </c:manualLayout>
              </c:layout>
              <c:tx>
                <c:strRef>
                  <c:f>All!$K$419</c:f>
                  <c:strCache>
                    <c:ptCount val="1"/>
                    <c:pt idx="0">
                      <c:v>Clim. Change</c:v>
                    </c:pt>
                  </c:strCache>
                </c:strRef>
              </c:tx>
              <c:dLblPos val="r"/>
              <c:showBubbleSize val="1"/>
            </c:dLbl>
            <c:dLbl>
              <c:idx val="4"/>
              <c:layout>
                <c:manualLayout>
                  <c:x val="-3.3539575303380961E-2"/>
                  <c:y val="0.23601936012018032"/>
                </c:manualLayout>
              </c:layout>
              <c:tx>
                <c:strRef>
                  <c:f>All!$L$419</c:f>
                  <c:strCache>
                    <c:ptCount val="1"/>
                    <c:pt idx="0">
                      <c:v>Env.Just. &amp; Ethics</c:v>
                    </c:pt>
                  </c:strCache>
                </c:strRef>
              </c:tx>
              <c:dLblPos val="r"/>
              <c:showBubbleSize val="1"/>
            </c:dLbl>
            <c:dLbl>
              <c:idx val="5"/>
              <c:layout>
                <c:manualLayout>
                  <c:x val="-3.741559973234674E-2"/>
                  <c:y val="0.23676068224590896"/>
                </c:manualLayout>
              </c:layout>
              <c:tx>
                <c:strRef>
                  <c:f>All!$M$419</c:f>
                  <c:strCache>
                    <c:ptCount val="1"/>
                    <c:pt idx="0">
                      <c:v>Env. Policy &amp; Law</c:v>
                    </c:pt>
                  </c:strCache>
                </c:strRef>
              </c:tx>
              <c:dLblPos val="r"/>
              <c:showBubbleSize val="1"/>
            </c:dLbl>
            <c:dLbl>
              <c:idx val="6"/>
              <c:layout>
                <c:manualLayout>
                  <c:x val="-3.7524351589600401E-2"/>
                  <c:y val="0.21423795900110751"/>
                </c:manualLayout>
              </c:layout>
              <c:tx>
                <c:strRef>
                  <c:f>All!$N$419</c:f>
                  <c:strCache>
                    <c:ptCount val="1"/>
                    <c:pt idx="0">
                      <c:v>Env. Econ.</c:v>
                    </c:pt>
                  </c:strCache>
                </c:strRef>
              </c:tx>
              <c:dLblPos val="r"/>
              <c:showBubbleSize val="1"/>
            </c:dLbl>
            <c:dLbl>
              <c:idx val="7"/>
              <c:layout>
                <c:manualLayout>
                  <c:x val="-3.2678193590418042E-2"/>
                  <c:y val="0.20446810306268196"/>
                </c:manualLayout>
              </c:layout>
              <c:tx>
                <c:strRef>
                  <c:f>All!$O$419</c:f>
                  <c:strCache>
                    <c:ptCount val="1"/>
                    <c:pt idx="0">
                      <c:v> EH&amp;S</c:v>
                    </c:pt>
                  </c:strCache>
                </c:strRef>
              </c:tx>
              <c:dLblPos val="r"/>
              <c:showBubbleSize val="1"/>
            </c:dLbl>
            <c:dLbl>
              <c:idx val="8"/>
              <c:layout>
                <c:manualLayout>
                  <c:x val="-4.7532163941621797E-2"/>
                  <c:y val="0.22907638554827134"/>
                </c:manualLayout>
              </c:layout>
              <c:tx>
                <c:rich>
                  <a:bodyPr/>
                  <a:lstStyle/>
                  <a:p>
                    <a:r>
                      <a:rPr lang="en-US" sz="1700" b="1"/>
                      <a:t>Green Desgn </a:t>
                    </a:r>
                  </a:p>
                  <a:p>
                    <a:r>
                      <a:rPr lang="en-US" sz="1700" b="1"/>
                      <a:t>&amp; Build.</a:t>
                    </a:r>
                  </a:p>
                </c:rich>
              </c:tx>
              <c:dLblPos val="r"/>
              <c:showBubbleSize val="1"/>
            </c:dLbl>
            <c:dLbl>
              <c:idx val="9"/>
              <c:layout>
                <c:manualLayout>
                  <c:x val="-3.3892825560088172E-2"/>
                  <c:y val="0.19765416782709241"/>
                </c:manualLayout>
              </c:layout>
              <c:tx>
                <c:strRef>
                  <c:f>All!$Q$419</c:f>
                  <c:strCache>
                    <c:ptCount val="1"/>
                    <c:pt idx="0">
                      <c:v>CSR</c:v>
                    </c:pt>
                  </c:strCache>
                </c:strRef>
              </c:tx>
              <c:dLblPos val="r"/>
              <c:showBubbleSize val="1"/>
            </c:dLbl>
            <c:dLbl>
              <c:idx val="10"/>
              <c:layout>
                <c:manualLayout>
                  <c:x val="-3.6105230049478292E-2"/>
                  <c:y val="0.20324117443518921"/>
                </c:manualLayout>
              </c:layout>
              <c:tx>
                <c:strRef>
                  <c:f>All!$R$419</c:f>
                  <c:strCache>
                    <c:ptCount val="1"/>
                    <c:pt idx="0">
                      <c:v>Energy</c:v>
                    </c:pt>
                  </c:strCache>
                </c:strRef>
              </c:tx>
              <c:dLblPos val="r"/>
              <c:showBubbleSize val="1"/>
            </c:dLbl>
            <c:dLbl>
              <c:idx val="11"/>
              <c:layout>
                <c:manualLayout>
                  <c:x val="-3.4830939181812452E-2"/>
                  <c:y val="0.21207560067853237"/>
                </c:manualLayout>
              </c:layout>
              <c:tx>
                <c:strRef>
                  <c:f>All!$S$419</c:f>
                  <c:strCache>
                    <c:ptCount val="1"/>
                    <c:pt idx="0">
                      <c:v>Ind. Ecol.</c:v>
                    </c:pt>
                  </c:strCache>
                </c:strRef>
              </c:tx>
              <c:dLblPos val="r"/>
              <c:showBubbleSize val="1"/>
            </c:dLbl>
            <c:dLbl>
              <c:idx val="12"/>
              <c:layout>
                <c:manualLayout>
                  <c:x val="-5.52573469675176E-2"/>
                  <c:y val="0.24146990066756377"/>
                </c:manualLayout>
              </c:layout>
              <c:tx>
                <c:rich>
                  <a:bodyPr/>
                  <a:lstStyle/>
                  <a:p>
                    <a:r>
                      <a:rPr lang="en-US"/>
                      <a:t>Natural Resources </a:t>
                    </a:r>
                  </a:p>
                  <a:p>
                    <a:r>
                      <a:rPr lang="en-US"/>
                      <a:t>Management</a:t>
                    </a:r>
                  </a:p>
                </c:rich>
              </c:tx>
              <c:dLblPos val="r"/>
              <c:showBubbleSize val="1"/>
            </c:dLbl>
            <c:dLbl>
              <c:idx val="13"/>
              <c:layout>
                <c:manualLayout>
                  <c:x val="-3.6102008726692281E-2"/>
                  <c:y val="0.21787030238583521"/>
                </c:manualLayout>
              </c:layout>
              <c:tx>
                <c:strRef>
                  <c:f>All!$U$419</c:f>
                  <c:strCache>
                    <c:ptCount val="1"/>
                    <c:pt idx="0">
                      <c:v>Intern. Dev.</c:v>
                    </c:pt>
                  </c:strCache>
                </c:strRef>
              </c:tx>
              <c:dLblPos val="r"/>
              <c:showBubbleSize val="1"/>
            </c:dLbl>
            <c:dLbl>
              <c:idx val="14"/>
              <c:layout>
                <c:manualLayout>
                  <c:x val="-3.3076864498407195E-2"/>
                  <c:y val="0.21292883003772742"/>
                </c:manualLayout>
              </c:layout>
              <c:tx>
                <c:strRef>
                  <c:f>All!$V$419</c:f>
                  <c:strCache>
                    <c:ptCount val="1"/>
                    <c:pt idx="0">
                      <c:v>Env. Chem.</c:v>
                    </c:pt>
                  </c:strCache>
                </c:strRef>
              </c:tx>
              <c:dLblPos val="r"/>
              <c:showBubbleSize val="1"/>
            </c:dLbl>
            <c:dLbl>
              <c:idx val="15"/>
              <c:layout>
                <c:manualLayout>
                  <c:x val="-3.3807718212083691E-2"/>
                  <c:y val="0.20952958452540904"/>
                </c:manualLayout>
              </c:layout>
              <c:tx>
                <c:strRef>
                  <c:f>All!$W$419</c:f>
                  <c:strCache>
                    <c:ptCount val="1"/>
                    <c:pt idx="0">
                      <c:v>Pollution</c:v>
                    </c:pt>
                  </c:strCache>
                </c:strRef>
              </c:tx>
              <c:dLblPos val="r"/>
              <c:showBubbleSize val="1"/>
            </c:dLbl>
            <c:dLbl>
              <c:idx val="16"/>
              <c:layout>
                <c:manualLayout>
                  <c:x val="-2.8651024696335566E-2"/>
                  <c:y val="0.19308335654184741"/>
                </c:manualLayout>
              </c:layout>
              <c:tx>
                <c:strRef>
                  <c:f>All!$X$419</c:f>
                  <c:strCache>
                    <c:ptCount val="1"/>
                    <c:pt idx="0">
                      <c:v>Air</c:v>
                    </c:pt>
                  </c:strCache>
                </c:strRef>
              </c:tx>
              <c:dLblPos val="r"/>
              <c:showBubbleSize val="1"/>
            </c:dLbl>
            <c:dLbl>
              <c:idx val="17"/>
              <c:layout>
                <c:manualLayout>
                  <c:x val="-3.1887680978746211E-2"/>
                  <c:y val="0.19963651247774092"/>
                </c:manualLayout>
              </c:layout>
              <c:tx>
                <c:strRef>
                  <c:f>All!$Y$419</c:f>
                  <c:strCache>
                    <c:ptCount val="1"/>
                    <c:pt idx="0">
                      <c:v>Soils</c:v>
                    </c:pt>
                  </c:strCache>
                </c:strRef>
              </c:tx>
              <c:dLblPos val="r"/>
              <c:showBubbleSize val="1"/>
            </c:dLbl>
            <c:dLbl>
              <c:idx val="18"/>
              <c:layout>
                <c:manualLayout>
                  <c:x val="-3.8653682931898643E-2"/>
                  <c:y val="0.20076419306107846"/>
                </c:manualLayout>
              </c:layout>
              <c:tx>
                <c:strRef>
                  <c:f>All!$Z$419</c:f>
                  <c:strCache>
                    <c:ptCount val="1"/>
                    <c:pt idx="0">
                      <c:v>Water</c:v>
                    </c:pt>
                  </c:strCache>
                </c:strRef>
              </c:tx>
              <c:dLblPos val="r"/>
              <c:showBubbleSize val="1"/>
            </c:dLbl>
            <c:dLbl>
              <c:idx val="19"/>
              <c:layout>
                <c:manualLayout>
                  <c:x val="-3.8779378947006206E-2"/>
                  <c:y val="0.20259378349410684"/>
                </c:manualLayout>
              </c:layout>
              <c:tx>
                <c:strRef>
                  <c:f>All!$AA$419</c:f>
                  <c:strCache>
                    <c:ptCount val="1"/>
                    <c:pt idx="0">
                      <c:v>Ecosyst.</c:v>
                    </c:pt>
                  </c:strCache>
                </c:strRef>
              </c:tx>
              <c:dLblPos val="r"/>
              <c:showBubbleSize val="1"/>
            </c:dLbl>
            <c:dLbl>
              <c:idx val="20"/>
              <c:layout>
                <c:manualLayout>
                  <c:x val="-3.2444905394259656E-2"/>
                  <c:y val="0.20503945447333799"/>
                </c:manualLayout>
              </c:layout>
              <c:tx>
                <c:strRef>
                  <c:f>All!$AB$419</c:f>
                  <c:strCache>
                    <c:ptCount val="1"/>
                    <c:pt idx="0">
                      <c:v>Forests</c:v>
                    </c:pt>
                  </c:strCache>
                </c:strRef>
              </c:tx>
              <c:dLblPos val="r"/>
              <c:showBubbleSize val="1"/>
            </c:dLbl>
            <c:txPr>
              <a:bodyPr rot="3300000"/>
              <a:lstStyle/>
              <a:p>
                <a:pPr>
                  <a:defRPr sz="1700" b="1"/>
                </a:pPr>
                <a:endParaRPr lang="en-US"/>
              </a:p>
            </c:txPr>
            <c:showBubbleSize val="1"/>
          </c:dLbls>
          <c:xVal>
            <c:numRef>
              <c:f>'bub-Top5-Rank 3'!$B$17:$V$17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3'!$B$16:$V$16</c:f>
              <c:numCache>
                <c:formatCode>General</c:formatCode>
                <c:ptCount val="21"/>
                <c:pt idx="0">
                  <c:v>106</c:v>
                </c:pt>
                <c:pt idx="1">
                  <c:v>106</c:v>
                </c:pt>
                <c:pt idx="2">
                  <c:v>106</c:v>
                </c:pt>
                <c:pt idx="3">
                  <c:v>106</c:v>
                </c:pt>
                <c:pt idx="4">
                  <c:v>106</c:v>
                </c:pt>
                <c:pt idx="5">
                  <c:v>106</c:v>
                </c:pt>
                <c:pt idx="6">
                  <c:v>106</c:v>
                </c:pt>
                <c:pt idx="7">
                  <c:v>106</c:v>
                </c:pt>
                <c:pt idx="8">
                  <c:v>106</c:v>
                </c:pt>
                <c:pt idx="9">
                  <c:v>106</c:v>
                </c:pt>
                <c:pt idx="10">
                  <c:v>106</c:v>
                </c:pt>
                <c:pt idx="11">
                  <c:v>106</c:v>
                </c:pt>
                <c:pt idx="12">
                  <c:v>106</c:v>
                </c:pt>
                <c:pt idx="13">
                  <c:v>106</c:v>
                </c:pt>
                <c:pt idx="14">
                  <c:v>106</c:v>
                </c:pt>
                <c:pt idx="15">
                  <c:v>106</c:v>
                </c:pt>
                <c:pt idx="16">
                  <c:v>106</c:v>
                </c:pt>
                <c:pt idx="17">
                  <c:v>106</c:v>
                </c:pt>
                <c:pt idx="18">
                  <c:v>106</c:v>
                </c:pt>
                <c:pt idx="19">
                  <c:v>106</c:v>
                </c:pt>
                <c:pt idx="20">
                  <c:v>106</c:v>
                </c:pt>
              </c:numCache>
            </c:numRef>
          </c:yVal>
          <c:bubbleSize>
            <c:numRef>
              <c:f>'bub-Top5-Rank 3'!$B$20:$V$20</c:f>
              <c:numCache>
                <c:formatCode>General</c:formatCode>
                <c:ptCount val="21"/>
                <c:pt idx="0">
                  <c:v>18</c:v>
                </c:pt>
                <c:pt idx="1">
                  <c:v>6</c:v>
                </c:pt>
                <c:pt idx="2">
                  <c:v>16</c:v>
                </c:pt>
                <c:pt idx="3">
                  <c:v>8</c:v>
                </c:pt>
                <c:pt idx="4">
                  <c:v>7</c:v>
                </c:pt>
                <c:pt idx="5">
                  <c:v>19</c:v>
                </c:pt>
                <c:pt idx="6">
                  <c:v>13</c:v>
                </c:pt>
                <c:pt idx="7">
                  <c:v>8</c:v>
                </c:pt>
                <c:pt idx="8">
                  <c:v>9</c:v>
                </c:pt>
                <c:pt idx="9">
                  <c:v>13</c:v>
                </c:pt>
                <c:pt idx="10">
                  <c:v>8</c:v>
                </c:pt>
                <c:pt idx="11">
                  <c:v>6</c:v>
                </c:pt>
                <c:pt idx="12">
                  <c:v>15</c:v>
                </c:pt>
                <c:pt idx="13">
                  <c:v>7</c:v>
                </c:pt>
                <c:pt idx="14">
                  <c:v>3</c:v>
                </c:pt>
                <c:pt idx="15">
                  <c:v>5</c:v>
                </c:pt>
                <c:pt idx="16">
                  <c:v>4</c:v>
                </c:pt>
                <c:pt idx="17">
                  <c:v>5</c:v>
                </c:pt>
                <c:pt idx="18">
                  <c:v>9</c:v>
                </c:pt>
                <c:pt idx="19">
                  <c:v>10</c:v>
                </c:pt>
                <c:pt idx="20">
                  <c:v>5</c:v>
                </c:pt>
              </c:numCache>
            </c:numRef>
          </c:bubbleSize>
          <c:bubble3D val="1"/>
        </c:ser>
        <c:ser>
          <c:idx val="17"/>
          <c:order val="4"/>
          <c:tx>
            <c:strRef>
              <c:f>'bub-Top5-Rank 3'!$A$21</c:f>
              <c:strCache>
                <c:ptCount val="1"/>
                <c:pt idx="0">
                  <c:v>SOM</c:v>
                </c:pt>
              </c:strCache>
            </c:strRef>
          </c:tx>
          <c:spPr>
            <a:ln w="25400">
              <a:noFill/>
            </a:ln>
          </c:spPr>
          <c:dLbls>
            <c:dLbl>
              <c:idx val="0"/>
              <c:layout>
                <c:manualLayout>
                  <c:x val="-0.11229982217009693"/>
                  <c:y val="-2.3363799782261945E-3"/>
                </c:manualLayout>
              </c:layout>
              <c:tx>
                <c:strRef>
                  <c:f>'bub-Top5-Rank 3'!$A$21</c:f>
                  <c:strCache>
                    <c:ptCount val="1"/>
                    <c:pt idx="0">
                      <c:v>SOM</c:v>
                    </c:pt>
                  </c:strCache>
                </c:strRef>
              </c:tx>
              <c:dLblPos val="r"/>
              <c:showVal val="1"/>
            </c:dLbl>
            <c:delete val="1"/>
          </c:dLbls>
          <c:xVal>
            <c:numRef>
              <c:f>'bub-Top5-Rank 3'!$B$22:$V$22</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3'!$B$21:$V$21</c:f>
              <c:numCache>
                <c:formatCode>General</c:formatCode>
                <c:ptCount val="2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107</c:v>
                </c:pt>
              </c:numCache>
            </c:numRef>
          </c:yVal>
          <c:bubbleSize>
            <c:numRef>
              <c:f>'bub-Top5-Rank 3'!$B$25:$V$25</c:f>
              <c:numCache>
                <c:formatCode>General</c:formatCode>
                <c:ptCount val="21"/>
                <c:pt idx="0">
                  <c:v>4</c:v>
                </c:pt>
                <c:pt idx="1">
                  <c:v>7</c:v>
                </c:pt>
                <c:pt idx="2">
                  <c:v>5</c:v>
                </c:pt>
                <c:pt idx="3">
                  <c:v>4</c:v>
                </c:pt>
                <c:pt idx="4">
                  <c:v>3</c:v>
                </c:pt>
                <c:pt idx="5">
                  <c:v>1</c:v>
                </c:pt>
                <c:pt idx="6">
                  <c:v>1</c:v>
                </c:pt>
                <c:pt idx="7">
                  <c:v>0</c:v>
                </c:pt>
                <c:pt idx="8">
                  <c:v>0</c:v>
                </c:pt>
                <c:pt idx="9">
                  <c:v>6</c:v>
                </c:pt>
                <c:pt idx="10">
                  <c:v>4</c:v>
                </c:pt>
                <c:pt idx="11">
                  <c:v>0</c:v>
                </c:pt>
                <c:pt idx="12">
                  <c:v>2</c:v>
                </c:pt>
                <c:pt idx="13">
                  <c:v>5</c:v>
                </c:pt>
                <c:pt idx="14">
                  <c:v>0</c:v>
                </c:pt>
                <c:pt idx="15">
                  <c:v>0</c:v>
                </c:pt>
                <c:pt idx="16">
                  <c:v>0</c:v>
                </c:pt>
                <c:pt idx="17">
                  <c:v>0</c:v>
                </c:pt>
                <c:pt idx="18">
                  <c:v>0</c:v>
                </c:pt>
                <c:pt idx="19">
                  <c:v>0</c:v>
                </c:pt>
                <c:pt idx="20">
                  <c:v>0</c:v>
                </c:pt>
              </c:numCache>
            </c:numRef>
          </c:bubbleSize>
          <c:bubble3D val="1"/>
        </c:ser>
        <c:ser>
          <c:idx val="0"/>
          <c:order val="5"/>
          <c:tx>
            <c:strRef>
              <c:f>'bub-Top5-Rank 3'!$A$26</c:f>
              <c:strCache>
                <c:ptCount val="1"/>
                <c:pt idx="0">
                  <c:v>Other</c:v>
                </c:pt>
              </c:strCache>
            </c:strRef>
          </c:tx>
          <c:spPr>
            <a:ln w="25400">
              <a:noFill/>
            </a:ln>
          </c:spPr>
          <c:dLbls>
            <c:dLbl>
              <c:idx val="0"/>
              <c:layout>
                <c:manualLayout>
                  <c:x val="-0.11368750359982673"/>
                  <c:y val="4.1918795520334883E-4"/>
                </c:manualLayout>
              </c:layout>
              <c:tx>
                <c:strRef>
                  <c:f>'bub-Top5-Rank 3'!$A$26</c:f>
                  <c:strCache>
                    <c:ptCount val="1"/>
                    <c:pt idx="0">
                      <c:v>Other</c:v>
                    </c:pt>
                  </c:strCache>
                </c:strRef>
              </c:tx>
              <c:dLblPos val="r"/>
              <c:showVal val="1"/>
            </c:dLbl>
            <c:delete val="1"/>
          </c:dLbls>
          <c:xVal>
            <c:numRef>
              <c:f>'bub-Top5-Rank 3'!$B$27:$V$27</c:f>
              <c:numCache>
                <c:formatCode>General</c:formatCode>
                <c:ptCount val="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numCache>
            </c:numRef>
          </c:xVal>
          <c:yVal>
            <c:numRef>
              <c:f>'bub-Top5-Rank 3'!$B$26:$V$26</c:f>
              <c:numCache>
                <c:formatCode>General</c:formatCode>
                <c:ptCount val="21"/>
                <c:pt idx="0">
                  <c:v>108</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108</c:v>
                </c:pt>
                <c:pt idx="18">
                  <c:v>108</c:v>
                </c:pt>
                <c:pt idx="19">
                  <c:v>108</c:v>
                </c:pt>
                <c:pt idx="20">
                  <c:v>108</c:v>
                </c:pt>
              </c:numCache>
            </c:numRef>
          </c:yVal>
          <c:bubbleSize>
            <c:numRef>
              <c:f>'bub-Top5-Rank 3'!$B$30:$V$30</c:f>
              <c:numCache>
                <c:formatCode>General</c:formatCode>
                <c:ptCount val="21"/>
                <c:pt idx="0">
                  <c:v>1</c:v>
                </c:pt>
                <c:pt idx="1">
                  <c:v>1</c:v>
                </c:pt>
                <c:pt idx="2">
                  <c:v>0</c:v>
                </c:pt>
                <c:pt idx="3">
                  <c:v>0</c:v>
                </c:pt>
                <c:pt idx="4">
                  <c:v>0</c:v>
                </c:pt>
                <c:pt idx="5">
                  <c:v>1</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numCache>
            </c:numRef>
          </c:bubbleSize>
          <c:bubble3D val="1"/>
        </c:ser>
        <c:bubbleScale val="18"/>
        <c:axId val="182613504"/>
        <c:axId val="182615040"/>
      </c:bubbleChart>
      <c:valAx>
        <c:axId val="182613504"/>
        <c:scaling>
          <c:orientation val="minMax"/>
          <c:max val="31"/>
          <c:min val="9"/>
        </c:scaling>
        <c:axPos val="b"/>
        <c:majorGridlines>
          <c:spPr>
            <a:ln>
              <a:prstDash val="sysDot"/>
            </a:ln>
          </c:spPr>
        </c:majorGridlines>
        <c:numFmt formatCode="General" sourceLinked="1"/>
        <c:tickLblPos val="none"/>
        <c:txPr>
          <a:bodyPr/>
          <a:lstStyle/>
          <a:p>
            <a:pPr>
              <a:defRPr sz="1200"/>
            </a:pPr>
            <a:endParaRPr lang="en-US"/>
          </a:p>
        </c:txPr>
        <c:crossAx val="182615040"/>
        <c:crosses val="autoZero"/>
        <c:crossBetween val="midCat"/>
        <c:majorUnit val="1"/>
      </c:valAx>
      <c:valAx>
        <c:axId val="182615040"/>
        <c:scaling>
          <c:orientation val="minMax"/>
          <c:max val="109"/>
          <c:min val="102"/>
        </c:scaling>
        <c:axPos val="l"/>
        <c:majorGridlines>
          <c:spPr>
            <a:ln>
              <a:prstDash val="sysDot"/>
            </a:ln>
          </c:spPr>
        </c:majorGridlines>
        <c:numFmt formatCode="General" sourceLinked="1"/>
        <c:tickLblPos val="none"/>
        <c:txPr>
          <a:bodyPr/>
          <a:lstStyle/>
          <a:p>
            <a:pPr>
              <a:defRPr sz="1200"/>
            </a:pPr>
            <a:endParaRPr lang="en-US"/>
          </a:p>
        </c:txPr>
        <c:crossAx val="182613504"/>
        <c:crossesAt val="9"/>
        <c:crossBetween val="midCat"/>
        <c:majorUnit val="1"/>
      </c:valAx>
    </c:plotArea>
    <c:plotVisOnly val="1"/>
  </c:chart>
  <c:printSettings>
    <c:headerFooter/>
    <c:pageMargins b="0.75000000000001232" l="0.70000000000000062" r="0.70000000000000062" t="0.75000000000001232"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20933681496557177"/>
          <c:y val="0.12565288292004667"/>
          <c:w val="0.59125156835494552"/>
          <c:h val="0.76287638127636359"/>
        </c:manualLayout>
      </c:layout>
      <c:radarChart>
        <c:radarStyle val="filled"/>
        <c:ser>
          <c:idx val="1"/>
          <c:order val="0"/>
          <c:tx>
            <c:v>FES survey results - all respondents</c:v>
          </c:tx>
          <c:spPr>
            <a:solidFill>
              <a:srgbClr val="00B050">
                <a:alpha val="40000"/>
              </a:srgbClr>
            </a:solidFill>
            <a:ln w="19050">
              <a:solidFill>
                <a:schemeClr val="tx1"/>
              </a:solidFill>
            </a:ln>
            <a:effectLst>
              <a:glow rad="101600">
                <a:schemeClr val="accent3">
                  <a:satMod val="175000"/>
                  <a:alpha val="40000"/>
                </a:schemeClr>
              </a:glow>
            </a:effectLst>
          </c:spPr>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chart'!$C$3:$C$16</c:f>
              <c:numCache>
                <c:formatCode>0%</c:formatCode>
                <c:ptCount val="14"/>
                <c:pt idx="0">
                  <c:v>0.23</c:v>
                </c:pt>
                <c:pt idx="1">
                  <c:v>0.04</c:v>
                </c:pt>
                <c:pt idx="2">
                  <c:v>0.19</c:v>
                </c:pt>
                <c:pt idx="3">
                  <c:v>0.24</c:v>
                </c:pt>
                <c:pt idx="4">
                  <c:v>0.02</c:v>
                </c:pt>
                <c:pt idx="5">
                  <c:v>0.1</c:v>
                </c:pt>
                <c:pt idx="6">
                  <c:v>0.31</c:v>
                </c:pt>
                <c:pt idx="7">
                  <c:v>0.12</c:v>
                </c:pt>
                <c:pt idx="8">
                  <c:v>0.08</c:v>
                </c:pt>
                <c:pt idx="9">
                  <c:v>0.05</c:v>
                </c:pt>
                <c:pt idx="10">
                  <c:v>0.1</c:v>
                </c:pt>
                <c:pt idx="11">
                  <c:v>0.5</c:v>
                </c:pt>
                <c:pt idx="12">
                  <c:v>0.73</c:v>
                </c:pt>
                <c:pt idx="13">
                  <c:v>0.2</c:v>
                </c:pt>
              </c:numCache>
            </c:numRef>
          </c:val>
        </c:ser>
        <c:ser>
          <c:idx val="0"/>
          <c:order val="1"/>
          <c:tx>
            <c:v>Courses</c:v>
          </c:tx>
          <c:spPr>
            <a:solidFill>
              <a:srgbClr val="FF0000">
                <a:alpha val="30196"/>
              </a:srgbClr>
            </a:solidFill>
            <a:ln w="19050">
              <a:solidFill>
                <a:schemeClr val="tx1"/>
              </a:solidFill>
            </a:ln>
            <a:effectLst>
              <a:glow rad="101600">
                <a:schemeClr val="accent2">
                  <a:satMod val="175000"/>
                  <a:alpha val="40000"/>
                </a:schemeClr>
              </a:glow>
            </a:effectLst>
          </c:spPr>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chart'!$J$3:$J$16</c:f>
              <c:numCache>
                <c:formatCode>0%</c:formatCode>
                <c:ptCount val="14"/>
                <c:pt idx="0">
                  <c:v>0.31372549019607843</c:v>
                </c:pt>
                <c:pt idx="1">
                  <c:v>0.37254901960784315</c:v>
                </c:pt>
                <c:pt idx="2">
                  <c:v>0.32107843137254904</c:v>
                </c:pt>
                <c:pt idx="3">
                  <c:v>0.4264705882352941</c:v>
                </c:pt>
                <c:pt idx="4">
                  <c:v>#N/A</c:v>
                </c:pt>
                <c:pt idx="5">
                  <c:v>#N/A</c:v>
                </c:pt>
                <c:pt idx="6">
                  <c:v>#N/A</c:v>
                </c:pt>
                <c:pt idx="7">
                  <c:v>#N/A</c:v>
                </c:pt>
                <c:pt idx="8">
                  <c:v>#N/A</c:v>
                </c:pt>
                <c:pt idx="9">
                  <c:v>#N/A</c:v>
                </c:pt>
                <c:pt idx="10">
                  <c:v>#N/A</c:v>
                </c:pt>
                <c:pt idx="11">
                  <c:v>#N/A</c:v>
                </c:pt>
                <c:pt idx="12">
                  <c:v>#N/A</c:v>
                </c:pt>
                <c:pt idx="13">
                  <c:v>#N/A</c:v>
                </c:pt>
              </c:numCache>
            </c:numRef>
          </c:val>
        </c:ser>
        <c:ser>
          <c:idx val="2"/>
          <c:order val="2"/>
          <c:tx>
            <c:v>2010 report, ISSP</c:v>
          </c:tx>
          <c:spPr>
            <a:solidFill>
              <a:srgbClr val="00B0F0">
                <a:alpha val="20000"/>
              </a:srgbClr>
            </a:solidFill>
            <a:ln>
              <a:noFill/>
            </a:ln>
          </c:spPr>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chart'!$H$3:$H$16</c:f>
              <c:numCache>
                <c:formatCode>General</c:formatCode>
                <c:ptCount val="14"/>
                <c:pt idx="2" formatCode="0%">
                  <c:v>0.56000000000000005</c:v>
                </c:pt>
                <c:pt idx="3" formatCode="0%">
                  <c:v>0.14000000000000001</c:v>
                </c:pt>
                <c:pt idx="4" formatCode="0%">
                  <c:v>0.12</c:v>
                </c:pt>
                <c:pt idx="5" formatCode="0%">
                  <c:v>0.17</c:v>
                </c:pt>
                <c:pt idx="6" formatCode="0%">
                  <c:v>0.44</c:v>
                </c:pt>
                <c:pt idx="7" formatCode="0%">
                  <c:v>0.25</c:v>
                </c:pt>
                <c:pt idx="8" formatCode="0%">
                  <c:v>0.57999999999999996</c:v>
                </c:pt>
                <c:pt idx="9" formatCode="0%">
                  <c:v>0.27</c:v>
                </c:pt>
                <c:pt idx="10" formatCode="0%">
                  <c:v>0.24</c:v>
                </c:pt>
                <c:pt idx="11" formatCode="0%">
                  <c:v>0.28999999999999998</c:v>
                </c:pt>
                <c:pt idx="12" formatCode="0%">
                  <c:v>0.28000000000000003</c:v>
                </c:pt>
                <c:pt idx="13" formatCode="0%">
                  <c:v>0.31</c:v>
                </c:pt>
              </c:numCache>
            </c:numRef>
          </c:val>
        </c:ser>
        <c:ser>
          <c:idx val="3"/>
          <c:order val="3"/>
          <c:tx>
            <c:v>2007 report, IISD</c:v>
          </c:tx>
          <c:spPr>
            <a:solidFill>
              <a:schemeClr val="tx1">
                <a:alpha val="20000"/>
              </a:schemeClr>
            </a:solidFill>
            <a:ln>
              <a:noFill/>
            </a:ln>
          </c:spPr>
          <c:val>
            <c:numRef>
              <c:f>'FES Survey skills chart'!$I$3:$I$16</c:f>
              <c:numCache>
                <c:formatCode>General</c:formatCode>
                <c:ptCount val="14"/>
                <c:pt idx="2" formatCode="0%">
                  <c:v>0.19</c:v>
                </c:pt>
                <c:pt idx="5" formatCode="0%">
                  <c:v>0.16</c:v>
                </c:pt>
                <c:pt idx="6" formatCode="0%">
                  <c:v>0.28000000000000003</c:v>
                </c:pt>
                <c:pt idx="7" formatCode="0%">
                  <c:v>7.0000000000000007E-2</c:v>
                </c:pt>
                <c:pt idx="8" formatCode="0%">
                  <c:v>0.38</c:v>
                </c:pt>
                <c:pt idx="10" formatCode="0%">
                  <c:v>0.4</c:v>
                </c:pt>
                <c:pt idx="11" formatCode="0%">
                  <c:v>0.4</c:v>
                </c:pt>
                <c:pt idx="12" formatCode="0%">
                  <c:v>0.6</c:v>
                </c:pt>
                <c:pt idx="13" formatCode="0%">
                  <c:v>0.17</c:v>
                </c:pt>
              </c:numCache>
            </c:numRef>
          </c:val>
        </c:ser>
        <c:axId val="182617984"/>
        <c:axId val="182619520"/>
      </c:radarChart>
      <c:catAx>
        <c:axId val="182617984"/>
        <c:scaling>
          <c:orientation val="minMax"/>
        </c:scaling>
        <c:axPos val="b"/>
        <c:majorGridlines/>
        <c:numFmt formatCode="General" sourceLinked="1"/>
        <c:majorTickMark val="none"/>
        <c:tickLblPos val="nextTo"/>
        <c:txPr>
          <a:bodyPr/>
          <a:lstStyle/>
          <a:p>
            <a:pPr>
              <a:defRPr sz="1800"/>
            </a:pPr>
            <a:endParaRPr lang="en-US"/>
          </a:p>
        </c:txPr>
        <c:crossAx val="182619520"/>
        <c:crosses val="autoZero"/>
        <c:auto val="1"/>
        <c:lblAlgn val="ctr"/>
        <c:lblOffset val="100"/>
      </c:catAx>
      <c:valAx>
        <c:axId val="182619520"/>
        <c:scaling>
          <c:orientation val="minMax"/>
          <c:max val="0.70000000000000062"/>
          <c:min val="0"/>
        </c:scaling>
        <c:axPos val="l"/>
        <c:majorGridlines/>
        <c:numFmt formatCode="0%" sourceLinked="0"/>
        <c:majorTickMark val="none"/>
        <c:tickLblPos val="nextTo"/>
        <c:txPr>
          <a:bodyPr/>
          <a:lstStyle/>
          <a:p>
            <a:pPr>
              <a:defRPr sz="1500" b="1"/>
            </a:pPr>
            <a:endParaRPr lang="en-US"/>
          </a:p>
        </c:txPr>
        <c:crossAx val="182617984"/>
        <c:crosses val="autoZero"/>
        <c:crossBetween val="between"/>
        <c:minorUnit val="0.05"/>
      </c:valAx>
    </c:plotArea>
    <c:legend>
      <c:legendPos val="t"/>
      <c:layout>
        <c:manualLayout>
          <c:xMode val="edge"/>
          <c:yMode val="edge"/>
          <c:x val="0.16267793186033941"/>
          <c:y val="3.6229491134277848E-2"/>
          <c:w val="0.76525723070164631"/>
          <c:h val="3.4449396451774819E-2"/>
        </c:manualLayout>
      </c:layout>
      <c:txPr>
        <a:bodyPr/>
        <a:lstStyle/>
        <a:p>
          <a:pPr>
            <a:defRPr sz="2100"/>
          </a:pPr>
          <a:endParaRPr lang="en-US"/>
        </a:p>
      </c:txPr>
    </c:legend>
    <c:plotVisOnly val="1"/>
  </c:chart>
  <c:printSettings>
    <c:headerFooter/>
    <c:pageMargins b="0.75000000000001432" l="0.70000000000000062" r="0.70000000000000062" t="0.7500000000000143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00"/>
            </a:pPr>
            <a:r>
              <a:rPr lang="en-US" sz="2200"/>
              <a:t>FES Survey Results by sector</a:t>
            </a:r>
          </a:p>
        </c:rich>
      </c:tx>
      <c:overlay val="1"/>
    </c:title>
    <c:plotArea>
      <c:layout>
        <c:manualLayout>
          <c:layoutTarget val="inner"/>
          <c:xMode val="edge"/>
          <c:yMode val="edge"/>
          <c:x val="0.20933681496557177"/>
          <c:y val="0.12565288292004667"/>
          <c:w val="0.5912515683549453"/>
          <c:h val="0.76287638127636359"/>
        </c:manualLayout>
      </c:layout>
      <c:barChart>
        <c:barDir val="bar"/>
        <c:grouping val="clustered"/>
        <c:ser>
          <c:idx val="1"/>
          <c:order val="0"/>
          <c:tx>
            <c:strRef>
              <c:f>'FES Survey skills chart'!$C$2</c:f>
              <c:strCache>
                <c:ptCount val="1"/>
                <c:pt idx="0">
                  <c:v>% (all respondents)</c:v>
                </c:pt>
              </c:strCache>
            </c:strRef>
          </c:tx>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chart'!$C$3:$C$16</c:f>
              <c:numCache>
                <c:formatCode>0%</c:formatCode>
                <c:ptCount val="14"/>
                <c:pt idx="0">
                  <c:v>0.23</c:v>
                </c:pt>
                <c:pt idx="1">
                  <c:v>0.04</c:v>
                </c:pt>
                <c:pt idx="2">
                  <c:v>0.19</c:v>
                </c:pt>
                <c:pt idx="3">
                  <c:v>0.24</c:v>
                </c:pt>
                <c:pt idx="4">
                  <c:v>0.02</c:v>
                </c:pt>
                <c:pt idx="5">
                  <c:v>0.1</c:v>
                </c:pt>
                <c:pt idx="6">
                  <c:v>0.31</c:v>
                </c:pt>
                <c:pt idx="7">
                  <c:v>0.12</c:v>
                </c:pt>
                <c:pt idx="8">
                  <c:v>0.08</c:v>
                </c:pt>
                <c:pt idx="9">
                  <c:v>0.05</c:v>
                </c:pt>
                <c:pt idx="10">
                  <c:v>0.1</c:v>
                </c:pt>
                <c:pt idx="11">
                  <c:v>0.5</c:v>
                </c:pt>
                <c:pt idx="12">
                  <c:v>0.73</c:v>
                </c:pt>
                <c:pt idx="13">
                  <c:v>0.2</c:v>
                </c:pt>
              </c:numCache>
            </c:numRef>
          </c:val>
        </c:ser>
        <c:ser>
          <c:idx val="0"/>
          <c:order val="1"/>
          <c:tx>
            <c:strRef>
              <c:f>'FES Survey skills chart'!$D$2</c:f>
              <c:strCache>
                <c:ptCount val="1"/>
                <c:pt idx="0">
                  <c:v>% (Government)</c:v>
                </c:pt>
              </c:strCache>
            </c:strRef>
          </c:tx>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chart'!$D$3:$D$16</c:f>
              <c:numCache>
                <c:formatCode>0%</c:formatCode>
                <c:ptCount val="14"/>
                <c:pt idx="0">
                  <c:v>0.34</c:v>
                </c:pt>
                <c:pt idx="1">
                  <c:v>0.04</c:v>
                </c:pt>
                <c:pt idx="2">
                  <c:v>0.28000000000000003</c:v>
                </c:pt>
                <c:pt idx="3">
                  <c:v>0.19</c:v>
                </c:pt>
                <c:pt idx="4">
                  <c:v>0</c:v>
                </c:pt>
                <c:pt idx="5">
                  <c:v>0.09</c:v>
                </c:pt>
                <c:pt idx="6">
                  <c:v>0.32</c:v>
                </c:pt>
                <c:pt idx="7">
                  <c:v>0.06</c:v>
                </c:pt>
                <c:pt idx="8">
                  <c:v>0.08</c:v>
                </c:pt>
                <c:pt idx="9">
                  <c:v>0.02</c:v>
                </c:pt>
                <c:pt idx="10">
                  <c:v>0.11</c:v>
                </c:pt>
                <c:pt idx="11">
                  <c:v>0.56999999999999995</c:v>
                </c:pt>
                <c:pt idx="12">
                  <c:v>0.68</c:v>
                </c:pt>
                <c:pt idx="13">
                  <c:v>0.23</c:v>
                </c:pt>
              </c:numCache>
            </c:numRef>
          </c:val>
        </c:ser>
        <c:ser>
          <c:idx val="2"/>
          <c:order val="2"/>
          <c:tx>
            <c:strRef>
              <c:f>'FES Survey skills chart'!$E$2</c:f>
              <c:strCache>
                <c:ptCount val="1"/>
                <c:pt idx="0">
                  <c:v>% (Academia)</c:v>
                </c:pt>
              </c:strCache>
            </c:strRef>
          </c:tx>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chart'!$E$3:$E$16</c:f>
              <c:numCache>
                <c:formatCode>0%</c:formatCode>
                <c:ptCount val="14"/>
                <c:pt idx="0">
                  <c:v>0.21</c:v>
                </c:pt>
                <c:pt idx="1">
                  <c:v>0.13</c:v>
                </c:pt>
                <c:pt idx="2">
                  <c:v>0.19</c:v>
                </c:pt>
                <c:pt idx="3">
                  <c:v>0.43</c:v>
                </c:pt>
                <c:pt idx="4">
                  <c:v>0.02</c:v>
                </c:pt>
                <c:pt idx="5">
                  <c:v>0.06</c:v>
                </c:pt>
                <c:pt idx="6">
                  <c:v>0.21</c:v>
                </c:pt>
                <c:pt idx="7">
                  <c:v>0.02</c:v>
                </c:pt>
                <c:pt idx="8">
                  <c:v>0</c:v>
                </c:pt>
                <c:pt idx="9">
                  <c:v>0.06</c:v>
                </c:pt>
                <c:pt idx="10">
                  <c:v>0.09</c:v>
                </c:pt>
                <c:pt idx="11">
                  <c:v>0.55000000000000004</c:v>
                </c:pt>
                <c:pt idx="12">
                  <c:v>0.81</c:v>
                </c:pt>
                <c:pt idx="13">
                  <c:v>0.21</c:v>
                </c:pt>
              </c:numCache>
            </c:numRef>
          </c:val>
        </c:ser>
        <c:ser>
          <c:idx val="3"/>
          <c:order val="3"/>
          <c:tx>
            <c:strRef>
              <c:f>'FES Survey skills chart'!$F$2</c:f>
              <c:strCache>
                <c:ptCount val="1"/>
                <c:pt idx="0">
                  <c:v>% (NGO)</c:v>
                </c:pt>
              </c:strCache>
            </c:strRef>
          </c:tx>
          <c:val>
            <c:numRef>
              <c:f>'FES Survey skills chart'!$F$3:$F$16</c:f>
              <c:numCache>
                <c:formatCode>0%</c:formatCode>
                <c:ptCount val="14"/>
                <c:pt idx="0">
                  <c:v>0.16</c:v>
                </c:pt>
                <c:pt idx="1">
                  <c:v>0.03</c:v>
                </c:pt>
                <c:pt idx="2">
                  <c:v>0.16</c:v>
                </c:pt>
                <c:pt idx="3">
                  <c:v>0.24</c:v>
                </c:pt>
                <c:pt idx="4">
                  <c:v>0.02</c:v>
                </c:pt>
                <c:pt idx="5">
                  <c:v>0.18</c:v>
                </c:pt>
                <c:pt idx="6">
                  <c:v>0.35</c:v>
                </c:pt>
                <c:pt idx="7">
                  <c:v>0.09</c:v>
                </c:pt>
                <c:pt idx="8">
                  <c:v>0.13</c:v>
                </c:pt>
                <c:pt idx="9">
                  <c:v>0.05</c:v>
                </c:pt>
                <c:pt idx="10">
                  <c:v>0.11</c:v>
                </c:pt>
                <c:pt idx="11">
                  <c:v>0.62</c:v>
                </c:pt>
                <c:pt idx="12">
                  <c:v>0.67</c:v>
                </c:pt>
                <c:pt idx="13">
                  <c:v>0.17</c:v>
                </c:pt>
              </c:numCache>
            </c:numRef>
          </c:val>
        </c:ser>
        <c:ser>
          <c:idx val="4"/>
          <c:order val="4"/>
          <c:tx>
            <c:strRef>
              <c:f>'FES Survey skills chart'!$G$2</c:f>
              <c:strCache>
                <c:ptCount val="1"/>
                <c:pt idx="0">
                  <c:v>% (Private)</c:v>
                </c:pt>
              </c:strCache>
            </c:strRef>
          </c:tx>
          <c:val>
            <c:numRef>
              <c:f>'FES Survey skills chart'!$G$3:$G$16</c:f>
              <c:numCache>
                <c:formatCode>0%</c:formatCode>
                <c:ptCount val="14"/>
                <c:pt idx="0">
                  <c:v>0.26</c:v>
                </c:pt>
                <c:pt idx="1">
                  <c:v>0.03</c:v>
                </c:pt>
                <c:pt idx="2">
                  <c:v>0.18</c:v>
                </c:pt>
                <c:pt idx="3">
                  <c:v>0.23</c:v>
                </c:pt>
                <c:pt idx="4">
                  <c:v>0.03</c:v>
                </c:pt>
                <c:pt idx="5">
                  <c:v>0.05</c:v>
                </c:pt>
                <c:pt idx="6">
                  <c:v>0.33</c:v>
                </c:pt>
                <c:pt idx="7">
                  <c:v>0.21</c:v>
                </c:pt>
                <c:pt idx="8">
                  <c:v>0.09</c:v>
                </c:pt>
                <c:pt idx="9">
                  <c:v>0.06</c:v>
                </c:pt>
                <c:pt idx="10">
                  <c:v>0.11</c:v>
                </c:pt>
                <c:pt idx="11">
                  <c:v>0.4</c:v>
                </c:pt>
                <c:pt idx="12">
                  <c:v>0.76</c:v>
                </c:pt>
                <c:pt idx="13">
                  <c:v>0.24</c:v>
                </c:pt>
              </c:numCache>
            </c:numRef>
          </c:val>
        </c:ser>
        <c:axId val="185137024"/>
        <c:axId val="185138560"/>
      </c:barChart>
      <c:catAx>
        <c:axId val="185137024"/>
        <c:scaling>
          <c:orientation val="minMax"/>
        </c:scaling>
        <c:axPos val="l"/>
        <c:majorGridlines/>
        <c:numFmt formatCode="General" sourceLinked="1"/>
        <c:majorTickMark val="none"/>
        <c:tickLblPos val="nextTo"/>
        <c:txPr>
          <a:bodyPr/>
          <a:lstStyle/>
          <a:p>
            <a:pPr>
              <a:defRPr sz="1800"/>
            </a:pPr>
            <a:endParaRPr lang="en-US"/>
          </a:p>
        </c:txPr>
        <c:crossAx val="185138560"/>
        <c:crosses val="autoZero"/>
        <c:auto val="1"/>
        <c:lblAlgn val="ctr"/>
        <c:lblOffset val="100"/>
      </c:catAx>
      <c:valAx>
        <c:axId val="185138560"/>
        <c:scaling>
          <c:orientation val="minMax"/>
          <c:max val="0.8"/>
          <c:min val="0"/>
        </c:scaling>
        <c:axPos val="b"/>
        <c:majorGridlines/>
        <c:numFmt formatCode="0%" sourceLinked="0"/>
        <c:majorTickMark val="none"/>
        <c:tickLblPos val="nextTo"/>
        <c:txPr>
          <a:bodyPr/>
          <a:lstStyle/>
          <a:p>
            <a:pPr>
              <a:defRPr sz="1200"/>
            </a:pPr>
            <a:endParaRPr lang="en-US"/>
          </a:p>
        </c:txPr>
        <c:crossAx val="185137024"/>
        <c:crosses val="autoZero"/>
        <c:crossBetween val="between"/>
        <c:majorUnit val="0.1"/>
        <c:minorUnit val="0.1"/>
      </c:valAx>
    </c:plotArea>
    <c:legend>
      <c:legendPos val="t"/>
      <c:layout>
        <c:manualLayout>
          <c:xMode val="edge"/>
          <c:yMode val="edge"/>
          <c:x val="0.20245365161244491"/>
          <c:y val="7.7948299107082702E-2"/>
          <c:w val="0.68111961128804743"/>
          <c:h val="3.3123402263016251E-2"/>
        </c:manualLayout>
      </c:layout>
      <c:txPr>
        <a:bodyPr/>
        <a:lstStyle/>
        <a:p>
          <a:pPr>
            <a:defRPr sz="2000"/>
          </a:pPr>
          <a:endParaRPr lang="en-US"/>
        </a:p>
      </c:txPr>
    </c:legend>
    <c:plotVisOnly val="1"/>
  </c:chart>
  <c:printSettings>
    <c:headerFooter/>
    <c:pageMargins b="0.75000000000001454" l="0.70000000000000062" r="0.70000000000000062" t="0.7500000000000145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00"/>
            </a:pPr>
            <a:r>
              <a:rPr lang="en-US" sz="2200"/>
              <a:t>FES Survey Results by sector</a:t>
            </a:r>
          </a:p>
        </c:rich>
      </c:tx>
      <c:overlay val="1"/>
    </c:title>
    <c:plotArea>
      <c:layout>
        <c:manualLayout>
          <c:layoutTarget val="inner"/>
          <c:xMode val="edge"/>
          <c:yMode val="edge"/>
          <c:x val="0.20933681496557177"/>
          <c:y val="0.12565288292004667"/>
          <c:w val="0.59125156835494508"/>
          <c:h val="0.76287638127636359"/>
        </c:manualLayout>
      </c:layout>
      <c:radarChart>
        <c:radarStyle val="marker"/>
        <c:ser>
          <c:idx val="1"/>
          <c:order val="0"/>
          <c:tx>
            <c:strRef>
              <c:f>'FES Survey skills chart'!$C$2</c:f>
              <c:strCache>
                <c:ptCount val="1"/>
                <c:pt idx="0">
                  <c:v>% (all respondents)</c:v>
                </c:pt>
              </c:strCache>
            </c:strRef>
          </c:tx>
          <c:spPr>
            <a:ln>
              <a:solidFill>
                <a:schemeClr val="tx1"/>
              </a:solidFill>
            </a:ln>
          </c:spPr>
          <c:marker>
            <c:symbol val="none"/>
          </c:marker>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chart'!$C$3:$C$16</c:f>
              <c:numCache>
                <c:formatCode>0%</c:formatCode>
                <c:ptCount val="14"/>
                <c:pt idx="0">
                  <c:v>0.23</c:v>
                </c:pt>
                <c:pt idx="1">
                  <c:v>0.04</c:v>
                </c:pt>
                <c:pt idx="2">
                  <c:v>0.19</c:v>
                </c:pt>
                <c:pt idx="3">
                  <c:v>0.24</c:v>
                </c:pt>
                <c:pt idx="4">
                  <c:v>0.02</c:v>
                </c:pt>
                <c:pt idx="5">
                  <c:v>0.1</c:v>
                </c:pt>
                <c:pt idx="6">
                  <c:v>0.31</c:v>
                </c:pt>
                <c:pt idx="7">
                  <c:v>0.12</c:v>
                </c:pt>
                <c:pt idx="8">
                  <c:v>0.08</c:v>
                </c:pt>
                <c:pt idx="9">
                  <c:v>0.05</c:v>
                </c:pt>
                <c:pt idx="10">
                  <c:v>0.1</c:v>
                </c:pt>
                <c:pt idx="11">
                  <c:v>0.5</c:v>
                </c:pt>
                <c:pt idx="12">
                  <c:v>0.73</c:v>
                </c:pt>
                <c:pt idx="13">
                  <c:v>0.2</c:v>
                </c:pt>
              </c:numCache>
            </c:numRef>
          </c:val>
        </c:ser>
        <c:ser>
          <c:idx val="0"/>
          <c:order val="1"/>
          <c:tx>
            <c:strRef>
              <c:f>'FES Survey skills chart'!$D$2</c:f>
              <c:strCache>
                <c:ptCount val="1"/>
                <c:pt idx="0">
                  <c:v>% (Government)</c:v>
                </c:pt>
              </c:strCache>
            </c:strRef>
          </c:tx>
          <c:marker>
            <c:symbol val="none"/>
          </c:marker>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chart'!$D$3:$D$16</c:f>
              <c:numCache>
                <c:formatCode>0%</c:formatCode>
                <c:ptCount val="14"/>
                <c:pt idx="0">
                  <c:v>0.34</c:v>
                </c:pt>
                <c:pt idx="1">
                  <c:v>0.04</c:v>
                </c:pt>
                <c:pt idx="2">
                  <c:v>0.28000000000000003</c:v>
                </c:pt>
                <c:pt idx="3">
                  <c:v>0.19</c:v>
                </c:pt>
                <c:pt idx="4">
                  <c:v>0</c:v>
                </c:pt>
                <c:pt idx="5">
                  <c:v>0.09</c:v>
                </c:pt>
                <c:pt idx="6">
                  <c:v>0.32</c:v>
                </c:pt>
                <c:pt idx="7">
                  <c:v>0.06</c:v>
                </c:pt>
                <c:pt idx="8">
                  <c:v>0.08</c:v>
                </c:pt>
                <c:pt idx="9">
                  <c:v>0.02</c:v>
                </c:pt>
                <c:pt idx="10">
                  <c:v>0.11</c:v>
                </c:pt>
                <c:pt idx="11">
                  <c:v>0.56999999999999995</c:v>
                </c:pt>
                <c:pt idx="12">
                  <c:v>0.68</c:v>
                </c:pt>
                <c:pt idx="13">
                  <c:v>0.23</c:v>
                </c:pt>
              </c:numCache>
            </c:numRef>
          </c:val>
        </c:ser>
        <c:ser>
          <c:idx val="2"/>
          <c:order val="2"/>
          <c:tx>
            <c:strRef>
              <c:f>'FES Survey skills chart'!$E$2</c:f>
              <c:strCache>
                <c:ptCount val="1"/>
                <c:pt idx="0">
                  <c:v>% (Academia)</c:v>
                </c:pt>
              </c:strCache>
            </c:strRef>
          </c:tx>
          <c:marker>
            <c:symbol val="none"/>
          </c:marker>
          <c:cat>
            <c:strRef>
              <c:f>'FES Survey skills chart'!$B$3:$B$16</c:f>
              <c:strCache>
                <c:ptCount val="14"/>
                <c:pt idx="0">
                  <c:v>1. Quantitative Analysis</c:v>
                </c:pt>
                <c:pt idx="1">
                  <c:v>2. Understanding of Social Sciences and Processes</c:v>
                </c:pt>
                <c:pt idx="2">
                  <c:v>3. Systems Thinking </c:v>
                </c:pt>
                <c:pt idx="3">
                  <c:v>4. Scientific and Disciplinary Knowledge  </c:v>
                </c:pt>
                <c:pt idx="4">
                  <c:v>5. Understanding Clean Technology </c:v>
                </c:pt>
                <c:pt idx="5">
                  <c:v>6. Understanding Institutions and Policy  </c:v>
                </c:pt>
                <c:pt idx="6">
                  <c:v>7. Project &amp; Business Management </c:v>
                </c:pt>
                <c:pt idx="7">
                  <c:v>8. Finance </c:v>
                </c:pt>
                <c:pt idx="8">
                  <c:v>9. Strategy</c:v>
                </c:pt>
                <c:pt idx="9">
                  <c:v>10. Entrepreneurship and Innovation </c:v>
                </c:pt>
                <c:pt idx="10">
                  <c:v>11. Managing Groups and Organizations </c:v>
                </c:pt>
                <c:pt idx="11">
                  <c:v>12. Interpersonal Skills </c:v>
                </c:pt>
                <c:pt idx="12">
                  <c:v>13. Communication</c:v>
                </c:pt>
                <c:pt idx="13">
                  <c:v>14. Critical Thinking and Problem Analysis</c:v>
                </c:pt>
              </c:strCache>
            </c:strRef>
          </c:cat>
          <c:val>
            <c:numRef>
              <c:f>'FES Survey skills chart'!$E$3:$E$16</c:f>
              <c:numCache>
                <c:formatCode>0%</c:formatCode>
                <c:ptCount val="14"/>
                <c:pt idx="0">
                  <c:v>0.21</c:v>
                </c:pt>
                <c:pt idx="1">
                  <c:v>0.13</c:v>
                </c:pt>
                <c:pt idx="2">
                  <c:v>0.19</c:v>
                </c:pt>
                <c:pt idx="3">
                  <c:v>0.43</c:v>
                </c:pt>
                <c:pt idx="4">
                  <c:v>0.02</c:v>
                </c:pt>
                <c:pt idx="5">
                  <c:v>0.06</c:v>
                </c:pt>
                <c:pt idx="6">
                  <c:v>0.21</c:v>
                </c:pt>
                <c:pt idx="7">
                  <c:v>0.02</c:v>
                </c:pt>
                <c:pt idx="8">
                  <c:v>0</c:v>
                </c:pt>
                <c:pt idx="9">
                  <c:v>0.06</c:v>
                </c:pt>
                <c:pt idx="10">
                  <c:v>0.09</c:v>
                </c:pt>
                <c:pt idx="11">
                  <c:v>0.55000000000000004</c:v>
                </c:pt>
                <c:pt idx="12">
                  <c:v>0.81</c:v>
                </c:pt>
                <c:pt idx="13">
                  <c:v>0.21</c:v>
                </c:pt>
              </c:numCache>
            </c:numRef>
          </c:val>
        </c:ser>
        <c:ser>
          <c:idx val="3"/>
          <c:order val="3"/>
          <c:tx>
            <c:strRef>
              <c:f>'FES Survey skills chart'!$F$2</c:f>
              <c:strCache>
                <c:ptCount val="1"/>
                <c:pt idx="0">
                  <c:v>% (NGO)</c:v>
                </c:pt>
              </c:strCache>
            </c:strRef>
          </c:tx>
          <c:marker>
            <c:symbol val="none"/>
          </c:marker>
          <c:val>
            <c:numRef>
              <c:f>'FES Survey skills chart'!$F$3:$F$16</c:f>
              <c:numCache>
                <c:formatCode>0%</c:formatCode>
                <c:ptCount val="14"/>
                <c:pt idx="0">
                  <c:v>0.16</c:v>
                </c:pt>
                <c:pt idx="1">
                  <c:v>0.03</c:v>
                </c:pt>
                <c:pt idx="2">
                  <c:v>0.16</c:v>
                </c:pt>
                <c:pt idx="3">
                  <c:v>0.24</c:v>
                </c:pt>
                <c:pt idx="4">
                  <c:v>0.02</c:v>
                </c:pt>
                <c:pt idx="5">
                  <c:v>0.18</c:v>
                </c:pt>
                <c:pt idx="6">
                  <c:v>0.35</c:v>
                </c:pt>
                <c:pt idx="7">
                  <c:v>0.09</c:v>
                </c:pt>
                <c:pt idx="8">
                  <c:v>0.13</c:v>
                </c:pt>
                <c:pt idx="9">
                  <c:v>0.05</c:v>
                </c:pt>
                <c:pt idx="10">
                  <c:v>0.11</c:v>
                </c:pt>
                <c:pt idx="11">
                  <c:v>0.62</c:v>
                </c:pt>
                <c:pt idx="12">
                  <c:v>0.67</c:v>
                </c:pt>
                <c:pt idx="13">
                  <c:v>0.17</c:v>
                </c:pt>
              </c:numCache>
            </c:numRef>
          </c:val>
        </c:ser>
        <c:ser>
          <c:idx val="4"/>
          <c:order val="4"/>
          <c:tx>
            <c:strRef>
              <c:f>'FES Survey skills chart'!$G$2</c:f>
              <c:strCache>
                <c:ptCount val="1"/>
                <c:pt idx="0">
                  <c:v>% (Private)</c:v>
                </c:pt>
              </c:strCache>
            </c:strRef>
          </c:tx>
          <c:spPr>
            <a:ln>
              <a:solidFill>
                <a:srgbClr val="FF0000"/>
              </a:solidFill>
            </a:ln>
          </c:spPr>
          <c:marker>
            <c:symbol val="none"/>
          </c:marker>
          <c:val>
            <c:numRef>
              <c:f>'FES Survey skills chart'!$G$3:$G$16</c:f>
              <c:numCache>
                <c:formatCode>0%</c:formatCode>
                <c:ptCount val="14"/>
                <c:pt idx="0">
                  <c:v>0.26</c:v>
                </c:pt>
                <c:pt idx="1">
                  <c:v>0.03</c:v>
                </c:pt>
                <c:pt idx="2">
                  <c:v>0.18</c:v>
                </c:pt>
                <c:pt idx="3">
                  <c:v>0.23</c:v>
                </c:pt>
                <c:pt idx="4">
                  <c:v>0.03</c:v>
                </c:pt>
                <c:pt idx="5">
                  <c:v>0.05</c:v>
                </c:pt>
                <c:pt idx="6">
                  <c:v>0.33</c:v>
                </c:pt>
                <c:pt idx="7">
                  <c:v>0.21</c:v>
                </c:pt>
                <c:pt idx="8">
                  <c:v>0.09</c:v>
                </c:pt>
                <c:pt idx="9">
                  <c:v>0.06</c:v>
                </c:pt>
                <c:pt idx="10">
                  <c:v>0.11</c:v>
                </c:pt>
                <c:pt idx="11">
                  <c:v>0.4</c:v>
                </c:pt>
                <c:pt idx="12">
                  <c:v>0.76</c:v>
                </c:pt>
                <c:pt idx="13">
                  <c:v>0.24</c:v>
                </c:pt>
              </c:numCache>
            </c:numRef>
          </c:val>
        </c:ser>
        <c:axId val="185170176"/>
        <c:axId val="185188352"/>
      </c:radarChart>
      <c:catAx>
        <c:axId val="185170176"/>
        <c:scaling>
          <c:orientation val="minMax"/>
        </c:scaling>
        <c:axPos val="b"/>
        <c:majorGridlines/>
        <c:numFmt formatCode="General" sourceLinked="1"/>
        <c:majorTickMark val="none"/>
        <c:tickLblPos val="nextTo"/>
        <c:txPr>
          <a:bodyPr/>
          <a:lstStyle/>
          <a:p>
            <a:pPr>
              <a:defRPr sz="1800"/>
            </a:pPr>
            <a:endParaRPr lang="en-US"/>
          </a:p>
        </c:txPr>
        <c:crossAx val="185188352"/>
        <c:crosses val="autoZero"/>
        <c:auto val="1"/>
        <c:lblAlgn val="ctr"/>
        <c:lblOffset val="100"/>
      </c:catAx>
      <c:valAx>
        <c:axId val="185188352"/>
        <c:scaling>
          <c:orientation val="minMax"/>
          <c:max val="0.70000000000000062"/>
          <c:min val="0"/>
        </c:scaling>
        <c:axPos val="l"/>
        <c:majorGridlines/>
        <c:numFmt formatCode="0%" sourceLinked="0"/>
        <c:majorTickMark val="none"/>
        <c:tickLblPos val="nextTo"/>
        <c:txPr>
          <a:bodyPr/>
          <a:lstStyle/>
          <a:p>
            <a:pPr>
              <a:defRPr sz="1400"/>
            </a:pPr>
            <a:endParaRPr lang="en-US"/>
          </a:p>
        </c:txPr>
        <c:crossAx val="185170176"/>
        <c:crosses val="autoZero"/>
        <c:crossBetween val="between"/>
        <c:majorUnit val="0.1"/>
        <c:minorUnit val="0.1"/>
      </c:valAx>
    </c:plotArea>
    <c:legend>
      <c:legendPos val="t"/>
      <c:layout>
        <c:manualLayout>
          <c:xMode val="edge"/>
          <c:yMode val="edge"/>
          <c:x val="0.19989995595005386"/>
          <c:y val="4.7208124811331839E-2"/>
          <c:w val="0.69147000809950665"/>
          <c:h val="3.3123402263016251E-2"/>
        </c:manualLayout>
      </c:layout>
      <c:txPr>
        <a:bodyPr/>
        <a:lstStyle/>
        <a:p>
          <a:pPr>
            <a:defRPr sz="2000"/>
          </a:pPr>
          <a:endParaRPr lang="en-US"/>
        </a:p>
      </c:txPr>
    </c:legend>
    <c:plotVisOnly val="1"/>
  </c:chart>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autoTitleDeleted val="1"/>
    <c:plotArea>
      <c:layout/>
      <c:barChart>
        <c:barDir val="bar"/>
        <c:grouping val="clustered"/>
        <c:ser>
          <c:idx val="0"/>
          <c:order val="0"/>
          <c:dPt>
            <c:idx val="0"/>
            <c:spPr>
              <a:solidFill>
                <a:schemeClr val="accent6">
                  <a:lumMod val="60000"/>
                  <a:lumOff val="40000"/>
                </a:schemeClr>
              </a:solidFill>
            </c:spPr>
          </c:dPt>
          <c:dPt>
            <c:idx val="1"/>
            <c:spPr>
              <a:solidFill>
                <a:srgbClr val="92D050"/>
              </a:solidFill>
            </c:spPr>
          </c:dPt>
          <c:dPt>
            <c:idx val="2"/>
            <c:spPr>
              <a:solidFill>
                <a:srgbClr val="92D050"/>
              </a:solidFill>
            </c:spPr>
          </c:dPt>
          <c:dPt>
            <c:idx val="3"/>
            <c:spPr>
              <a:solidFill>
                <a:srgbClr val="92D050"/>
              </a:solidFill>
            </c:spPr>
          </c:dPt>
          <c:dPt>
            <c:idx val="4"/>
            <c:spPr>
              <a:solidFill>
                <a:srgbClr val="92D050"/>
              </a:solidFill>
            </c:spPr>
          </c:dPt>
          <c:dPt>
            <c:idx val="5"/>
            <c:spPr>
              <a:solidFill>
                <a:schemeClr val="accent6">
                  <a:lumMod val="60000"/>
                  <a:lumOff val="40000"/>
                </a:schemeClr>
              </a:solidFill>
            </c:spPr>
          </c:dPt>
          <c:dPt>
            <c:idx val="6"/>
            <c:spPr>
              <a:solidFill>
                <a:srgbClr val="92D050"/>
              </a:solidFill>
            </c:spPr>
          </c:dPt>
          <c:dPt>
            <c:idx val="7"/>
            <c:spPr>
              <a:solidFill>
                <a:schemeClr val="accent6">
                  <a:lumMod val="60000"/>
                  <a:lumOff val="40000"/>
                </a:schemeClr>
              </a:solidFill>
            </c:spPr>
          </c:dPt>
          <c:dLbls>
            <c:dLbl>
              <c:idx val="0"/>
              <c:tx>
                <c:strRef>
                  <c:f>'SOM-CourseDemand'!$G$4</c:f>
                  <c:strCache>
                    <c:ptCount val="1"/>
                    <c:pt idx="0">
                      <c:v>-72%</c:v>
                    </c:pt>
                  </c:strCache>
                </c:strRef>
              </c:tx>
              <c:dLblPos val="inBase"/>
              <c:showVal val="1"/>
            </c:dLbl>
            <c:dLbl>
              <c:idx val="1"/>
              <c:tx>
                <c:strRef>
                  <c:f>'SOM-CourseDemand'!$G$19</c:f>
                  <c:strCache>
                    <c:ptCount val="1"/>
                    <c:pt idx="0">
                      <c:v>16%</c:v>
                    </c:pt>
                  </c:strCache>
                </c:strRef>
              </c:tx>
              <c:dLblPos val="inBase"/>
              <c:showVal val="1"/>
            </c:dLbl>
            <c:dLbl>
              <c:idx val="2"/>
              <c:tx>
                <c:strRef>
                  <c:f>'SOM-CourseDemand'!$G$20</c:f>
                  <c:strCache>
                    <c:ptCount val="1"/>
                    <c:pt idx="0">
                      <c:v>48%</c:v>
                    </c:pt>
                  </c:strCache>
                </c:strRef>
              </c:tx>
              <c:dLblPos val="inBase"/>
              <c:showVal val="1"/>
            </c:dLbl>
            <c:dLbl>
              <c:idx val="3"/>
              <c:tx>
                <c:strRef>
                  <c:f>'SOM-CourseDemand'!$G$21</c:f>
                  <c:strCache>
                    <c:ptCount val="1"/>
                    <c:pt idx="0">
                      <c:v>48%</c:v>
                    </c:pt>
                  </c:strCache>
                </c:strRef>
              </c:tx>
              <c:dLblPos val="inBase"/>
              <c:showVal val="1"/>
            </c:dLbl>
            <c:dLbl>
              <c:idx val="4"/>
              <c:tx>
                <c:strRef>
                  <c:f>'SOM-CourseDemand'!$G$22</c:f>
                  <c:strCache>
                    <c:ptCount val="1"/>
                    <c:pt idx="0">
                      <c:v>30%</c:v>
                    </c:pt>
                  </c:strCache>
                </c:strRef>
              </c:tx>
              <c:dLblPos val="inBase"/>
              <c:showVal val="1"/>
            </c:dLbl>
            <c:dLbl>
              <c:idx val="5"/>
              <c:tx>
                <c:strRef>
                  <c:f>'SOM-CourseDemand'!$G$23</c:f>
                  <c:strCache>
                    <c:ptCount val="1"/>
                    <c:pt idx="0">
                      <c:v>-11%</c:v>
                    </c:pt>
                  </c:strCache>
                </c:strRef>
              </c:tx>
              <c:dLblPos val="inBase"/>
              <c:showVal val="1"/>
            </c:dLbl>
            <c:dLbl>
              <c:idx val="6"/>
              <c:tx>
                <c:strRef>
                  <c:f>'SOM-CourseDemand'!$G$24</c:f>
                  <c:strCache>
                    <c:ptCount val="1"/>
                    <c:pt idx="0">
                      <c:v>50%</c:v>
                    </c:pt>
                  </c:strCache>
                </c:strRef>
              </c:tx>
              <c:dLblPos val="inBase"/>
              <c:showVal val="1"/>
            </c:dLbl>
            <c:dLbl>
              <c:idx val="7"/>
              <c:tx>
                <c:strRef>
                  <c:f>'SOM-CourseDemand'!$G$25</c:f>
                  <c:strCache>
                    <c:ptCount val="1"/>
                    <c:pt idx="0">
                      <c:v>-89%</c:v>
                    </c:pt>
                  </c:strCache>
                </c:strRef>
              </c:tx>
              <c:dLblPos val="inBase"/>
              <c:showVal val="1"/>
            </c:dLbl>
            <c:txPr>
              <a:bodyPr/>
              <a:lstStyle/>
              <a:p>
                <a:pPr>
                  <a:defRPr sz="1500"/>
                </a:pPr>
                <a:endParaRPr lang="en-US"/>
              </a:p>
            </c:txPr>
            <c:dLblPos val="inBase"/>
            <c:showVal val="1"/>
          </c:dLbls>
          <c:cat>
            <c:numRef>
              <c:f>'SOM-CourseDemand'!$D$17:$D$25</c:f>
              <c:numCache>
                <c:formatCode>General</c:formatCode>
                <c:ptCount val="9"/>
              </c:numCache>
            </c:numRef>
          </c:cat>
          <c:val>
            <c:numRef>
              <c:f>'SOM-CourseDemand'!$G$18:$G$25</c:f>
              <c:numCache>
                <c:formatCode>0%</c:formatCode>
                <c:ptCount val="8"/>
                <c:pt idx="0">
                  <c:v>-0.72222222222222221</c:v>
                </c:pt>
                <c:pt idx="1">
                  <c:v>0.16</c:v>
                </c:pt>
                <c:pt idx="2">
                  <c:v>0.47826086956521741</c:v>
                </c:pt>
                <c:pt idx="3">
                  <c:v>0.47826086956521741</c:v>
                </c:pt>
                <c:pt idx="4">
                  <c:v>0.3</c:v>
                </c:pt>
                <c:pt idx="5">
                  <c:v>-0.10714285714285714</c:v>
                </c:pt>
                <c:pt idx="6">
                  <c:v>0.5</c:v>
                </c:pt>
                <c:pt idx="7">
                  <c:v>-0.88888888888888884</c:v>
                </c:pt>
              </c:numCache>
            </c:numRef>
          </c:val>
        </c:ser>
        <c:ser>
          <c:idx val="1"/>
          <c:order val="1"/>
          <c:tx>
            <c:v>labels</c:v>
          </c:tx>
          <c:dLbls>
            <c:dLbl>
              <c:idx val="0"/>
              <c:layout>
                <c:manualLayout>
                  <c:x val="1.9566736978529125E-3"/>
                  <c:y val="1.7445480298455336E-2"/>
                </c:manualLayout>
              </c:layout>
              <c:tx>
                <c:strRef>
                  <c:f>'SOM-CourseDemand'!$I$18</c:f>
                  <c:strCache>
                    <c:ptCount val="1"/>
                    <c:pt idx="0">
                      <c:v>Financial Statements of Nonprofit Organizations</c:v>
                    </c:pt>
                  </c:strCache>
                </c:strRef>
              </c:tx>
              <c:dLblPos val="outEnd"/>
              <c:showVal val="1"/>
            </c:dLbl>
            <c:dLbl>
              <c:idx val="1"/>
              <c:layout>
                <c:manualLayout>
                  <c:x val="-0.18979734869173562"/>
                  <c:y val="2.3987535410375852E-2"/>
                </c:manualLayout>
              </c:layout>
              <c:tx>
                <c:strRef>
                  <c:f>'SOM-CourseDemand'!$I$19</c:f>
                  <c:strCache>
                    <c:ptCount val="1"/>
                    <c:pt idx="0">
                      <c:v>Legal Aspects of Entrepreneurship</c:v>
                    </c:pt>
                  </c:strCache>
                </c:strRef>
              </c:tx>
              <c:dLblPos val="outEnd"/>
              <c:showVal val="1"/>
            </c:dLbl>
            <c:dLbl>
              <c:idx val="2"/>
              <c:layout>
                <c:manualLayout>
                  <c:x val="-0.19762404348314419"/>
                  <c:y val="1.9626165335762322E-2"/>
                </c:manualLayout>
              </c:layout>
              <c:tx>
                <c:strRef>
                  <c:f>'SOM-CourseDemand'!$I$20</c:f>
                  <c:strCache>
                    <c:ptCount val="1"/>
                    <c:pt idx="0">
                      <c:v>Business Ethics Meets Behavioral Economics</c:v>
                    </c:pt>
                  </c:strCache>
                </c:strRef>
              </c:tx>
              <c:dLblPos val="outEnd"/>
              <c:showVal val="1"/>
            </c:dLbl>
            <c:dLbl>
              <c:idx val="3"/>
              <c:layout>
                <c:manualLayout>
                  <c:x val="-0.22047395899434122"/>
                  <c:y val="2.3987535410375852E-2"/>
                </c:manualLayout>
              </c:layout>
              <c:tx>
                <c:strRef>
                  <c:f>'SOM-CourseDemand'!$I$21</c:f>
                  <c:strCache>
                    <c:ptCount val="1"/>
                    <c:pt idx="0">
                      <c:v>Doing Business in the Developing World</c:v>
                    </c:pt>
                  </c:strCache>
                </c:strRef>
              </c:tx>
              <c:dLblPos val="outEnd"/>
              <c:showVal val="1"/>
            </c:dLbl>
            <c:dLbl>
              <c:idx val="4"/>
              <c:layout>
                <c:manualLayout>
                  <c:x val="-0.16966675722690788"/>
                  <c:y val="2.8348905484989806E-2"/>
                </c:manualLayout>
              </c:layout>
              <c:tx>
                <c:strRef>
                  <c:f>'SOM-CourseDemand'!$I$22</c:f>
                  <c:strCache>
                    <c:ptCount val="1"/>
                    <c:pt idx="0">
                      <c:v>Energy Markets Strategy </c:v>
                    </c:pt>
                  </c:strCache>
                </c:strRef>
              </c:tx>
              <c:dLblPos val="outEnd"/>
              <c:showVal val="1"/>
            </c:dLbl>
            <c:dLbl>
              <c:idx val="5"/>
              <c:layout>
                <c:manualLayout>
                  <c:x val="7.8266947914117455E-3"/>
                  <c:y val="2.6168220447682577E-2"/>
                </c:manualLayout>
              </c:layout>
              <c:tx>
                <c:strRef>
                  <c:f>'SOM-CourseDemand'!$I$23</c:f>
                  <c:strCache>
                    <c:ptCount val="1"/>
                    <c:pt idx="0">
                      <c:v>CSR: Social Venture Management</c:v>
                    </c:pt>
                  </c:strCache>
                </c:strRef>
              </c:tx>
              <c:dLblPos val="outEnd"/>
              <c:showVal val="1"/>
            </c:dLbl>
            <c:dLbl>
              <c:idx val="6"/>
              <c:layout>
                <c:manualLayout>
                  <c:x val="-0.19841993369772726"/>
                  <c:y val="2.6168220447682633E-2"/>
                </c:manualLayout>
              </c:layout>
              <c:tx>
                <c:strRef>
                  <c:f>'SOM-CourseDemand'!$I$24</c:f>
                  <c:strCache>
                    <c:ptCount val="1"/>
                    <c:pt idx="0">
                      <c:v>Microfinance and Economic Development</c:v>
                    </c:pt>
                  </c:strCache>
                </c:strRef>
              </c:tx>
              <c:dLblPos val="outEnd"/>
              <c:showVal val="1"/>
            </c:dLbl>
            <c:dLbl>
              <c:idx val="7"/>
              <c:layout>
                <c:manualLayout>
                  <c:x val="1.9566736978529125E-3"/>
                  <c:y val="2.8348905484989806E-2"/>
                </c:manualLayout>
              </c:layout>
              <c:tx>
                <c:strRef>
                  <c:f>'SOM-CourseDemand'!$I$25</c:f>
                  <c:strCache>
                    <c:ptCount val="1"/>
                    <c:pt idx="0">
                      <c:v>Nonprofit Organizations Clinic</c:v>
                    </c:pt>
                  </c:strCache>
                </c:strRef>
              </c:tx>
              <c:dLblPos val="outEnd"/>
              <c:showVal val="1"/>
            </c:dLbl>
            <c:txPr>
              <a:bodyPr/>
              <a:lstStyle/>
              <a:p>
                <a:pPr>
                  <a:defRPr sz="1200" b="0"/>
                </a:pPr>
                <a:endParaRPr lang="en-US"/>
              </a:p>
            </c:txPr>
            <c:dLblPos val="inBase"/>
            <c:showVal val="1"/>
          </c:dLbls>
          <c:cat>
            <c:numRef>
              <c:f>'SOM-CourseDemand'!$D$17:$D$25</c:f>
              <c:numCache>
                <c:formatCode>General</c:formatCode>
                <c:ptCount val="9"/>
              </c:numCache>
            </c:numRef>
          </c:cat>
          <c:val>
            <c:numRef>
              <c:f>'SOM-CourseDemand'!$H$18:$H$25</c:f>
              <c:numCache>
                <c:formatCode>0%</c:formatCode>
                <c:ptCount val="8"/>
                <c:pt idx="0">
                  <c:v>-9.9999999999999994E-12</c:v>
                </c:pt>
                <c:pt idx="1">
                  <c:v>1.0000000000000001E-9</c:v>
                </c:pt>
                <c:pt idx="2">
                  <c:v>1.0000000000000001E-9</c:v>
                </c:pt>
                <c:pt idx="3">
                  <c:v>1.0000000000000001E-9</c:v>
                </c:pt>
                <c:pt idx="4">
                  <c:v>1.0000000000000001E-9</c:v>
                </c:pt>
                <c:pt idx="5">
                  <c:v>-9.9999999999999994E-12</c:v>
                </c:pt>
                <c:pt idx="6">
                  <c:v>1.0000000000000001E-9</c:v>
                </c:pt>
                <c:pt idx="7">
                  <c:v>-9.9999999999999994E-12</c:v>
                </c:pt>
              </c:numCache>
            </c:numRef>
          </c:val>
        </c:ser>
        <c:dLbls>
          <c:showVal val="1"/>
        </c:dLbls>
        <c:gapWidth val="0"/>
        <c:overlap val="72"/>
        <c:axId val="185378304"/>
        <c:axId val="185379840"/>
      </c:barChart>
      <c:catAx>
        <c:axId val="185378304"/>
        <c:scaling>
          <c:orientation val="minMax"/>
        </c:scaling>
        <c:axPos val="l"/>
        <c:numFmt formatCode="General" sourceLinked="1"/>
        <c:majorTickMark val="none"/>
        <c:tickLblPos val="nextTo"/>
        <c:crossAx val="185379840"/>
        <c:crosses val="autoZero"/>
        <c:auto val="1"/>
        <c:lblAlgn val="ctr"/>
        <c:lblOffset val="100"/>
      </c:catAx>
      <c:valAx>
        <c:axId val="185379840"/>
        <c:scaling>
          <c:orientation val="minMax"/>
        </c:scaling>
        <c:delete val="1"/>
        <c:axPos val="b"/>
        <c:numFmt formatCode="0%" sourceLinked="1"/>
        <c:majorTickMark val="none"/>
        <c:tickLblPos val="none"/>
        <c:crossAx val="185378304"/>
        <c:crosses val="autoZero"/>
        <c:crossBetween val="between"/>
      </c:valAx>
    </c:plotArea>
    <c:plotVisOnly val="1"/>
  </c:chart>
  <c:printSettings>
    <c:headerFooter/>
    <c:pageMargins b="0.75000000000000566" l="0.70000000000000062" r="0.70000000000000062" t="0.750000000000005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103907</xdr:colOff>
      <xdr:row>24</xdr:row>
      <xdr:rowOff>69273</xdr:rowOff>
    </xdr:from>
    <xdr:to>
      <xdr:col>23</xdr:col>
      <xdr:colOff>51953</xdr:colOff>
      <xdr:row>47</xdr:row>
      <xdr:rowOff>86591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47</xdr:row>
      <xdr:rowOff>0</xdr:rowOff>
    </xdr:from>
    <xdr:to>
      <xdr:col>28</xdr:col>
      <xdr:colOff>242455</xdr:colOff>
      <xdr:row>70</xdr:row>
      <xdr:rowOff>17318</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121227</xdr:colOff>
      <xdr:row>24</xdr:row>
      <xdr:rowOff>121227</xdr:rowOff>
    </xdr:from>
    <xdr:to>
      <xdr:col>50</xdr:col>
      <xdr:colOff>27214</xdr:colOff>
      <xdr:row>68</xdr:row>
      <xdr:rowOff>162049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225878</xdr:colOff>
      <xdr:row>72</xdr:row>
      <xdr:rowOff>35379</xdr:rowOff>
    </xdr:from>
    <xdr:to>
      <xdr:col>80</xdr:col>
      <xdr:colOff>133350</xdr:colOff>
      <xdr:row>95</xdr:row>
      <xdr:rowOff>52697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58</xdr:col>
      <xdr:colOff>121228</xdr:colOff>
      <xdr:row>24</xdr:row>
      <xdr:rowOff>51956</xdr:rowOff>
    </xdr:from>
    <xdr:to>
      <xdr:col>79</xdr:col>
      <xdr:colOff>329046</xdr:colOff>
      <xdr:row>47</xdr:row>
      <xdr:rowOff>69274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0</xdr:colOff>
      <xdr:row>47</xdr:row>
      <xdr:rowOff>0</xdr:rowOff>
    </xdr:from>
    <xdr:to>
      <xdr:col>79</xdr:col>
      <xdr:colOff>138545</xdr:colOff>
      <xdr:row>70</xdr:row>
      <xdr:rowOff>17318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121227</xdr:colOff>
      <xdr:row>70</xdr:row>
      <xdr:rowOff>86591</xdr:rowOff>
    </xdr:from>
    <xdr:to>
      <xdr:col>11</xdr:col>
      <xdr:colOff>415636</xdr:colOff>
      <xdr:row>94</xdr:row>
      <xdr:rowOff>121227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17318</xdr:colOff>
      <xdr:row>70</xdr:row>
      <xdr:rowOff>86591</xdr:rowOff>
    </xdr:from>
    <xdr:to>
      <xdr:col>25</xdr:col>
      <xdr:colOff>207818</xdr:colOff>
      <xdr:row>94</xdr:row>
      <xdr:rowOff>121227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96</xdr:row>
      <xdr:rowOff>0</xdr:rowOff>
    </xdr:from>
    <xdr:to>
      <xdr:col>11</xdr:col>
      <xdr:colOff>294409</xdr:colOff>
      <xdr:row>120</xdr:row>
      <xdr:rowOff>34636</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96</xdr:row>
      <xdr:rowOff>0</xdr:rowOff>
    </xdr:from>
    <xdr:to>
      <xdr:col>25</xdr:col>
      <xdr:colOff>190500</xdr:colOff>
      <xdr:row>120</xdr:row>
      <xdr:rowOff>34636</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121</xdr:row>
      <xdr:rowOff>34637</xdr:rowOff>
    </xdr:from>
    <xdr:to>
      <xdr:col>11</xdr:col>
      <xdr:colOff>294409</xdr:colOff>
      <xdr:row>145</xdr:row>
      <xdr:rowOff>69273</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121</xdr:row>
      <xdr:rowOff>0</xdr:rowOff>
    </xdr:from>
    <xdr:to>
      <xdr:col>25</xdr:col>
      <xdr:colOff>190500</xdr:colOff>
      <xdr:row>145</xdr:row>
      <xdr:rowOff>34636</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0</xdr:colOff>
      <xdr:row>73</xdr:row>
      <xdr:rowOff>0</xdr:rowOff>
    </xdr:from>
    <xdr:to>
      <xdr:col>55</xdr:col>
      <xdr:colOff>342900</xdr:colOff>
      <xdr:row>117</xdr:row>
      <xdr:rowOff>40822</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206799</xdr:colOff>
      <xdr:row>1</xdr:row>
      <xdr:rowOff>156463</xdr:rowOff>
    </xdr:from>
    <xdr:to>
      <xdr:col>54</xdr:col>
      <xdr:colOff>381000</xdr:colOff>
      <xdr:row>91</xdr:row>
      <xdr:rowOff>151533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331210</xdr:colOff>
      <xdr:row>97</xdr:row>
      <xdr:rowOff>145039</xdr:rowOff>
    </xdr:from>
    <xdr:to>
      <xdr:col>29</xdr:col>
      <xdr:colOff>300595</xdr:colOff>
      <xdr:row>160</xdr:row>
      <xdr:rowOff>122791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360217</xdr:colOff>
      <xdr:row>12</xdr:row>
      <xdr:rowOff>58882</xdr:rowOff>
    </xdr:from>
    <xdr:to>
      <xdr:col>57</xdr:col>
      <xdr:colOff>32191</xdr:colOff>
      <xdr:row>83</xdr:row>
      <xdr:rowOff>71271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17318</xdr:rowOff>
    </xdr:from>
    <xdr:to>
      <xdr:col>29</xdr:col>
      <xdr:colOff>338724</xdr:colOff>
      <xdr:row>103</xdr:row>
      <xdr:rowOff>148770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107</xdr:row>
      <xdr:rowOff>0</xdr:rowOff>
    </xdr:from>
    <xdr:to>
      <xdr:col>29</xdr:col>
      <xdr:colOff>338724</xdr:colOff>
      <xdr:row>176</xdr:row>
      <xdr:rowOff>131452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61045</xdr:colOff>
      <xdr:row>1</xdr:row>
      <xdr:rowOff>100012</xdr:rowOff>
    </xdr:from>
    <xdr:to>
      <xdr:col>49</xdr:col>
      <xdr:colOff>352144</xdr:colOff>
      <xdr:row>58</xdr:row>
      <xdr:rowOff>176212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33091</xdr:colOff>
      <xdr:row>0</xdr:row>
      <xdr:rowOff>121849</xdr:rowOff>
    </xdr:from>
    <xdr:to>
      <xdr:col>23</xdr:col>
      <xdr:colOff>207819</xdr:colOff>
      <xdr:row>61</xdr:row>
      <xdr:rowOff>69273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63</xdr:row>
      <xdr:rowOff>0</xdr:rowOff>
    </xdr:from>
    <xdr:to>
      <xdr:col>24</xdr:col>
      <xdr:colOff>441428</xdr:colOff>
      <xdr:row>123</xdr:row>
      <xdr:rowOff>137924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71437</xdr:colOff>
      <xdr:row>62</xdr:row>
      <xdr:rowOff>142875</xdr:rowOff>
    </xdr:from>
    <xdr:to>
      <xdr:col>50</xdr:col>
      <xdr:colOff>131865</xdr:colOff>
      <xdr:row>123</xdr:row>
      <xdr:rowOff>90299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476249</xdr:colOff>
      <xdr:row>1</xdr:row>
      <xdr:rowOff>190499</xdr:rowOff>
    </xdr:from>
    <xdr:to>
      <xdr:col>21</xdr:col>
      <xdr:colOff>353785</xdr:colOff>
      <xdr:row>25</xdr:row>
      <xdr:rowOff>122464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7" name="Table17" displayName="Table17" ref="A2:AP410" totalsRowShown="0" headerRowDxfId="592" dataDxfId="591" tableBorderDxfId="590">
  <autoFilter ref="A2:AP410">
    <filterColumn colId="6"/>
    <filterColumn colId="31"/>
    <filterColumn colId="34"/>
    <filterColumn colId="37"/>
    <filterColumn colId="38"/>
    <filterColumn colId="39"/>
    <filterColumn colId="40"/>
    <filterColumn colId="41"/>
  </autoFilter>
  <sortState ref="A3:AZ398">
    <sortCondition ref="G3:G398"/>
    <sortCondition ref="A3:A398"/>
    <sortCondition ref="C3:C398"/>
  </sortState>
  <tableColumns count="42">
    <tableColumn id="1" name="PROFESSOR(S)" dataDxfId="589"/>
    <tableColumn id="2" name="COURSE #" dataDxfId="588"/>
    <tableColumn id="3" name="COURSE TITLE" dataDxfId="587"/>
    <tableColumn id="4" name="GRAD OR UNDERGRAD" dataDxfId="586"/>
    <tableColumn id="5" name="JD COMMENTS 1" dataDxfId="585"/>
    <tableColumn id="6" name="JD COMMENTS 2" dataDxfId="584"/>
    <tableColumn id="7" name="BUSINESS-ENVIRONMENT RANKING      (1-3)" dataDxfId="583"/>
    <tableColumn id="8" name="Environmental Strategy" dataDxfId="582"/>
    <tableColumn id="9" name="Social Entrepreneurship and Environmental Ventures" dataDxfId="581"/>
    <tableColumn id="10" name="Environmental Finance" dataDxfId="580"/>
    <tableColumn id="11" name="Climate Change" dataDxfId="579"/>
    <tableColumn id="12" name="Environmental Justice &amp; Ethics" dataDxfId="578"/>
    <tableColumn id="13" name="Environmental Policy &amp; Law" dataDxfId="577"/>
    <tableColumn id="14" name="Environmental Economics" dataDxfId="576"/>
    <tableColumn id="15" name="Environmental Health &amp; Safety (EH&amp;S)" dataDxfId="575"/>
    <tableColumn id="16" name="Green Design &amp; Building" dataDxfId="574"/>
    <tableColumn id="17" name="CSR and Triple Bottom Line" dataDxfId="573"/>
    <tableColumn id="18" name="Energy" dataDxfId="572"/>
    <tableColumn id="19" name="Industrial Ecology" dataDxfId="571"/>
    <tableColumn id="20" name="Natural Resources Management" dataDxfId="570"/>
    <tableColumn id="21" name="International Development" dataDxfId="569"/>
    <tableColumn id="22" name="Environmental Chemistry" dataDxfId="568"/>
    <tableColumn id="23" name="Pollution" dataDxfId="567"/>
    <tableColumn id="24" name="Air" dataDxfId="566"/>
    <tableColumn id="25" name="Soils" dataDxfId="565"/>
    <tableColumn id="26" name="Water" dataDxfId="564"/>
    <tableColumn id="27" name="Ecosystems" dataDxfId="563"/>
    <tableColumn id="28" name="Forests" dataDxfId="562"/>
    <tableColumn id="29" name="TOOL-BASED COURSE" dataDxfId="561"/>
    <tableColumn id="30" name="ADVANCED COURSE" dataDxfId="560"/>
    <tableColumn id="31" name="CREDITS" dataDxfId="559"/>
    <tableColumn id="32" name="TERM" dataDxfId="558"/>
    <tableColumn id="33" name="DESCRIPTION" dataDxfId="557"/>
    <tableColumn id="34" name="URL" dataDxfId="556"/>
    <tableColumn id="35" name="CROSS-LISTED COURSE #" dataDxfId="555"/>
    <tableColumn id="36" name="PRE-REQ" dataDxfId="554"/>
    <tableColumn id="37" name="NOTES" dataDxfId="553"/>
    <tableColumn id="38" name="Department" dataDxfId="552"/>
    <tableColumn id="40" name="1. Quantitative Analysis" dataDxfId="551"/>
    <tableColumn id="41" name="2. Understanding of Social Sciences and Processes" dataDxfId="550"/>
    <tableColumn id="42" name="3. Systems Thinking " dataDxfId="549"/>
    <tableColumn id="43" name="4. Scientific and Disciplinary Knowledge  " dataDxfId="548"/>
  </tableColumns>
  <tableStyleInfo name="TableStyleMedium7" showFirstColumn="0" showLastColumn="0" showRowStripes="1" showColumnStripes="0"/>
</table>
</file>

<file path=xl/tables/table2.xml><?xml version="1.0" encoding="utf-8"?>
<table xmlns="http://schemas.openxmlformats.org/spreadsheetml/2006/main" id="2" name="Table13" displayName="Table13" ref="A2:AK284" totalsRowShown="0" headerRowDxfId="547" dataDxfId="545" headerRowBorderDxfId="546" tableBorderDxfId="544" totalsRowBorderDxfId="543">
  <autoFilter ref="A2:AK284"/>
  <sortState ref="A3:AK284">
    <sortCondition ref="G3:G284"/>
    <sortCondition ref="A3:A284"/>
  </sortState>
  <tableColumns count="37">
    <tableColumn id="10" name="PROFESSOR(S)" dataDxfId="542"/>
    <tableColumn id="1" name="COURSE #" dataDxfId="541"/>
    <tableColumn id="2" name="COURSE TITLE" dataDxfId="540"/>
    <tableColumn id="43" name="GRAD OR UNDERGRAD" dataDxfId="539"/>
    <tableColumn id="63" name="JD COMMENTS 1" dataDxfId="538"/>
    <tableColumn id="11" name="JD COMMENTS 2" dataDxfId="537"/>
    <tableColumn id="40" name="RELEVANT TOOL FOR BUSINESS-ENVIRONMENT LEADERS                     (0-5)" dataDxfId="536"/>
    <tableColumn id="3" name="Corporate Environmental Strategy" dataDxfId="535"/>
    <tableColumn id="37" name="Social Entrepreneurship and Environmental Ventures" dataDxfId="534"/>
    <tableColumn id="4" name="Environmental Finance" dataDxfId="533"/>
    <tableColumn id="5" name="Climate Change" dataDxfId="532"/>
    <tableColumn id="6" name="Environmental Justice &amp; Ethics" dataDxfId="531"/>
    <tableColumn id="7" name="Environmental Policy &amp; Law" dataDxfId="530"/>
    <tableColumn id="59" name="Environmental Economics" dataDxfId="529"/>
    <tableColumn id="8" name="Environmental Health &amp; Safety (EH&amp;S)" dataDxfId="528"/>
    <tableColumn id="45" name="Green Design &amp; Building" dataDxfId="527"/>
    <tableColumn id="9" name="CSR and Triple Bottom Line" dataDxfId="526"/>
    <tableColumn id="46" name="Energy" dataDxfId="525"/>
    <tableColumn id="47" name="Industrial Ecology" dataDxfId="524"/>
    <tableColumn id="48" name="Natural Resources Management" dataDxfId="523"/>
    <tableColumn id="61" name="International Development" dataDxfId="522"/>
    <tableColumn id="60" name="Environmental Chemistry" dataDxfId="521"/>
    <tableColumn id="49" name="Pollution" dataDxfId="520"/>
    <tableColumn id="52" name="Air" dataDxfId="519"/>
    <tableColumn id="55" name="Soils" dataDxfId="518"/>
    <tableColumn id="54" name="Water" dataDxfId="517"/>
    <tableColumn id="56" name="Ecosystems" dataDxfId="516"/>
    <tableColumn id="53" name="Forests" dataDxfId="515"/>
    <tableColumn id="18" name="TOOL-BASED COURSE" dataDxfId="514"/>
    <tableColumn id="57" name="ADVANCED COURSE" dataDxfId="513"/>
    <tableColumn id="51" name="CREDITS" dataDxfId="512"/>
    <tableColumn id="19" name="TERM" dataDxfId="511"/>
    <tableColumn id="20" name="DESCRIPTION" dataDxfId="510"/>
    <tableColumn id="21" name="URL" dataDxfId="509"/>
    <tableColumn id="41" name="CROSS-LISTED COURSE #" dataDxfId="508"/>
    <tableColumn id="22" name="PRE-REQ" dataDxfId="507"/>
    <tableColumn id="44" name="NOTES" dataDxfId="506"/>
  </tableColumns>
  <tableStyleInfo name="TableStyleMedium4" showFirstColumn="0" showLastColumn="0" showRowStripes="1" showColumnStripes="0"/>
</table>
</file>

<file path=xl/tables/table3.xml><?xml version="1.0" encoding="utf-8"?>
<table xmlns="http://schemas.openxmlformats.org/spreadsheetml/2006/main" id="6" name="Table13457" displayName="Table13457" ref="B2:AK276" totalsRowShown="0" headerRowDxfId="505" dataDxfId="503" headerRowBorderDxfId="504" tableBorderDxfId="502" totalsRowBorderDxfId="501">
  <sortState ref="B3:AK283">
    <sortCondition ref="B2:B269"/>
  </sortState>
  <tableColumns count="36">
    <tableColumn id="1" name="COURSE #" dataDxfId="500"/>
    <tableColumn id="2" name="COURSE TITLE" dataDxfId="499"/>
    <tableColumn id="43" name="GRAD OR UNDERGRAD" dataDxfId="498"/>
    <tableColumn id="63" name="JD COMMENTS 1"/>
    <tableColumn id="11" name="JD COMMENTS 2"/>
    <tableColumn id="40" name="RELEVANT TOOL FOR BUSINESS-ENVIRONMENT LEADERS                     (0-5)" dataDxfId="497"/>
    <tableColumn id="3" name="Corporate Environmental Strategy" dataDxfId="496"/>
    <tableColumn id="37" name="Social Entrepreneurship and Environmental Ventures" dataDxfId="495"/>
    <tableColumn id="4" name="Environmental Finance" dataDxfId="494"/>
    <tableColumn id="5" name="Climate Change" dataDxfId="493"/>
    <tableColumn id="6" name="Environmental Justice &amp; Ethics" dataDxfId="492"/>
    <tableColumn id="7" name="Environmental Policy &amp; Law" dataDxfId="491"/>
    <tableColumn id="59" name="Environmental Economics" dataDxfId="490"/>
    <tableColumn id="8" name="Environmental Health &amp; Safety (EH&amp;S)" dataDxfId="489"/>
    <tableColumn id="45" name="Green Design &amp; Building" dataDxfId="488"/>
    <tableColumn id="9" name="CSR and Triple Bottom Line" dataDxfId="487"/>
    <tableColumn id="46" name="Energy" dataDxfId="486"/>
    <tableColumn id="47" name="Industrial Ecology" dataDxfId="485"/>
    <tableColumn id="48" name="Natural Resources Management" dataDxfId="484"/>
    <tableColumn id="61" name="International Development" dataDxfId="483"/>
    <tableColumn id="60" name="Environmental Chemistry" dataDxfId="482"/>
    <tableColumn id="49" name="Pollution" dataDxfId="481"/>
    <tableColumn id="52" name="Air" dataDxfId="480"/>
    <tableColumn id="55" name="Soils" dataDxfId="479"/>
    <tableColumn id="54" name="Water" dataDxfId="478"/>
    <tableColumn id="56" name="Ecosystems" dataDxfId="477"/>
    <tableColumn id="53" name="Forests" dataDxfId="476"/>
    <tableColumn id="18" name="TOOL-BASED COURSE" dataDxfId="475"/>
    <tableColumn id="57" name="ADVANCED COURSE" dataDxfId="474"/>
    <tableColumn id="51" name="CREDITS" dataDxfId="473"/>
    <tableColumn id="19" name="TERM" dataDxfId="472"/>
    <tableColumn id="20" name="DESCRIPTION" dataDxfId="471"/>
    <tableColumn id="21" name="URL" dataDxfId="470"/>
    <tableColumn id="41" name="CROSS-LISTED COURSE #" dataDxfId="469"/>
    <tableColumn id="22" name="PRE-REQ" dataDxfId="468"/>
    <tableColumn id="44" name="NOTES" dataDxfId="467"/>
  </tableColumns>
  <tableStyleInfo name="TableStyleMedium4" showFirstColumn="0" showLastColumn="0" showRowStripes="1" showColumnStripes="0"/>
</table>
</file>

<file path=xl/tables/table4.xml><?xml version="1.0" encoding="utf-8"?>
<table xmlns="http://schemas.openxmlformats.org/spreadsheetml/2006/main" id="10" name="Table13691011" displayName="Table13691011" ref="B2:AK27" totalsRowShown="0" headerRowDxfId="466" dataDxfId="464" headerRowBorderDxfId="465" tableBorderDxfId="463" totalsRowBorderDxfId="462">
  <sortState ref="B3:AK283">
    <sortCondition ref="B2:B269"/>
  </sortState>
  <tableColumns count="36">
    <tableColumn id="1" name="COURSE #" dataDxfId="461"/>
    <tableColumn id="2" name="COURSE TITLE" dataDxfId="460"/>
    <tableColumn id="43" name="GRAD OR UNDERGRAD" dataDxfId="459"/>
    <tableColumn id="63" name="JD COMMENTS 1"/>
    <tableColumn id="11" name="JD COMMENTS 2"/>
    <tableColumn id="40" name="RELEVANT TOOL FOR BUSINESS-ENVIRONMENT LEADERS                     (0-5)" dataDxfId="458"/>
    <tableColumn id="3" name="Corporate Environmental Strategy" dataDxfId="457"/>
    <tableColumn id="37" name="Social Entrepreneurship and Environmental Ventures" dataDxfId="456"/>
    <tableColumn id="4" name="Environmental Finance" dataDxfId="455"/>
    <tableColumn id="5" name="Climate Change" dataDxfId="454"/>
    <tableColumn id="6" name="Environmental Justice &amp; Ethics" dataDxfId="453"/>
    <tableColumn id="7" name="Environmental Policy &amp; Law" dataDxfId="452"/>
    <tableColumn id="59" name="Environmental Economics" dataDxfId="451"/>
    <tableColumn id="8" name="Environmental Health &amp; Safety (EH&amp;S)" dataDxfId="450"/>
    <tableColumn id="45" name="Green Design &amp; Building" dataDxfId="449"/>
    <tableColumn id="9" name="CSR and Triple Bottom Line" dataDxfId="448"/>
    <tableColumn id="46" name="Energy" dataDxfId="447"/>
    <tableColumn id="47" name="Industrial Ecology" dataDxfId="446"/>
    <tableColumn id="48" name="Natural Resources Management" dataDxfId="445"/>
    <tableColumn id="61" name="International Development" dataDxfId="444"/>
    <tableColumn id="60" name="Environmental Chemistry" dataDxfId="443"/>
    <tableColumn id="49" name="Pollution" dataDxfId="442"/>
    <tableColumn id="52" name="Air" dataDxfId="441"/>
    <tableColumn id="55" name="Soils" dataDxfId="440"/>
    <tableColumn id="54" name="Water" dataDxfId="439"/>
    <tableColumn id="56" name="Ecosystems" dataDxfId="438"/>
    <tableColumn id="53" name="Forests" dataDxfId="437"/>
    <tableColumn id="18" name="TOOL-BASED COURSE" dataDxfId="436"/>
    <tableColumn id="57" name="ADVANCED COURSE" dataDxfId="435"/>
    <tableColumn id="51" name="CREDITS" dataDxfId="434"/>
    <tableColumn id="19" name="TERM" dataDxfId="433"/>
    <tableColumn id="20" name="DESCRIPTION" dataDxfId="432"/>
    <tableColumn id="21" name="URL" dataDxfId="431"/>
    <tableColumn id="41" name="CROSS-LISTED COURSE #" dataDxfId="430"/>
    <tableColumn id="22" name="PRE-REQ" dataDxfId="429"/>
    <tableColumn id="44" name="NOTES" dataDxfId="428"/>
  </tableColumns>
  <tableStyleInfo name="TableStyleMedium4" showFirstColumn="0" showLastColumn="0" showRowStripes="1" showColumnStripes="0"/>
</table>
</file>

<file path=xl/tables/table5.xml><?xml version="1.0" encoding="utf-8"?>
<table xmlns="http://schemas.openxmlformats.org/spreadsheetml/2006/main" id="13" name="Table136910111214" displayName="Table136910111214" ref="B2:AK27" totalsRowShown="0" headerRowDxfId="427" dataDxfId="425" headerRowBorderDxfId="426" tableBorderDxfId="424" totalsRowBorderDxfId="423">
  <sortState ref="B3:AK283">
    <sortCondition ref="B2:B269"/>
  </sortState>
  <tableColumns count="36">
    <tableColumn id="1" name="COURSE #" dataDxfId="422"/>
    <tableColumn id="2" name="COURSE TITLE" dataDxfId="421"/>
    <tableColumn id="43" name="GRAD OR UNDERGRAD" dataDxfId="420"/>
    <tableColumn id="63" name="JD COMMENTS 1"/>
    <tableColumn id="11" name="JD COMMENTS 2"/>
    <tableColumn id="40" name="RELEVANT TOOL FOR BUSINESS-ENVIRONMENT LEADERS                     (0-5)" dataDxfId="419"/>
    <tableColumn id="3" name="Corporate Environmental Strategy" dataDxfId="418"/>
    <tableColumn id="37" name="Social Entrepreneurship and Environmental Ventures" dataDxfId="417"/>
    <tableColumn id="4" name="Environmental Finance" dataDxfId="416"/>
    <tableColumn id="5" name="Climate Change" dataDxfId="415"/>
    <tableColumn id="6" name="Environmental Justice &amp; Ethics" dataDxfId="414"/>
    <tableColumn id="7" name="Environmental Policy &amp; Law" dataDxfId="413"/>
    <tableColumn id="59" name="Environmental Economics" dataDxfId="412"/>
    <tableColumn id="8" name="Environmental Health &amp; Safety (EH&amp;S)" dataDxfId="411"/>
    <tableColumn id="45" name="Green Design &amp; Building" dataDxfId="410"/>
    <tableColumn id="9" name="CSR and Triple Bottom Line" dataDxfId="409"/>
    <tableColumn id="46" name="Energy" dataDxfId="408"/>
    <tableColumn id="47" name="Industrial Ecology" dataDxfId="407"/>
    <tableColumn id="48" name="Natural Resources Management" dataDxfId="406"/>
    <tableColumn id="61" name="International Development" dataDxfId="405"/>
    <tableColumn id="60" name="Environmental Chemistry" dataDxfId="404"/>
    <tableColumn id="49" name="Pollution" dataDxfId="403"/>
    <tableColumn id="52" name="Air" dataDxfId="402"/>
    <tableColumn id="55" name="Soils" dataDxfId="401"/>
    <tableColumn id="54" name="Water" dataDxfId="400"/>
    <tableColumn id="56" name="Ecosystems" dataDxfId="399"/>
    <tableColumn id="53" name="Forests" dataDxfId="398"/>
    <tableColumn id="18" name="TOOL-BASED COURSE" dataDxfId="397"/>
    <tableColumn id="57" name="ADVANCED COURSE" dataDxfId="396"/>
    <tableColumn id="51" name="CREDITS" dataDxfId="395"/>
    <tableColumn id="19" name="TERM" dataDxfId="394"/>
    <tableColumn id="20" name="DESCRIPTION" dataDxfId="393"/>
    <tableColumn id="21" name="URL" dataDxfId="392"/>
    <tableColumn id="41" name="CROSS-LISTED COURSE #" dataDxfId="391"/>
    <tableColumn id="22" name="PRE-REQ" dataDxfId="390"/>
    <tableColumn id="44" name="NOTES" dataDxfId="389"/>
  </tableColumns>
  <tableStyleInfo name="TableStyleMedium4" showFirstColumn="0" showLastColumn="0" showRowStripes="1" showColumnStripes="0"/>
</table>
</file>

<file path=xl/tables/table6.xml><?xml version="1.0" encoding="utf-8"?>
<table xmlns="http://schemas.openxmlformats.org/spreadsheetml/2006/main" id="7" name="Table134568" displayName="Table134568" ref="C2:AK55" totalsRowShown="0" headerRowDxfId="388" dataDxfId="386" headerRowBorderDxfId="387" tableBorderDxfId="385" totalsRowBorderDxfId="384">
  <tableColumns count="35">
    <tableColumn id="2" name="COURSE TITLE" dataDxfId="383"/>
    <tableColumn id="43" name="GRAD OR UNDERGRAD" dataDxfId="382"/>
    <tableColumn id="63" name="JD COMMENTS 1"/>
    <tableColumn id="11" name="JD COMMENTS 2"/>
    <tableColumn id="40" name="RELEVANT TOOL FOR BUSINESS-ENVIRONMENT LEADERS                     (0-5)" dataDxfId="381"/>
    <tableColumn id="3" name="Corporate Environmental Strategy" dataDxfId="380"/>
    <tableColumn id="37" name="Social Entrepreneurship and Environmental Ventures" dataDxfId="379"/>
    <tableColumn id="4" name="Environmental Finance" dataDxfId="378"/>
    <tableColumn id="5" name="Climate Change" dataDxfId="377"/>
    <tableColumn id="6" name="Environmental Justice &amp; Ethics" dataDxfId="376"/>
    <tableColumn id="7" name="Environmental Policy &amp; Law" dataDxfId="375"/>
    <tableColumn id="59" name="Environmental Economics" dataDxfId="374"/>
    <tableColumn id="8" name="Environmental Health &amp; Safety (EH&amp;S)" dataDxfId="373"/>
    <tableColumn id="45" name="Green Design &amp; Building" dataDxfId="372"/>
    <tableColumn id="9" name="CSR and Triple Bottom Line" dataDxfId="371"/>
    <tableColumn id="46" name="Energy" dataDxfId="370"/>
    <tableColumn id="47" name="Industrial Ecology" dataDxfId="369"/>
    <tableColumn id="48" name="Natural Resources Management" dataDxfId="368"/>
    <tableColumn id="61" name="International Development" dataDxfId="367"/>
    <tableColumn id="60" name="Environmental Chemistry" dataDxfId="366"/>
    <tableColumn id="49" name="Pollution" dataDxfId="365"/>
    <tableColumn id="52" name="Air" dataDxfId="364"/>
    <tableColumn id="55" name="Soils" dataDxfId="363"/>
    <tableColumn id="54" name="Water" dataDxfId="362"/>
    <tableColumn id="56" name="Ecosystems" dataDxfId="361"/>
    <tableColumn id="53" name="Forests" dataDxfId="360"/>
    <tableColumn id="18" name="TOOL-BASED COURSE" dataDxfId="359"/>
    <tableColumn id="57" name="ADVANCED COURSE" dataDxfId="358"/>
    <tableColumn id="51" name="CREDITS" dataDxfId="357"/>
    <tableColumn id="19" name="TERM" dataDxfId="356"/>
    <tableColumn id="20" name="DESCRIPTION" dataDxfId="355"/>
    <tableColumn id="21" name="URL" dataDxfId="354"/>
    <tableColumn id="41" name="CROSS-LISTED COURSE #" dataDxfId="353"/>
    <tableColumn id="22" name="PRE-REQ" dataDxfId="352"/>
    <tableColumn id="44" name="NOTES" dataDxfId="351"/>
  </tableColumns>
  <tableStyleInfo name="TableStyleMedium4" showFirstColumn="0" showLastColumn="0" showRowStripes="1" showColumnStripes="0"/>
</table>
</file>

<file path=xl/tables/table7.xml><?xml version="1.0" encoding="utf-8"?>
<table xmlns="http://schemas.openxmlformats.org/spreadsheetml/2006/main" id="9" name="Table136910" displayName="Table136910" ref="B2:AK17" totalsRowShown="0" headerRowDxfId="350" dataDxfId="348" headerRowBorderDxfId="349" tableBorderDxfId="347" totalsRowBorderDxfId="346">
  <sortState ref="B3:AK283">
    <sortCondition ref="B2:B269"/>
  </sortState>
  <tableColumns count="36">
    <tableColumn id="1" name="COURSE #" dataDxfId="345"/>
    <tableColumn id="2" name="COURSE TITLE" dataDxfId="344"/>
    <tableColumn id="43" name="GRAD OR UNDERGRAD" dataDxfId="343"/>
    <tableColumn id="63" name="JD COMMENTS 1"/>
    <tableColumn id="11" name="JD COMMENTS 2"/>
    <tableColumn id="40" name="RELEVANT TOOL FOR BUSINESS-ENVIRONMENT LEADERS                     (0-5)" dataDxfId="342"/>
    <tableColumn id="3" name="Corporate Environmental Strategy" dataDxfId="341"/>
    <tableColumn id="37" name="Social Entrepreneurship and Environmental Ventures" dataDxfId="340"/>
    <tableColumn id="4" name="Environmental Finance" dataDxfId="339"/>
    <tableColumn id="5" name="Climate Change" dataDxfId="338"/>
    <tableColumn id="6" name="Environmental Justice &amp; Ethics" dataDxfId="337"/>
    <tableColumn id="7" name="Environmental Policy &amp; Law" dataDxfId="336"/>
    <tableColumn id="59" name="Environmental Economics" dataDxfId="335"/>
    <tableColumn id="8" name="Environmental Health &amp; Safety (EH&amp;S)" dataDxfId="334"/>
    <tableColumn id="45" name="Green Design &amp; Building" dataDxfId="333"/>
    <tableColumn id="9" name="CSR and Triple Bottom Line" dataDxfId="332"/>
    <tableColumn id="46" name="Energy" dataDxfId="331"/>
    <tableColumn id="47" name="Industrial Ecology" dataDxfId="330"/>
    <tableColumn id="48" name="Natural Resources Management" dataDxfId="329"/>
    <tableColumn id="61" name="International Development" dataDxfId="328"/>
    <tableColumn id="60" name="Environmental Chemistry" dataDxfId="327"/>
    <tableColumn id="49" name="Pollution" dataDxfId="326"/>
    <tableColumn id="52" name="Air" dataDxfId="325"/>
    <tableColumn id="55" name="Soils" dataDxfId="324"/>
    <tableColumn id="54" name="Water" dataDxfId="323"/>
    <tableColumn id="56" name="Ecosystems" dataDxfId="322"/>
    <tableColumn id="53" name="Forests" dataDxfId="321"/>
    <tableColumn id="18" name="TOOL-BASED COURSE" dataDxfId="320"/>
    <tableColumn id="57" name="ADVANCED COURSE" dataDxfId="319"/>
    <tableColumn id="51" name="CREDITS" dataDxfId="318"/>
    <tableColumn id="19" name="TERM" dataDxfId="317"/>
    <tableColumn id="20" name="DESCRIPTION" dataDxfId="316"/>
    <tableColumn id="21" name="URL" dataDxfId="315"/>
    <tableColumn id="41" name="CROSS-LISTED COURSE #" dataDxfId="314"/>
    <tableColumn id="22" name="PRE-REQ" dataDxfId="313"/>
    <tableColumn id="44" name="NOTES" dataDxfId="312"/>
  </tableColumns>
  <tableStyleInfo name="TableStyleMedium4" showFirstColumn="0" showLastColumn="0" showRowStripes="1" showColumnStripes="0"/>
</table>
</file>

<file path=xl/tables/table8.xml><?xml version="1.0" encoding="utf-8"?>
<table xmlns="http://schemas.openxmlformats.org/spreadsheetml/2006/main" id="4" name="Table1345" displayName="Table1345" ref="B2:AK275" totalsRowShown="0" headerRowDxfId="311" dataDxfId="309" headerRowBorderDxfId="310" tableBorderDxfId="308" totalsRowBorderDxfId="307">
  <sortState ref="B3:AK283">
    <sortCondition ref="B2:B269"/>
  </sortState>
  <tableColumns count="36">
    <tableColumn id="1" name="COURSE #" dataDxfId="306"/>
    <tableColumn id="2" name="COURSE TITLE" dataDxfId="305"/>
    <tableColumn id="43" name="GRAD OR UNDERGRAD" dataDxfId="304"/>
    <tableColumn id="63" name="JD COMMENTS 1"/>
    <tableColumn id="11" name="JD COMMENTS 2"/>
    <tableColumn id="40" name="RELEVANT TOOL FOR BUSINESS-ENVIRONMENT LEADERS                     (0-5)" dataDxfId="303"/>
    <tableColumn id="3" name="Corporate Environmental Strategy" dataDxfId="302"/>
    <tableColumn id="37" name="Social Entrepreneurship and Environmental Ventures" dataDxfId="301"/>
    <tableColumn id="4" name="Environmental Finance" dataDxfId="300"/>
    <tableColumn id="5" name="Climate Change" dataDxfId="299"/>
    <tableColumn id="6" name="Environmental Justice &amp; Ethics" dataDxfId="298"/>
    <tableColumn id="7" name="Environmental Policy &amp; Law" dataDxfId="297"/>
    <tableColumn id="59" name="Environmental Economics" dataDxfId="296"/>
    <tableColumn id="8" name="Environmental Health &amp; Safety (EH&amp;S)" dataDxfId="295"/>
    <tableColumn id="45" name="Green Design &amp; Building" dataDxfId="294"/>
    <tableColumn id="9" name="CSR and Triple Bottom Line" dataDxfId="293"/>
    <tableColumn id="46" name="Energy" dataDxfId="292"/>
    <tableColumn id="47" name="Industrial Ecology" dataDxfId="291"/>
    <tableColumn id="48" name="Natural Resources Management" dataDxfId="290"/>
    <tableColumn id="61" name="International Development" dataDxfId="289"/>
    <tableColumn id="60" name="Environmental Chemistry" dataDxfId="288"/>
    <tableColumn id="49" name="Pollution" dataDxfId="287"/>
    <tableColumn id="52" name="Air" dataDxfId="286"/>
    <tableColumn id="55" name="Soils" dataDxfId="285"/>
    <tableColumn id="54" name="Water" dataDxfId="284"/>
    <tableColumn id="56" name="Ecosystems" dataDxfId="283"/>
    <tableColumn id="53" name="Forests" dataDxfId="282"/>
    <tableColumn id="18" name="TOOL-BASED COURSE" dataDxfId="281"/>
    <tableColumn id="57" name="ADVANCED COURSE" dataDxfId="280"/>
    <tableColumn id="51" name="CREDITS" dataDxfId="279"/>
    <tableColumn id="19" name="TERM" dataDxfId="278"/>
    <tableColumn id="20" name="DESCRIPTION" dataDxfId="277"/>
    <tableColumn id="21" name="URL" dataDxfId="276"/>
    <tableColumn id="41" name="CROSS-LISTED COURSE #" dataDxfId="275"/>
    <tableColumn id="22" name="PRE-REQ" dataDxfId="274"/>
    <tableColumn id="44" name="NOTES" dataDxfId="273"/>
  </tableColumns>
  <tableStyleInfo name="TableStyleMedium4" showFirstColumn="0" showLastColumn="0" showRowStripes="1" showColumnStripes="0"/>
</table>
</file>

<file path=xl/tables/table9.xml><?xml version="1.0" encoding="utf-8"?>
<table xmlns="http://schemas.openxmlformats.org/spreadsheetml/2006/main" id="3" name="Table134" displayName="Table134" ref="B2:AK276" totalsRowShown="0" headerRowDxfId="272" dataDxfId="270" headerRowBorderDxfId="271" tableBorderDxfId="269" totalsRowBorderDxfId="268">
  <sortState ref="B3:AK283">
    <sortCondition ref="B2:B269"/>
  </sortState>
  <tableColumns count="36">
    <tableColumn id="1" name="COURSE #" dataDxfId="267"/>
    <tableColumn id="2" name="COURSE TITLE" dataDxfId="266"/>
    <tableColumn id="43" name="GRAD OR UNDERGRAD" dataDxfId="265"/>
    <tableColumn id="63" name="JD COMMENTS 1"/>
    <tableColumn id="11" name="JD COMMENTS 2"/>
    <tableColumn id="40" name="RELEVANT TOOL FOR BUSINESS-ENVIRONMENT LEADERS                     (0-5)" dataDxfId="264"/>
    <tableColumn id="3" name="Corporate Environmental Strategy" dataDxfId="263"/>
    <tableColumn id="37" name="Social Entrepreneurship and Environmental Ventures" dataDxfId="262"/>
    <tableColumn id="4" name="Environmental Finance" dataDxfId="261"/>
    <tableColumn id="5" name="Climate Change" dataDxfId="260"/>
    <tableColumn id="6" name="Environmental Justice &amp; Ethics" dataDxfId="259"/>
    <tableColumn id="7" name="Environmental Policy &amp; Law" dataDxfId="258"/>
    <tableColumn id="59" name="Environmental Economics" dataDxfId="257"/>
    <tableColumn id="8" name="Environmental Health &amp; Safety (EH&amp;S)" dataDxfId="256"/>
    <tableColumn id="45" name="Green Design &amp; Building" dataDxfId="255"/>
    <tableColumn id="9" name="CSR and Triple Bottom Line" dataDxfId="254"/>
    <tableColumn id="46" name="Energy" dataDxfId="253"/>
    <tableColumn id="47" name="Industrial Ecology" dataDxfId="252"/>
    <tableColumn id="48" name="Natural Resources Management" dataDxfId="251"/>
    <tableColumn id="61" name="International Development" dataDxfId="250"/>
    <tableColumn id="60" name="Environmental Chemistry" dataDxfId="249"/>
    <tableColumn id="49" name="Pollution" dataDxfId="248"/>
    <tableColumn id="52" name="Air" dataDxfId="247"/>
    <tableColumn id="55" name="Soils" dataDxfId="246"/>
    <tableColumn id="54" name="Water" dataDxfId="245"/>
    <tableColumn id="56" name="Ecosystems" dataDxfId="244"/>
    <tableColumn id="53" name="Forests" dataDxfId="243"/>
    <tableColumn id="18" name="TOOL-BASED COURSE" dataDxfId="242"/>
    <tableColumn id="57" name="ADVANCED COURSE" dataDxfId="241"/>
    <tableColumn id="51" name="CREDITS" dataDxfId="240"/>
    <tableColumn id="19" name="TERM" dataDxfId="239"/>
    <tableColumn id="20" name="DESCRIPTION" dataDxfId="238"/>
    <tableColumn id="21" name="URL" dataDxfId="237"/>
    <tableColumn id="41" name="CROSS-LISTED COURSE #" dataDxfId="236"/>
    <tableColumn id="22" name="PRE-REQ" dataDxfId="235"/>
    <tableColumn id="44" name="NOTES" dataDxfId="234"/>
  </tableColumns>
  <tableStyleInfo name="TableStyleMedium4" showFirstColumn="0" showLastColumn="0" showRowStripes="1" showColumnStripes="0"/>
</table>
</file>

<file path=xl/tables/table10.xml><?xml version="1.0" encoding="utf-8"?>
<table xmlns="http://schemas.openxmlformats.org/spreadsheetml/2006/main" id="15" name="Table136910111216" displayName="Table136910111216" ref="B2:AK79" totalsRowShown="0" headerRowDxfId="233" dataDxfId="231" headerRowBorderDxfId="232" tableBorderDxfId="230" totalsRowBorderDxfId="229">
  <sortState ref="B3:AK283">
    <sortCondition ref="B2:B269"/>
  </sortState>
  <tableColumns count="36">
    <tableColumn id="1" name="COURSE #" dataDxfId="228"/>
    <tableColumn id="2" name="COURSE TITLE" dataDxfId="227"/>
    <tableColumn id="43" name="GRAD OR UNDERGRAD" dataDxfId="226"/>
    <tableColumn id="63" name="JD COMMENTS 1"/>
    <tableColumn id="11" name="JD COMMENTS 2"/>
    <tableColumn id="40" name="RELEVANT TOOL FOR BUSINESS-ENVIRONMENT LEADERS                     (0-5)" dataDxfId="225"/>
    <tableColumn id="3" name="Corporate Environmental Strategy" dataDxfId="224"/>
    <tableColumn id="37" name="Social Entrepreneurship and Environmental Ventures" dataDxfId="223"/>
    <tableColumn id="4" name="Environmental Finance" dataDxfId="222"/>
    <tableColumn id="5" name="Climate Change" dataDxfId="221"/>
    <tableColumn id="6" name="Environmental Justice &amp; Ethics" dataDxfId="220"/>
    <tableColumn id="7" name="Environmental Policy &amp; Law" dataDxfId="219"/>
    <tableColumn id="59" name="Environmental Economics" dataDxfId="218"/>
    <tableColumn id="8" name="Environmental Health &amp; Safety (EH&amp;S)" dataDxfId="217"/>
    <tableColumn id="45" name="Green Design &amp; Building" dataDxfId="216"/>
    <tableColumn id="9" name="CSR and Triple Bottom Line" dataDxfId="215"/>
    <tableColumn id="46" name="Energy" dataDxfId="214"/>
    <tableColumn id="47" name="Industrial Ecology" dataDxfId="213"/>
    <tableColumn id="48" name="Natural Resources Management" dataDxfId="212"/>
    <tableColumn id="61" name="International Development" dataDxfId="211"/>
    <tableColumn id="60" name="Environmental Chemistry" dataDxfId="210"/>
    <tableColumn id="49" name="Pollution" dataDxfId="209"/>
    <tableColumn id="52" name="Air" dataDxfId="208"/>
    <tableColumn id="55" name="Soils" dataDxfId="207"/>
    <tableColumn id="54" name="Water" dataDxfId="206"/>
    <tableColumn id="56" name="Ecosystems" dataDxfId="205"/>
    <tableColumn id="53" name="Forests" dataDxfId="204"/>
    <tableColumn id="18" name="TOOL-BASED COURSE" dataDxfId="203"/>
    <tableColumn id="57" name="ADVANCED COURSE" dataDxfId="202"/>
    <tableColumn id="51" name="CREDITS" dataDxfId="201"/>
    <tableColumn id="19" name="TERM" dataDxfId="200"/>
    <tableColumn id="20" name="DESCRIPTION" dataDxfId="199"/>
    <tableColumn id="21" name="URL" dataDxfId="198"/>
    <tableColumn id="41" name="CROSS-LISTED COURSE #" dataDxfId="197"/>
    <tableColumn id="22" name="PRE-REQ" dataDxfId="196"/>
    <tableColumn id="44" name="NOTES" dataDxfId="195"/>
  </tableColumns>
  <tableStyleInfo name="TableStyleMedium4" showFirstColumn="0" showLastColumn="0" showRowStripes="1" showColumnStripes="0"/>
</table>
</file>

<file path=xl/tables/table11.xml><?xml version="1.0" encoding="utf-8"?>
<table xmlns="http://schemas.openxmlformats.org/spreadsheetml/2006/main" id="5" name="Table136" displayName="Table136" ref="B2:AK26" totalsRowShown="0" headerRowDxfId="194" dataDxfId="192" headerRowBorderDxfId="193" tableBorderDxfId="191" totalsRowBorderDxfId="190">
  <sortState ref="B3:AK283">
    <sortCondition ref="B2:B269"/>
  </sortState>
  <tableColumns count="36">
    <tableColumn id="1" name="COURSE #" dataDxfId="189"/>
    <tableColumn id="2" name="COURSE TITLE" dataDxfId="188"/>
    <tableColumn id="43" name="GRAD OR UNDERGRAD" dataDxfId="187"/>
    <tableColumn id="63" name="JD COMMENTS 1"/>
    <tableColumn id="11" name="JD COMMENTS 2"/>
    <tableColumn id="40" name="RELEVANT TOOL FOR BUSINESS-ENVIRONMENT LEADERS                     (0-5)" dataDxfId="186"/>
    <tableColumn id="3" name="Corporate Environmental Strategy" dataDxfId="185"/>
    <tableColumn id="37" name="Social Entrepreneurship and Environmental Ventures" dataDxfId="184"/>
    <tableColumn id="4" name="Environmental Finance" dataDxfId="183"/>
    <tableColumn id="5" name="Climate Change" dataDxfId="182"/>
    <tableColumn id="6" name="Environmental Justice &amp; Ethics" dataDxfId="181"/>
    <tableColumn id="7" name="Environmental Policy &amp; Law" dataDxfId="180"/>
    <tableColumn id="59" name="Environmental Economics" dataDxfId="179"/>
    <tableColumn id="8" name="Environmental Health &amp; Safety (EH&amp;S)" dataDxfId="178"/>
    <tableColumn id="45" name="Green Design &amp; Building" dataDxfId="177"/>
    <tableColumn id="9" name="CSR and Triple Bottom Line" dataDxfId="176"/>
    <tableColumn id="46" name="Energy" dataDxfId="175"/>
    <tableColumn id="47" name="Industrial Ecology" dataDxfId="174"/>
    <tableColumn id="48" name="Natural Resources Management" dataDxfId="173"/>
    <tableColumn id="61" name="International Development" dataDxfId="172"/>
    <tableColumn id="60" name="Environmental Chemistry" dataDxfId="171"/>
    <tableColumn id="49" name="Pollution" dataDxfId="170"/>
    <tableColumn id="52" name="Air" dataDxfId="169"/>
    <tableColumn id="55" name="Soils" dataDxfId="168"/>
    <tableColumn id="54" name="Water" dataDxfId="167"/>
    <tableColumn id="56" name="Ecosystems" dataDxfId="166"/>
    <tableColumn id="53" name="Forests" dataDxfId="165"/>
    <tableColumn id="18" name="TOOL-BASED COURSE" dataDxfId="164"/>
    <tableColumn id="57" name="ADVANCED COURSE" dataDxfId="163"/>
    <tableColumn id="51" name="CREDITS" dataDxfId="162"/>
    <tableColumn id="19" name="TERM" dataDxfId="161"/>
    <tableColumn id="20" name="DESCRIPTION" dataDxfId="160"/>
    <tableColumn id="21" name="URL" dataDxfId="159"/>
    <tableColumn id="41" name="CROSS-LISTED COURSE #" dataDxfId="158"/>
    <tableColumn id="22" name="PRE-REQ" dataDxfId="157"/>
    <tableColumn id="44" name="NOTES" dataDxfId="156"/>
  </tableColumns>
  <tableStyleInfo name="TableStyleMedium4" showFirstColumn="0" showLastColumn="0" showRowStripes="1" showColumnStripes="0"/>
</table>
</file>

<file path=xl/tables/table12.xml><?xml version="1.0" encoding="utf-8"?>
<table xmlns="http://schemas.openxmlformats.org/spreadsheetml/2006/main" id="12" name="Table1369101113" displayName="Table1369101113" ref="B2:AK26" totalsRowShown="0" headerRowDxfId="155" dataDxfId="153" headerRowBorderDxfId="154" tableBorderDxfId="152" totalsRowBorderDxfId="151">
  <sortState ref="B3:AK283">
    <sortCondition ref="B2:B269"/>
  </sortState>
  <tableColumns count="36">
    <tableColumn id="1" name="COURSE #" dataDxfId="150"/>
    <tableColumn id="2" name="COURSE TITLE" dataDxfId="149"/>
    <tableColumn id="43" name="GRAD OR UNDERGRAD" dataDxfId="148"/>
    <tableColumn id="63" name="JD COMMENTS 1"/>
    <tableColumn id="11" name="JD COMMENTS 2"/>
    <tableColumn id="40" name="RELEVANT TOOL FOR BUSINESS-ENVIRONMENT LEADERS                     (0-5)" dataDxfId="147"/>
    <tableColumn id="3" name="Corporate Environmental Strategy" dataDxfId="146"/>
    <tableColumn id="37" name="Social Entrepreneurship and Environmental Ventures" dataDxfId="145"/>
    <tableColumn id="4" name="Environmental Finance" dataDxfId="144"/>
    <tableColumn id="5" name="Climate Change" dataDxfId="143"/>
    <tableColumn id="6" name="Environmental Justice &amp; Ethics" dataDxfId="142"/>
    <tableColumn id="7" name="Environmental Policy &amp; Law" dataDxfId="141"/>
    <tableColumn id="59" name="Environmental Economics" dataDxfId="140"/>
    <tableColumn id="8" name="Environmental Health &amp; Safety (EH&amp;S)" dataDxfId="139"/>
    <tableColumn id="45" name="Green Design &amp; Building" dataDxfId="138"/>
    <tableColumn id="9" name="CSR and Triple Bottom Line" dataDxfId="137"/>
    <tableColumn id="46" name="Energy" dataDxfId="136"/>
    <tableColumn id="47" name="Industrial Ecology" dataDxfId="135"/>
    <tableColumn id="48" name="Natural Resources Management" dataDxfId="134"/>
    <tableColumn id="61" name="International Development" dataDxfId="133"/>
    <tableColumn id="60" name="Environmental Chemistry" dataDxfId="132"/>
    <tableColumn id="49" name="Pollution" dataDxfId="131"/>
    <tableColumn id="52" name="Air" dataDxfId="130"/>
    <tableColumn id="55" name="Soils" dataDxfId="129"/>
    <tableColumn id="54" name="Water" dataDxfId="128"/>
    <tableColumn id="56" name="Ecosystems" dataDxfId="127"/>
    <tableColumn id="53" name="Forests" dataDxfId="126"/>
    <tableColumn id="18" name="TOOL-BASED COURSE" dataDxfId="125"/>
    <tableColumn id="57" name="ADVANCED COURSE" dataDxfId="124"/>
    <tableColumn id="51" name="CREDITS" dataDxfId="123"/>
    <tableColumn id="19" name="TERM" dataDxfId="122"/>
    <tableColumn id="20" name="DESCRIPTION" dataDxfId="121"/>
    <tableColumn id="21" name="URL" dataDxfId="120"/>
    <tableColumn id="41" name="CROSS-LISTED COURSE #" dataDxfId="119"/>
    <tableColumn id="22" name="PRE-REQ" dataDxfId="118"/>
    <tableColumn id="44" name="NOTES" dataDxfId="117"/>
  </tableColumns>
  <tableStyleInfo name="TableStyleMedium4" showFirstColumn="0" showLastColumn="0" showRowStripes="1" showColumnStripes="0"/>
</table>
</file>

<file path=xl/tables/table13.xml><?xml version="1.0" encoding="utf-8"?>
<table xmlns="http://schemas.openxmlformats.org/spreadsheetml/2006/main" id="11" name="Table1369101112" displayName="Table1369101112" ref="B2:AK26" totalsRowShown="0" headerRowDxfId="116" dataDxfId="114" headerRowBorderDxfId="115" tableBorderDxfId="113" totalsRowBorderDxfId="112">
  <sortState ref="B3:AK283">
    <sortCondition ref="B2:B269"/>
  </sortState>
  <tableColumns count="36">
    <tableColumn id="1" name="COURSE #" dataDxfId="111"/>
    <tableColumn id="2" name="COURSE TITLE" dataDxfId="110"/>
    <tableColumn id="43" name="GRAD OR UNDERGRAD" dataDxfId="109"/>
    <tableColumn id="63" name="JD COMMENTS 1"/>
    <tableColumn id="11" name="JD COMMENTS 2"/>
    <tableColumn id="40" name="RELEVANT TOOL FOR BUSINESS-ENVIRONMENT LEADERS                     (0-5)" dataDxfId="108"/>
    <tableColumn id="3" name="Corporate Environmental Strategy" dataDxfId="107"/>
    <tableColumn id="37" name="Social Entrepreneurship and Environmental Ventures" dataDxfId="106"/>
    <tableColumn id="4" name="Environmental Finance" dataDxfId="105"/>
    <tableColumn id="5" name="Climate Change" dataDxfId="104"/>
    <tableColumn id="6" name="Environmental Justice &amp; Ethics" dataDxfId="103"/>
    <tableColumn id="7" name="Environmental Policy &amp; Law" dataDxfId="102"/>
    <tableColumn id="59" name="Environmental Economics" dataDxfId="101"/>
    <tableColumn id="8" name="Environmental Health &amp; Safety (EH&amp;S)" dataDxfId="100"/>
    <tableColumn id="45" name="Green Design &amp; Building" dataDxfId="99"/>
    <tableColumn id="9" name="CSR and Triple Bottom Line" dataDxfId="98"/>
    <tableColumn id="46" name="Energy" dataDxfId="97"/>
    <tableColumn id="47" name="Industrial Ecology" dataDxfId="96"/>
    <tableColumn id="48" name="Natural Resources Management" dataDxfId="95"/>
    <tableColumn id="61" name="International Development" dataDxfId="94"/>
    <tableColumn id="60" name="Environmental Chemistry" dataDxfId="93"/>
    <tableColumn id="49" name="Pollution" dataDxfId="92"/>
    <tableColumn id="52" name="Air" dataDxfId="91"/>
    <tableColumn id="55" name="Soils" dataDxfId="90"/>
    <tableColumn id="54" name="Water" dataDxfId="89"/>
    <tableColumn id="56" name="Ecosystems" dataDxfId="88"/>
    <tableColumn id="53" name="Forests" dataDxfId="87"/>
    <tableColumn id="18" name="TOOL-BASED COURSE" dataDxfId="86"/>
    <tableColumn id="57" name="ADVANCED COURSE" dataDxfId="85"/>
    <tableColumn id="51" name="CREDITS" dataDxfId="84"/>
    <tableColumn id="19" name="TERM" dataDxfId="83"/>
    <tableColumn id="20" name="DESCRIPTION" dataDxfId="82"/>
    <tableColumn id="21" name="URL" dataDxfId="81"/>
    <tableColumn id="41" name="CROSS-LISTED COURSE #" dataDxfId="80"/>
    <tableColumn id="22" name="PRE-REQ" dataDxfId="79"/>
    <tableColumn id="44" name="NOTES" dataDxfId="78"/>
  </tableColumns>
  <tableStyleInfo name="TableStyleMedium4" showFirstColumn="0" showLastColumn="0" showRowStripes="1" showColumnStripes="0"/>
</table>
</file>

<file path=xl/tables/table14.xml><?xml version="1.0" encoding="utf-8"?>
<table xmlns="http://schemas.openxmlformats.org/spreadsheetml/2006/main" id="8" name="Table1369" displayName="Table1369" ref="B2:AK25" totalsRowShown="0" headerRowDxfId="77" dataDxfId="75" headerRowBorderDxfId="76" tableBorderDxfId="74" totalsRowBorderDxfId="73">
  <sortState ref="B3:AK283">
    <sortCondition ref="B2:B269"/>
  </sortState>
  <tableColumns count="36">
    <tableColumn id="1" name="COURSE #" dataDxfId="72"/>
    <tableColumn id="2" name="COURSE TITLE" dataDxfId="71"/>
    <tableColumn id="43" name="GRAD OR UNDERGRAD" dataDxfId="70"/>
    <tableColumn id="63" name="JD COMMENTS 1"/>
    <tableColumn id="11" name="JD COMMENTS 2"/>
    <tableColumn id="40" name="RELEVANT TOOL FOR BUSINESS-ENVIRONMENT LEADERS                     (0-5)" dataDxfId="69"/>
    <tableColumn id="3" name="Corporate Environmental Strategy" dataDxfId="68"/>
    <tableColumn id="37" name="Social Entrepreneurship and Environmental Ventures" dataDxfId="67"/>
    <tableColumn id="4" name="Environmental Finance" dataDxfId="66"/>
    <tableColumn id="5" name="Climate Change" dataDxfId="65"/>
    <tableColumn id="6" name="Environmental Justice &amp; Ethics" dataDxfId="64"/>
    <tableColumn id="7" name="Environmental Policy &amp; Law" dataDxfId="63"/>
    <tableColumn id="59" name="Environmental Economics" dataDxfId="62"/>
    <tableColumn id="8" name="Environmental Health &amp; Safety (EH&amp;S)" dataDxfId="61"/>
    <tableColumn id="45" name="Green Design &amp; Building" dataDxfId="60"/>
    <tableColumn id="9" name="CSR and Triple Bottom Line" dataDxfId="59"/>
    <tableColumn id="46" name="Energy" dataDxfId="58"/>
    <tableColumn id="47" name="Industrial Ecology" dataDxfId="57"/>
    <tableColumn id="48" name="Natural Resources Management" dataDxfId="56"/>
    <tableColumn id="61" name="International Development" dataDxfId="55"/>
    <tableColumn id="60" name="Environmental Chemistry" dataDxfId="54"/>
    <tableColumn id="49" name="Pollution" dataDxfId="53"/>
    <tableColumn id="52" name="Air" dataDxfId="52"/>
    <tableColumn id="55" name="Soils" dataDxfId="51"/>
    <tableColumn id="54" name="Water" dataDxfId="50"/>
    <tableColumn id="56" name="Ecosystems" dataDxfId="49"/>
    <tableColumn id="53" name="Forests" dataDxfId="48"/>
    <tableColumn id="18" name="TOOL-BASED COURSE" dataDxfId="47"/>
    <tableColumn id="57" name="ADVANCED COURSE" dataDxfId="46"/>
    <tableColumn id="51" name="CREDITS" dataDxfId="45"/>
    <tableColumn id="19" name="TERM" dataDxfId="44"/>
    <tableColumn id="20" name="DESCRIPTION" dataDxfId="43"/>
    <tableColumn id="21" name="URL" dataDxfId="42"/>
    <tableColumn id="41" name="CROSS-LISTED COURSE #" dataDxfId="41"/>
    <tableColumn id="22" name="PRE-REQ" dataDxfId="40"/>
    <tableColumn id="44" name="NOTES" dataDxfId="39"/>
  </tableColumns>
  <tableStyleInfo name="TableStyleMedium4" showFirstColumn="0" showLastColumn="0" showRowStripes="1" showColumnStripes="0"/>
</table>
</file>

<file path=xl/tables/table15.xml><?xml version="1.0" encoding="utf-8"?>
<table xmlns="http://schemas.openxmlformats.org/spreadsheetml/2006/main" id="14" name="Table13691011121415" displayName="Table13691011121415" ref="B2:AK9" totalsRowShown="0" headerRowDxfId="38" dataDxfId="36" headerRowBorderDxfId="37" tableBorderDxfId="35" totalsRowBorderDxfId="34">
  <sortState ref="B3:AK283">
    <sortCondition ref="B2:B269"/>
  </sortState>
  <tableColumns count="36">
    <tableColumn id="1" name="COURSE #" dataDxfId="33"/>
    <tableColumn id="2" name="COURSE TITLE" dataDxfId="32"/>
    <tableColumn id="43" name="GRAD OR UNDERGRAD" dataDxfId="31"/>
    <tableColumn id="63" name="JD COMMENTS 1"/>
    <tableColumn id="11" name="JD COMMENTS 2"/>
    <tableColumn id="40" name="RELEVANT TOOL FOR BUSINESS-ENVIRONMENT LEADERS                     (0-5)" dataDxfId="30"/>
    <tableColumn id="3" name="Corporate Environmental Strategy" dataDxfId="29"/>
    <tableColumn id="37" name="Social Entrepreneurship and Environmental Ventures" dataDxfId="28"/>
    <tableColumn id="4" name="Environmental Finance" dataDxfId="27"/>
    <tableColumn id="5" name="Climate Change" dataDxfId="26"/>
    <tableColumn id="6" name="Environmental Justice &amp; Ethics" dataDxfId="25"/>
    <tableColumn id="7" name="Environmental Policy &amp; Law" dataDxfId="24"/>
    <tableColumn id="59" name="Environmental Economics" dataDxfId="23"/>
    <tableColumn id="8" name="Environmental Health &amp; Safety (EH&amp;S)" dataDxfId="22"/>
    <tableColumn id="45" name="Green Design &amp; Building" dataDxfId="21"/>
    <tableColumn id="9" name="CSR and Triple Bottom Line" dataDxfId="20"/>
    <tableColumn id="46" name="Energy" dataDxfId="19"/>
    <tableColumn id="47" name="Industrial Ecology" dataDxfId="18"/>
    <tableColumn id="48" name="Natural Resources Management" dataDxfId="17"/>
    <tableColumn id="61" name="International Development" dataDxfId="16"/>
    <tableColumn id="60" name="Environmental Chemistry" dataDxfId="15"/>
    <tableColumn id="49" name="Pollution" dataDxfId="14"/>
    <tableColumn id="52" name="Air" dataDxfId="13"/>
    <tableColumn id="55" name="Soils" dataDxfId="12"/>
    <tableColumn id="54" name="Water" dataDxfId="11"/>
    <tableColumn id="56" name="Ecosystems" dataDxfId="10"/>
    <tableColumn id="53" name="Forests" dataDxfId="9"/>
    <tableColumn id="18" name="TOOL-BASED COURSE" dataDxfId="8"/>
    <tableColumn id="57" name="ADVANCED COURSE" dataDxfId="7"/>
    <tableColumn id="51" name="CREDITS" dataDxfId="6"/>
    <tableColumn id="19" name="TERM" dataDxfId="5"/>
    <tableColumn id="20" name="DESCRIPTION" dataDxfId="4"/>
    <tableColumn id="21" name="URL" dataDxfId="3"/>
    <tableColumn id="41" name="CROSS-LISTED COURSE #" dataDxfId="2"/>
    <tableColumn id="22" name="PRE-REQ" dataDxfId="1"/>
    <tableColumn id="44" name="NOTE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yale.edu/ycpo/ycps/E-L/envstFM.html" TargetMode="External"/><Relationship Id="rId1" Type="http://schemas.openxmlformats.org/officeDocument/2006/relationships/hyperlink" Target="http://www.yale.edu/ycpo/ycps/E-L/envstFM.html" TargetMode="External"/><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AX669"/>
  <sheetViews>
    <sheetView tabSelected="1" zoomScale="90" zoomScaleNormal="90" workbookViewId="0">
      <pane xSplit="7" ySplit="2" topLeftCell="W409" activePane="bottomRight" state="frozen"/>
      <selection pane="topRight" activeCell="H1" sqref="H1"/>
      <selection pane="bottomLeft" activeCell="A3" sqref="A3"/>
      <selection pane="bottomRight" activeCell="H3" sqref="H3"/>
    </sheetView>
  </sheetViews>
  <sheetFormatPr defaultRowHeight="15"/>
  <cols>
    <col min="1" max="1" width="13.7109375" customWidth="1"/>
    <col min="2" max="2" width="6.42578125" customWidth="1"/>
    <col min="3" max="3" width="28.42578125" customWidth="1"/>
    <col min="4" max="4" width="4.7109375" customWidth="1"/>
    <col min="5" max="5" width="5.140625" customWidth="1"/>
    <col min="6" max="6" width="5.42578125" customWidth="1"/>
    <col min="7" max="7" width="9.85546875" style="239" customWidth="1"/>
    <col min="8" max="8" width="7.42578125" customWidth="1"/>
    <col min="9" max="9" width="7.7109375" customWidth="1"/>
    <col min="10" max="10" width="6.5703125" customWidth="1"/>
    <col min="11" max="11" width="5.85546875" customWidth="1"/>
    <col min="12" max="12" width="6.7109375" customWidth="1"/>
    <col min="13" max="13" width="6.28515625" customWidth="1"/>
    <col min="14" max="14" width="5.85546875" customWidth="1"/>
    <col min="15" max="15" width="5.5703125" customWidth="1"/>
    <col min="16" max="16" width="5.7109375" customWidth="1"/>
    <col min="17" max="17" width="5.28515625" customWidth="1"/>
    <col min="18" max="18" width="4.140625" customWidth="1"/>
    <col min="19" max="19" width="4.85546875" customWidth="1"/>
    <col min="20" max="20" width="7" customWidth="1"/>
    <col min="21" max="21" width="5.5703125" customWidth="1"/>
    <col min="22" max="22" width="5" customWidth="1"/>
    <col min="23" max="23" width="4.28515625" customWidth="1"/>
    <col min="24" max="28" width="3.5703125" customWidth="1"/>
    <col min="29" max="29" width="7.42578125" customWidth="1"/>
    <col min="30" max="30" width="8.5703125" style="161" customWidth="1"/>
    <col min="31" max="32" width="9.140625" style="161" customWidth="1"/>
    <col min="33" max="33" width="44.28515625" style="164" hidden="1" customWidth="1"/>
    <col min="34" max="34" width="11.140625" hidden="1" customWidth="1"/>
    <col min="35" max="35" width="10.140625" hidden="1" customWidth="1"/>
    <col min="36" max="36" width="10.140625" style="164" hidden="1" customWidth="1"/>
    <col min="37" max="37" width="11.7109375" hidden="1" customWidth="1"/>
    <col min="38" max="38" width="13" style="177" hidden="1" customWidth="1"/>
    <col min="39" max="39" width="8.28515625" style="161" customWidth="1"/>
    <col min="40" max="40" width="10.85546875" style="161" customWidth="1"/>
    <col min="41" max="41" width="7.85546875" style="161" customWidth="1"/>
    <col min="42" max="42" width="8.85546875" style="161" customWidth="1"/>
    <col min="43" max="125" width="10" customWidth="1"/>
    <col min="126" max="1025" width="10.85546875" customWidth="1"/>
    <col min="1026" max="10025" width="11.7109375" customWidth="1"/>
    <col min="10026" max="16384" width="12.5703125" customWidth="1"/>
  </cols>
  <sheetData>
    <row r="1" spans="1:42" s="181" customFormat="1" ht="15.75">
      <c r="A1" s="1"/>
      <c r="B1" s="1"/>
      <c r="C1" s="1"/>
      <c r="D1" s="1"/>
      <c r="E1" s="44"/>
      <c r="F1" s="44"/>
      <c r="G1" s="160"/>
      <c r="H1" s="535" t="s">
        <v>3</v>
      </c>
      <c r="I1" s="536"/>
      <c r="J1" s="536"/>
      <c r="K1" s="536"/>
      <c r="L1" s="536"/>
      <c r="M1" s="536"/>
      <c r="N1" s="536"/>
      <c r="O1" s="536"/>
      <c r="P1" s="536"/>
      <c r="Q1" s="536"/>
      <c r="R1" s="536"/>
      <c r="S1" s="536"/>
      <c r="T1" s="536"/>
      <c r="U1" s="536"/>
      <c r="V1" s="536"/>
      <c r="W1" s="537"/>
      <c r="X1" s="538" t="s">
        <v>1027</v>
      </c>
      <c r="Y1" s="539"/>
      <c r="Z1" s="539"/>
      <c r="AA1" s="539"/>
      <c r="AB1" s="540"/>
      <c r="AC1" s="15"/>
      <c r="AD1" s="8"/>
      <c r="AE1" s="160"/>
      <c r="AF1" s="5"/>
      <c r="AG1" s="4"/>
      <c r="AH1" s="1"/>
      <c r="AI1" s="1"/>
      <c r="AJ1" s="4"/>
      <c r="AK1" s="1"/>
      <c r="AL1" s="175"/>
      <c r="AM1" s="531" t="s">
        <v>2329</v>
      </c>
      <c r="AN1" s="532"/>
      <c r="AO1" s="532"/>
      <c r="AP1" s="532"/>
    </row>
    <row r="2" spans="1:42" s="181" customFormat="1" ht="60" customHeight="1">
      <c r="A2" s="23" t="s">
        <v>5</v>
      </c>
      <c r="B2" s="146" t="s">
        <v>7</v>
      </c>
      <c r="C2" s="146" t="s">
        <v>6</v>
      </c>
      <c r="D2" s="147" t="s">
        <v>13</v>
      </c>
      <c r="E2" s="57" t="s">
        <v>621</v>
      </c>
      <c r="F2" s="57" t="s">
        <v>622</v>
      </c>
      <c r="G2" s="148" t="s">
        <v>2235</v>
      </c>
      <c r="H2" s="173" t="s">
        <v>2236</v>
      </c>
      <c r="I2" s="173" t="s">
        <v>0</v>
      </c>
      <c r="J2" s="173" t="s">
        <v>1</v>
      </c>
      <c r="K2" s="173" t="s">
        <v>16</v>
      </c>
      <c r="L2" s="173" t="s">
        <v>32</v>
      </c>
      <c r="M2" s="173" t="s">
        <v>31</v>
      </c>
      <c r="N2" s="173" t="s">
        <v>30</v>
      </c>
      <c r="O2" s="173" t="s">
        <v>19</v>
      </c>
      <c r="P2" s="173" t="s">
        <v>2</v>
      </c>
      <c r="Q2" s="173" t="s">
        <v>17</v>
      </c>
      <c r="R2" s="173" t="s">
        <v>18</v>
      </c>
      <c r="S2" s="173" t="s">
        <v>20</v>
      </c>
      <c r="T2" s="174" t="s">
        <v>21</v>
      </c>
      <c r="U2" s="174" t="s">
        <v>22</v>
      </c>
      <c r="V2" s="174" t="s">
        <v>33</v>
      </c>
      <c r="W2" s="174" t="s">
        <v>34</v>
      </c>
      <c r="X2" s="147" t="s">
        <v>23</v>
      </c>
      <c r="Y2" s="147" t="s">
        <v>26</v>
      </c>
      <c r="Z2" s="147" t="s">
        <v>24</v>
      </c>
      <c r="AA2" s="147" t="s">
        <v>27</v>
      </c>
      <c r="AB2" s="147" t="s">
        <v>25</v>
      </c>
      <c r="AC2" s="149" t="s">
        <v>28</v>
      </c>
      <c r="AD2" s="149" t="s">
        <v>29</v>
      </c>
      <c r="AE2" s="150" t="s">
        <v>11</v>
      </c>
      <c r="AF2" s="146" t="s">
        <v>10</v>
      </c>
      <c r="AG2" s="162" t="s">
        <v>9</v>
      </c>
      <c r="AH2" s="146" t="s">
        <v>12</v>
      </c>
      <c r="AI2" s="162" t="s">
        <v>8</v>
      </c>
      <c r="AJ2" s="162" t="s">
        <v>620</v>
      </c>
      <c r="AK2" s="146" t="s">
        <v>14</v>
      </c>
      <c r="AL2" s="176" t="s">
        <v>1689</v>
      </c>
      <c r="AM2" s="451" t="s">
        <v>2317</v>
      </c>
      <c r="AN2" s="451" t="s">
        <v>2318</v>
      </c>
      <c r="AO2" s="451" t="s">
        <v>2319</v>
      </c>
      <c r="AP2" s="451" t="s">
        <v>2320</v>
      </c>
    </row>
    <row r="3" spans="1:42" s="181" customFormat="1" ht="11.25" customHeight="1">
      <c r="A3" s="17" t="s">
        <v>2131</v>
      </c>
      <c r="B3" s="2" t="s">
        <v>2094</v>
      </c>
      <c r="C3" s="2" t="s">
        <v>2095</v>
      </c>
      <c r="D3" s="34" t="s">
        <v>739</v>
      </c>
      <c r="E3" s="34" t="s">
        <v>1869</v>
      </c>
      <c r="F3" s="34"/>
      <c r="G3" s="83">
        <v>1</v>
      </c>
      <c r="H3" s="6"/>
      <c r="I3" s="6"/>
      <c r="J3" s="6"/>
      <c r="K3" s="6" t="s">
        <v>388</v>
      </c>
      <c r="L3" s="6"/>
      <c r="M3" s="6"/>
      <c r="N3" s="6"/>
      <c r="O3" s="6"/>
      <c r="P3" s="6"/>
      <c r="Q3" s="6"/>
      <c r="R3" s="6"/>
      <c r="S3" s="6"/>
      <c r="T3" s="6"/>
      <c r="U3" s="6"/>
      <c r="V3" s="6" t="s">
        <v>388</v>
      </c>
      <c r="W3" s="6"/>
      <c r="X3" s="6" t="s">
        <v>388</v>
      </c>
      <c r="Y3" s="6" t="s">
        <v>388</v>
      </c>
      <c r="Z3" s="6"/>
      <c r="AA3" s="6"/>
      <c r="AB3" s="12"/>
      <c r="AC3" s="12"/>
      <c r="AD3" s="12"/>
      <c r="AE3" s="251">
        <v>3</v>
      </c>
      <c r="AF3" s="6" t="s">
        <v>394</v>
      </c>
      <c r="AG3" s="34" t="s">
        <v>2387</v>
      </c>
      <c r="AH3" s="2"/>
      <c r="AI3" s="252"/>
      <c r="AJ3" s="34" t="s">
        <v>2096</v>
      </c>
      <c r="AK3" s="2" t="s">
        <v>2133</v>
      </c>
      <c r="AL3" s="384" t="s">
        <v>1696</v>
      </c>
      <c r="AM3" s="281"/>
      <c r="AN3" s="281"/>
      <c r="AO3" s="281"/>
      <c r="AP3" s="5" t="s">
        <v>388</v>
      </c>
    </row>
    <row r="4" spans="1:42" s="181" customFormat="1" ht="11.25" customHeight="1">
      <c r="A4" s="144" t="s">
        <v>726</v>
      </c>
      <c r="B4" s="2" t="s">
        <v>728</v>
      </c>
      <c r="C4" s="2" t="s">
        <v>727</v>
      </c>
      <c r="D4" s="34" t="s">
        <v>387</v>
      </c>
      <c r="E4" s="34" t="s">
        <v>625</v>
      </c>
      <c r="F4" s="34"/>
      <c r="G4" s="83">
        <v>1</v>
      </c>
      <c r="H4" s="6"/>
      <c r="I4" s="6"/>
      <c r="J4" s="6"/>
      <c r="K4" s="6"/>
      <c r="L4" s="6"/>
      <c r="M4" s="6" t="s">
        <v>388</v>
      </c>
      <c r="N4" s="6"/>
      <c r="O4" s="6" t="s">
        <v>388</v>
      </c>
      <c r="P4" s="6"/>
      <c r="Q4" s="6"/>
      <c r="R4" s="6"/>
      <c r="S4" s="6"/>
      <c r="T4" s="6" t="s">
        <v>388</v>
      </c>
      <c r="U4" s="6"/>
      <c r="V4" s="6"/>
      <c r="W4" s="6"/>
      <c r="X4" s="6"/>
      <c r="Y4" s="6" t="s">
        <v>388</v>
      </c>
      <c r="Z4" s="6" t="s">
        <v>388</v>
      </c>
      <c r="AA4" s="6"/>
      <c r="AB4" s="6"/>
      <c r="AC4" s="12"/>
      <c r="AD4" s="12"/>
      <c r="AE4" s="83" t="s">
        <v>648</v>
      </c>
      <c r="AF4" s="6" t="s">
        <v>394</v>
      </c>
      <c r="AG4" s="34" t="s">
        <v>729</v>
      </c>
      <c r="AH4" s="2"/>
      <c r="AI4" s="34"/>
      <c r="AJ4" s="34"/>
      <c r="AK4" s="2"/>
      <c r="AL4" s="384" t="s">
        <v>1699</v>
      </c>
      <c r="AM4" s="281"/>
      <c r="AN4" s="281"/>
      <c r="AO4" s="281"/>
      <c r="AP4" s="5" t="s">
        <v>388</v>
      </c>
    </row>
    <row r="5" spans="1:42" s="181" customFormat="1" ht="11.25" customHeight="1">
      <c r="A5" s="16" t="s">
        <v>1328</v>
      </c>
      <c r="B5" s="1" t="s">
        <v>1327</v>
      </c>
      <c r="C5" s="1" t="s">
        <v>1326</v>
      </c>
      <c r="D5" s="1" t="s">
        <v>1150</v>
      </c>
      <c r="E5" s="1" t="s">
        <v>625</v>
      </c>
      <c r="F5" s="1"/>
      <c r="G5" s="160">
        <v>1</v>
      </c>
      <c r="H5" s="6"/>
      <c r="I5" s="6"/>
      <c r="J5" s="6"/>
      <c r="K5" s="6"/>
      <c r="L5" s="6"/>
      <c r="M5" s="6"/>
      <c r="N5" s="6"/>
      <c r="O5" s="6"/>
      <c r="P5" s="6"/>
      <c r="Q5" s="6"/>
      <c r="R5" s="6"/>
      <c r="S5" s="6"/>
      <c r="T5" s="6" t="s">
        <v>388</v>
      </c>
      <c r="U5" s="6"/>
      <c r="V5" s="6"/>
      <c r="W5" s="6"/>
      <c r="X5" s="6"/>
      <c r="Y5" s="6"/>
      <c r="Z5" s="6"/>
      <c r="AA5" s="6" t="s">
        <v>388</v>
      </c>
      <c r="AB5" s="151"/>
      <c r="AC5" s="151"/>
      <c r="AD5" s="12"/>
      <c r="AE5" s="251" t="s">
        <v>648</v>
      </c>
      <c r="AF5" s="5" t="s">
        <v>389</v>
      </c>
      <c r="AG5" s="4" t="s">
        <v>1330</v>
      </c>
      <c r="AH5" s="1"/>
      <c r="AI5" s="143" t="s">
        <v>1329</v>
      </c>
      <c r="AJ5" s="4"/>
      <c r="AK5" s="1" t="s">
        <v>2144</v>
      </c>
      <c r="AL5" s="246" t="s">
        <v>1694</v>
      </c>
      <c r="AM5" s="281"/>
      <c r="AN5" s="281"/>
      <c r="AO5" s="281"/>
      <c r="AP5" s="5" t="s">
        <v>388</v>
      </c>
    </row>
    <row r="6" spans="1:42" s="181" customFormat="1" ht="11.25" customHeight="1">
      <c r="A6" s="16" t="s">
        <v>1539</v>
      </c>
      <c r="B6" s="1" t="s">
        <v>1540</v>
      </c>
      <c r="C6" s="1" t="s">
        <v>1541</v>
      </c>
      <c r="D6" s="1" t="s">
        <v>387</v>
      </c>
      <c r="E6" s="34" t="s">
        <v>625</v>
      </c>
      <c r="F6" s="1"/>
      <c r="G6" s="83">
        <v>1</v>
      </c>
      <c r="H6" s="6"/>
      <c r="I6" s="6"/>
      <c r="J6" s="6"/>
      <c r="K6" s="6"/>
      <c r="L6" s="6"/>
      <c r="M6" s="6" t="s">
        <v>388</v>
      </c>
      <c r="N6" s="6" t="s">
        <v>388</v>
      </c>
      <c r="O6" s="6"/>
      <c r="P6" s="6"/>
      <c r="Q6" s="6"/>
      <c r="R6" s="6"/>
      <c r="S6" s="6"/>
      <c r="T6" s="6"/>
      <c r="U6" s="6" t="s">
        <v>388</v>
      </c>
      <c r="V6" s="6"/>
      <c r="W6" s="6"/>
      <c r="X6" s="6"/>
      <c r="Y6" s="6"/>
      <c r="Z6" s="6"/>
      <c r="AA6" s="6"/>
      <c r="AB6" s="151"/>
      <c r="AC6" s="151"/>
      <c r="AD6" s="12" t="s">
        <v>388</v>
      </c>
      <c r="AE6" s="251" t="s">
        <v>648</v>
      </c>
      <c r="AF6" s="5" t="s">
        <v>394</v>
      </c>
      <c r="AG6" s="4" t="s">
        <v>1542</v>
      </c>
      <c r="AH6" s="1"/>
      <c r="AI6" s="143"/>
      <c r="AJ6" s="4"/>
      <c r="AK6" s="1"/>
      <c r="AL6" s="384" t="s">
        <v>476</v>
      </c>
      <c r="AM6" s="5" t="s">
        <v>388</v>
      </c>
      <c r="AN6" s="5" t="s">
        <v>388</v>
      </c>
      <c r="AO6" s="281"/>
      <c r="AP6" s="5" t="s">
        <v>388</v>
      </c>
    </row>
    <row r="7" spans="1:42" s="181" customFormat="1" ht="11.25" customHeight="1">
      <c r="A7" s="144" t="s">
        <v>1971</v>
      </c>
      <c r="B7" s="1" t="s">
        <v>530</v>
      </c>
      <c r="C7" s="1" t="s">
        <v>531</v>
      </c>
      <c r="D7" s="4" t="s">
        <v>387</v>
      </c>
      <c r="E7" s="4" t="s">
        <v>626</v>
      </c>
      <c r="F7" s="4"/>
      <c r="G7" s="83">
        <v>1</v>
      </c>
      <c r="H7" s="6"/>
      <c r="I7" s="6"/>
      <c r="J7" s="6" t="s">
        <v>388</v>
      </c>
      <c r="K7" s="6"/>
      <c r="L7" s="6"/>
      <c r="M7" s="6"/>
      <c r="N7" s="6"/>
      <c r="O7" s="6"/>
      <c r="P7" s="6"/>
      <c r="Q7" s="6"/>
      <c r="R7" s="6"/>
      <c r="S7" s="6"/>
      <c r="T7" s="6"/>
      <c r="U7" s="6"/>
      <c r="V7" s="6"/>
      <c r="W7" s="6"/>
      <c r="X7" s="6"/>
      <c r="Y7" s="6"/>
      <c r="Z7" s="6"/>
      <c r="AA7" s="6"/>
      <c r="AB7" s="6"/>
      <c r="AC7" s="12"/>
      <c r="AD7" s="12"/>
      <c r="AE7" s="83">
        <v>2</v>
      </c>
      <c r="AF7" s="5" t="s">
        <v>394</v>
      </c>
      <c r="AG7" s="34" t="s">
        <v>532</v>
      </c>
      <c r="AH7" s="2"/>
      <c r="AI7" s="34"/>
      <c r="AJ7" s="4"/>
      <c r="AK7" s="2" t="s">
        <v>2145</v>
      </c>
      <c r="AL7" s="246" t="s">
        <v>1691</v>
      </c>
      <c r="AM7" s="5" t="s">
        <v>388</v>
      </c>
      <c r="AN7" s="281"/>
      <c r="AO7" s="281"/>
      <c r="AP7" s="281"/>
    </row>
    <row r="8" spans="1:42" s="181" customFormat="1" ht="11.25" customHeight="1">
      <c r="A8" s="144" t="s">
        <v>526</v>
      </c>
      <c r="B8" s="1" t="s">
        <v>584</v>
      </c>
      <c r="C8" s="1" t="s">
        <v>585</v>
      </c>
      <c r="D8" s="4" t="s">
        <v>387</v>
      </c>
      <c r="E8" s="4" t="s">
        <v>626</v>
      </c>
      <c r="F8" s="4"/>
      <c r="G8" s="83">
        <v>1</v>
      </c>
      <c r="H8" s="6"/>
      <c r="I8" s="6"/>
      <c r="J8" s="6" t="s">
        <v>388</v>
      </c>
      <c r="K8" s="6"/>
      <c r="L8" s="6"/>
      <c r="M8" s="6"/>
      <c r="N8" s="6"/>
      <c r="O8" s="6"/>
      <c r="P8" s="6"/>
      <c r="Q8" s="6"/>
      <c r="R8" s="6"/>
      <c r="S8" s="6"/>
      <c r="T8" s="6"/>
      <c r="U8" s="6"/>
      <c r="V8" s="6"/>
      <c r="W8" s="6"/>
      <c r="X8" s="6"/>
      <c r="Y8" s="6"/>
      <c r="Z8" s="6"/>
      <c r="AA8" s="6"/>
      <c r="AB8" s="6"/>
      <c r="AC8" s="12"/>
      <c r="AD8" s="12"/>
      <c r="AE8" s="83">
        <v>2</v>
      </c>
      <c r="AF8" s="5" t="s">
        <v>394</v>
      </c>
      <c r="AG8" s="34" t="s">
        <v>1848</v>
      </c>
      <c r="AH8" s="2"/>
      <c r="AI8" s="34"/>
      <c r="AJ8" s="4"/>
      <c r="AK8" s="2"/>
      <c r="AL8" s="246" t="s">
        <v>1691</v>
      </c>
      <c r="AM8" s="5" t="s">
        <v>388</v>
      </c>
      <c r="AN8" s="281"/>
      <c r="AO8" s="281"/>
      <c r="AP8" s="281"/>
    </row>
    <row r="9" spans="1:42" s="181" customFormat="1" ht="11.25" customHeight="1">
      <c r="A9" s="144" t="s">
        <v>41</v>
      </c>
      <c r="B9" s="1" t="s">
        <v>221</v>
      </c>
      <c r="C9" s="1" t="s">
        <v>222</v>
      </c>
      <c r="D9" s="4" t="s">
        <v>387</v>
      </c>
      <c r="E9" s="4" t="s">
        <v>625</v>
      </c>
      <c r="F9" s="4"/>
      <c r="G9" s="83">
        <v>1</v>
      </c>
      <c r="H9" s="6"/>
      <c r="I9" s="6"/>
      <c r="J9" s="6"/>
      <c r="K9" s="6"/>
      <c r="L9" s="6"/>
      <c r="M9" s="6"/>
      <c r="N9" s="6"/>
      <c r="O9" s="6"/>
      <c r="P9" s="6"/>
      <c r="Q9" s="6"/>
      <c r="R9" s="6"/>
      <c r="S9" s="6"/>
      <c r="T9" s="6" t="s">
        <v>388</v>
      </c>
      <c r="U9" s="6"/>
      <c r="V9" s="6"/>
      <c r="W9" s="6"/>
      <c r="X9" s="6"/>
      <c r="Y9" s="6" t="s">
        <v>388</v>
      </c>
      <c r="Z9" s="6" t="s">
        <v>388</v>
      </c>
      <c r="AA9" s="6" t="s">
        <v>388</v>
      </c>
      <c r="AB9" s="6" t="s">
        <v>388</v>
      </c>
      <c r="AC9" s="12"/>
      <c r="AD9" s="12" t="s">
        <v>388</v>
      </c>
      <c r="AE9" s="83">
        <v>3</v>
      </c>
      <c r="AF9" s="5" t="s">
        <v>389</v>
      </c>
      <c r="AG9" s="34" t="s">
        <v>1940</v>
      </c>
      <c r="AH9" s="1"/>
      <c r="AI9" s="4"/>
      <c r="AJ9" s="4"/>
      <c r="AK9" s="2"/>
      <c r="AL9" s="178" t="s">
        <v>1690</v>
      </c>
      <c r="AM9" s="5" t="s">
        <v>388</v>
      </c>
      <c r="AN9" s="281"/>
      <c r="AO9" s="281"/>
      <c r="AP9" s="5" t="s">
        <v>388</v>
      </c>
    </row>
    <row r="10" spans="1:42" s="181" customFormat="1" ht="11.25" customHeight="1">
      <c r="A10" s="144" t="s">
        <v>1853</v>
      </c>
      <c r="B10" s="2" t="s">
        <v>211</v>
      </c>
      <c r="C10" s="2" t="s">
        <v>212</v>
      </c>
      <c r="D10" s="34" t="s">
        <v>387</v>
      </c>
      <c r="E10" s="34" t="s">
        <v>625</v>
      </c>
      <c r="F10" s="34"/>
      <c r="G10" s="83">
        <v>1</v>
      </c>
      <c r="H10" s="6"/>
      <c r="I10" s="6"/>
      <c r="J10" s="6"/>
      <c r="K10" s="6"/>
      <c r="L10" s="6"/>
      <c r="M10" s="6"/>
      <c r="N10" s="6"/>
      <c r="O10" s="6"/>
      <c r="P10" s="6"/>
      <c r="Q10" s="6"/>
      <c r="R10" s="6"/>
      <c r="S10" s="6"/>
      <c r="T10" s="6"/>
      <c r="U10" s="6"/>
      <c r="V10" s="6"/>
      <c r="W10" s="6"/>
      <c r="X10" s="6"/>
      <c r="Y10" s="6"/>
      <c r="Z10" s="6"/>
      <c r="AA10" s="6" t="s">
        <v>388</v>
      </c>
      <c r="AB10" s="6" t="s">
        <v>388</v>
      </c>
      <c r="AC10" s="12"/>
      <c r="AD10" s="12"/>
      <c r="AE10" s="83">
        <v>3</v>
      </c>
      <c r="AF10" s="6" t="s">
        <v>394</v>
      </c>
      <c r="AG10" s="34" t="s">
        <v>1852</v>
      </c>
      <c r="AH10" s="2"/>
      <c r="AI10" s="34"/>
      <c r="AJ10" s="34"/>
      <c r="AK10" s="2"/>
      <c r="AL10" s="178" t="s">
        <v>1690</v>
      </c>
      <c r="AM10" s="281"/>
      <c r="AN10" s="281"/>
      <c r="AO10" s="281"/>
      <c r="AP10" s="5" t="s">
        <v>388</v>
      </c>
    </row>
    <row r="11" spans="1:42" s="181" customFormat="1" ht="11.25" customHeight="1">
      <c r="A11" s="144" t="s">
        <v>827</v>
      </c>
      <c r="B11" s="2" t="s">
        <v>828</v>
      </c>
      <c r="C11" s="2" t="s">
        <v>829</v>
      </c>
      <c r="D11" s="34" t="s">
        <v>739</v>
      </c>
      <c r="E11" s="34" t="s">
        <v>625</v>
      </c>
      <c r="F11" s="34"/>
      <c r="G11" s="83">
        <v>1</v>
      </c>
      <c r="H11" s="6"/>
      <c r="I11" s="6"/>
      <c r="J11" s="6"/>
      <c r="K11" s="6"/>
      <c r="L11" s="6"/>
      <c r="M11" s="6"/>
      <c r="N11" s="6" t="s">
        <v>388</v>
      </c>
      <c r="O11" s="6"/>
      <c r="P11" s="6"/>
      <c r="Q11" s="6"/>
      <c r="R11" s="6"/>
      <c r="S11" s="6"/>
      <c r="T11" s="6"/>
      <c r="U11" s="6" t="s">
        <v>388</v>
      </c>
      <c r="V11" s="6"/>
      <c r="W11" s="6"/>
      <c r="X11" s="6"/>
      <c r="Y11" s="6"/>
      <c r="Z11" s="6"/>
      <c r="AA11" s="6"/>
      <c r="AB11" s="6"/>
      <c r="AC11" s="12"/>
      <c r="AD11" s="12" t="s">
        <v>388</v>
      </c>
      <c r="AE11" s="83" t="s">
        <v>648</v>
      </c>
      <c r="AF11" s="6" t="s">
        <v>394</v>
      </c>
      <c r="AG11" s="34" t="s">
        <v>830</v>
      </c>
      <c r="AH11" s="2"/>
      <c r="AI11" s="34"/>
      <c r="AJ11" s="34" t="s">
        <v>832</v>
      </c>
      <c r="AK11" s="2"/>
      <c r="AL11" s="178" t="s">
        <v>476</v>
      </c>
      <c r="AM11" s="281"/>
      <c r="AN11" s="5" t="s">
        <v>388</v>
      </c>
      <c r="AO11" s="281"/>
      <c r="AP11" s="281"/>
    </row>
    <row r="12" spans="1:42" s="181" customFormat="1" ht="11.25" customHeight="1">
      <c r="A12" s="144" t="s">
        <v>1671</v>
      </c>
      <c r="B12" s="2" t="s">
        <v>492</v>
      </c>
      <c r="C12" s="2" t="s">
        <v>2388</v>
      </c>
      <c r="D12" s="34" t="s">
        <v>387</v>
      </c>
      <c r="E12" s="34" t="s">
        <v>626</v>
      </c>
      <c r="F12" s="4"/>
      <c r="G12" s="83">
        <v>1</v>
      </c>
      <c r="H12" s="6"/>
      <c r="I12" s="6" t="s">
        <v>388</v>
      </c>
      <c r="J12" s="6"/>
      <c r="K12" s="6"/>
      <c r="L12" s="6"/>
      <c r="M12" s="6"/>
      <c r="N12" s="6"/>
      <c r="O12" s="6"/>
      <c r="P12" s="6"/>
      <c r="Q12" s="6"/>
      <c r="R12" s="6"/>
      <c r="S12" s="6"/>
      <c r="T12" s="6"/>
      <c r="U12" s="6"/>
      <c r="V12" s="6"/>
      <c r="W12" s="6"/>
      <c r="X12" s="6"/>
      <c r="Y12" s="6"/>
      <c r="Z12" s="6"/>
      <c r="AA12" s="6"/>
      <c r="AB12" s="6"/>
      <c r="AC12" s="12"/>
      <c r="AD12" s="12"/>
      <c r="AE12" s="83">
        <v>4</v>
      </c>
      <c r="AF12" s="5" t="s">
        <v>394</v>
      </c>
      <c r="AG12" s="34" t="s">
        <v>484</v>
      </c>
      <c r="AH12" s="2"/>
      <c r="AI12" s="4"/>
      <c r="AJ12" s="4"/>
      <c r="AK12" s="2"/>
      <c r="AL12" s="179" t="s">
        <v>1691</v>
      </c>
      <c r="AM12" s="281"/>
      <c r="AN12" s="281"/>
      <c r="AO12" s="281"/>
      <c r="AP12" s="281"/>
    </row>
    <row r="13" spans="1:42" s="181" customFormat="1" ht="11.25" customHeight="1">
      <c r="A13" s="144" t="s">
        <v>1671</v>
      </c>
      <c r="B13" s="2" t="s">
        <v>482</v>
      </c>
      <c r="C13" s="2" t="s">
        <v>483</v>
      </c>
      <c r="D13" s="34" t="s">
        <v>387</v>
      </c>
      <c r="E13" s="34" t="s">
        <v>626</v>
      </c>
      <c r="F13" s="4"/>
      <c r="G13" s="83">
        <v>1</v>
      </c>
      <c r="H13" s="6"/>
      <c r="I13" s="6"/>
      <c r="J13" s="6" t="s">
        <v>388</v>
      </c>
      <c r="K13" s="6"/>
      <c r="L13" s="6"/>
      <c r="M13" s="6"/>
      <c r="N13" s="6"/>
      <c r="O13" s="6"/>
      <c r="P13" s="6"/>
      <c r="Q13" s="6"/>
      <c r="R13" s="6"/>
      <c r="S13" s="6"/>
      <c r="T13" s="6"/>
      <c r="U13" s="6"/>
      <c r="V13" s="6"/>
      <c r="W13" s="6"/>
      <c r="X13" s="6"/>
      <c r="Y13" s="6"/>
      <c r="Z13" s="6"/>
      <c r="AA13" s="6"/>
      <c r="AB13" s="6"/>
      <c r="AC13" s="12"/>
      <c r="AD13" s="12" t="s">
        <v>388</v>
      </c>
      <c r="AE13" s="83">
        <v>4</v>
      </c>
      <c r="AF13" s="5" t="s">
        <v>394</v>
      </c>
      <c r="AG13" s="4" t="s">
        <v>484</v>
      </c>
      <c r="AH13" s="2"/>
      <c r="AI13" s="4"/>
      <c r="AJ13" s="4"/>
      <c r="AK13" s="2"/>
      <c r="AL13" s="179" t="s">
        <v>1691</v>
      </c>
      <c r="AM13" s="5" t="s">
        <v>388</v>
      </c>
      <c r="AN13" s="281"/>
      <c r="AO13" s="281"/>
      <c r="AP13" s="281"/>
    </row>
    <row r="14" spans="1:42" s="181" customFormat="1" ht="11.25" customHeight="1">
      <c r="A14" s="144" t="s">
        <v>749</v>
      </c>
      <c r="B14" s="2" t="s">
        <v>747</v>
      </c>
      <c r="C14" s="2" t="s">
        <v>748</v>
      </c>
      <c r="D14" s="2" t="s">
        <v>739</v>
      </c>
      <c r="E14" s="34" t="s">
        <v>625</v>
      </c>
      <c r="F14" s="34"/>
      <c r="G14" s="83">
        <v>1</v>
      </c>
      <c r="H14" s="6"/>
      <c r="I14" s="6"/>
      <c r="J14" s="6"/>
      <c r="K14" s="6"/>
      <c r="L14" s="6"/>
      <c r="M14" s="6"/>
      <c r="N14" s="6" t="s">
        <v>388</v>
      </c>
      <c r="O14" s="6"/>
      <c r="P14" s="6"/>
      <c r="Q14" s="6"/>
      <c r="R14" s="6"/>
      <c r="S14" s="6"/>
      <c r="T14" s="6"/>
      <c r="U14" s="6"/>
      <c r="V14" s="6"/>
      <c r="W14" s="6"/>
      <c r="X14" s="6"/>
      <c r="Y14" s="6"/>
      <c r="Z14" s="6"/>
      <c r="AA14" s="6"/>
      <c r="AB14" s="6"/>
      <c r="AC14" s="12" t="s">
        <v>388</v>
      </c>
      <c r="AD14" s="12"/>
      <c r="AE14" s="83">
        <v>3</v>
      </c>
      <c r="AF14" s="6" t="s">
        <v>394</v>
      </c>
      <c r="AG14" s="34" t="s">
        <v>750</v>
      </c>
      <c r="AH14" s="2"/>
      <c r="AI14" s="34"/>
      <c r="AJ14" s="34"/>
      <c r="AK14" s="2"/>
      <c r="AL14" s="178" t="s">
        <v>476</v>
      </c>
      <c r="AM14" s="5" t="s">
        <v>388</v>
      </c>
      <c r="AN14" s="5"/>
      <c r="AO14" s="281"/>
      <c r="AP14" s="281"/>
    </row>
    <row r="15" spans="1:42" s="181" customFormat="1" ht="11.25" customHeight="1">
      <c r="A15" s="144" t="s">
        <v>46</v>
      </c>
      <c r="B15" s="1" t="s">
        <v>49</v>
      </c>
      <c r="C15" s="1" t="s">
        <v>50</v>
      </c>
      <c r="D15" s="4" t="s">
        <v>387</v>
      </c>
      <c r="E15" s="4" t="s">
        <v>624</v>
      </c>
      <c r="F15" s="4" t="s">
        <v>625</v>
      </c>
      <c r="G15" s="83">
        <v>1</v>
      </c>
      <c r="H15" s="6"/>
      <c r="I15" s="6"/>
      <c r="J15" s="6"/>
      <c r="K15" s="6" t="s">
        <v>388</v>
      </c>
      <c r="L15" s="6"/>
      <c r="M15" s="6"/>
      <c r="N15" s="6"/>
      <c r="O15" s="6" t="s">
        <v>388</v>
      </c>
      <c r="P15" s="6"/>
      <c r="Q15" s="6"/>
      <c r="R15" s="6"/>
      <c r="S15" s="6"/>
      <c r="T15" s="6" t="s">
        <v>388</v>
      </c>
      <c r="U15" s="6"/>
      <c r="V15" s="6" t="s">
        <v>388</v>
      </c>
      <c r="W15" s="6" t="s">
        <v>388</v>
      </c>
      <c r="X15" s="6"/>
      <c r="Y15" s="6"/>
      <c r="Z15" s="6" t="s">
        <v>388</v>
      </c>
      <c r="AA15" s="6"/>
      <c r="AB15" s="6"/>
      <c r="AC15" s="12"/>
      <c r="AD15" s="12"/>
      <c r="AE15" s="83">
        <v>4</v>
      </c>
      <c r="AF15" s="5" t="s">
        <v>394</v>
      </c>
      <c r="AG15" s="34" t="s">
        <v>1939</v>
      </c>
      <c r="AH15" s="1"/>
      <c r="AI15" s="4" t="s">
        <v>51</v>
      </c>
      <c r="AJ15" s="4"/>
      <c r="AK15" s="2"/>
      <c r="AL15" s="178" t="s">
        <v>1690</v>
      </c>
      <c r="AM15" s="5" t="s">
        <v>388</v>
      </c>
      <c r="AN15" s="281"/>
      <c r="AO15" s="281"/>
      <c r="AP15" s="5" t="s">
        <v>388</v>
      </c>
    </row>
    <row r="16" spans="1:42" s="181" customFormat="1" ht="11.25" customHeight="1">
      <c r="A16" s="144" t="s">
        <v>46</v>
      </c>
      <c r="B16" s="2" t="s">
        <v>47</v>
      </c>
      <c r="C16" s="2" t="s">
        <v>48</v>
      </c>
      <c r="D16" s="34" t="s">
        <v>387</v>
      </c>
      <c r="E16" s="34" t="s">
        <v>624</v>
      </c>
      <c r="F16" s="34" t="s">
        <v>625</v>
      </c>
      <c r="G16" s="83">
        <v>1</v>
      </c>
      <c r="H16" s="6"/>
      <c r="I16" s="6"/>
      <c r="J16" s="6"/>
      <c r="K16" s="6" t="s">
        <v>388</v>
      </c>
      <c r="L16" s="6"/>
      <c r="M16" s="6" t="s">
        <v>388</v>
      </c>
      <c r="N16" s="6"/>
      <c r="O16" s="6"/>
      <c r="P16" s="6"/>
      <c r="Q16" s="6"/>
      <c r="R16" s="6"/>
      <c r="S16" s="6"/>
      <c r="T16" s="6" t="s">
        <v>388</v>
      </c>
      <c r="U16" s="6"/>
      <c r="V16" s="6" t="s">
        <v>388</v>
      </c>
      <c r="W16" s="6" t="s">
        <v>388</v>
      </c>
      <c r="X16" s="6" t="s">
        <v>388</v>
      </c>
      <c r="Y16" s="6" t="s">
        <v>388</v>
      </c>
      <c r="Z16" s="6" t="s">
        <v>388</v>
      </c>
      <c r="AA16" s="6" t="s">
        <v>388</v>
      </c>
      <c r="AB16" s="6"/>
      <c r="AC16" s="12" t="s">
        <v>388</v>
      </c>
      <c r="AD16" s="12" t="s">
        <v>388</v>
      </c>
      <c r="AE16" s="83">
        <v>3</v>
      </c>
      <c r="AF16" s="6" t="s">
        <v>394</v>
      </c>
      <c r="AG16" s="34"/>
      <c r="AH16" s="2"/>
      <c r="AI16" s="34"/>
      <c r="AJ16" s="34"/>
      <c r="AK16" s="2"/>
      <c r="AL16" s="178" t="s">
        <v>1690</v>
      </c>
      <c r="AM16" s="281"/>
      <c r="AN16" s="281"/>
      <c r="AO16" s="281"/>
      <c r="AP16" s="5" t="s">
        <v>388</v>
      </c>
    </row>
    <row r="17" spans="1:42" s="181" customFormat="1" ht="11.25" customHeight="1">
      <c r="A17" s="144" t="s">
        <v>229</v>
      </c>
      <c r="B17" s="1" t="s">
        <v>230</v>
      </c>
      <c r="C17" s="2" t="s">
        <v>231</v>
      </c>
      <c r="D17" s="34" t="s">
        <v>387</v>
      </c>
      <c r="E17" s="34" t="s">
        <v>625</v>
      </c>
      <c r="F17" s="34"/>
      <c r="G17" s="83">
        <v>1</v>
      </c>
      <c r="H17" s="6"/>
      <c r="I17" s="6"/>
      <c r="J17" s="6"/>
      <c r="K17" s="6" t="s">
        <v>388</v>
      </c>
      <c r="L17" s="6"/>
      <c r="M17" s="6" t="s">
        <v>388</v>
      </c>
      <c r="N17" s="6"/>
      <c r="O17" s="6"/>
      <c r="P17" s="6"/>
      <c r="Q17" s="6"/>
      <c r="R17" s="6"/>
      <c r="S17" s="6"/>
      <c r="T17" s="6" t="s">
        <v>388</v>
      </c>
      <c r="U17" s="6"/>
      <c r="V17" s="6" t="s">
        <v>388</v>
      </c>
      <c r="W17" s="6" t="s">
        <v>388</v>
      </c>
      <c r="X17" s="6"/>
      <c r="Y17" s="6"/>
      <c r="Z17" s="6" t="s">
        <v>388</v>
      </c>
      <c r="AA17" s="6"/>
      <c r="AB17" s="6"/>
      <c r="AC17" s="12"/>
      <c r="AD17" s="12"/>
      <c r="AE17" s="83">
        <v>1</v>
      </c>
      <c r="AF17" s="5" t="s">
        <v>389</v>
      </c>
      <c r="AG17" s="34" t="s">
        <v>1938</v>
      </c>
      <c r="AH17" s="1"/>
      <c r="AI17" s="4"/>
      <c r="AJ17" s="4"/>
      <c r="AK17" s="2"/>
      <c r="AL17" s="178" t="s">
        <v>1690</v>
      </c>
      <c r="AM17" s="281"/>
      <c r="AN17" s="281"/>
      <c r="AO17" s="5" t="s">
        <v>388</v>
      </c>
      <c r="AP17" s="5" t="s">
        <v>388</v>
      </c>
    </row>
    <row r="18" spans="1:42" s="181" customFormat="1" ht="11.25" customHeight="1">
      <c r="A18" s="16" t="s">
        <v>1064</v>
      </c>
      <c r="B18" s="1" t="s">
        <v>1063</v>
      </c>
      <c r="C18" s="1" t="s">
        <v>1066</v>
      </c>
      <c r="D18" s="1" t="s">
        <v>739</v>
      </c>
      <c r="E18" s="1" t="s">
        <v>625</v>
      </c>
      <c r="F18" s="1"/>
      <c r="G18" s="83">
        <v>1</v>
      </c>
      <c r="H18" s="6"/>
      <c r="I18" s="6"/>
      <c r="J18" s="6"/>
      <c r="K18" s="6" t="s">
        <v>388</v>
      </c>
      <c r="L18" s="6"/>
      <c r="M18" s="6"/>
      <c r="N18" s="6"/>
      <c r="O18" s="6"/>
      <c r="P18" s="6" t="s">
        <v>388</v>
      </c>
      <c r="Q18" s="6"/>
      <c r="R18" s="6"/>
      <c r="S18" s="6"/>
      <c r="T18" s="6" t="s">
        <v>388</v>
      </c>
      <c r="U18" s="6" t="s">
        <v>388</v>
      </c>
      <c r="V18" s="6"/>
      <c r="W18" s="6" t="s">
        <v>388</v>
      </c>
      <c r="X18" s="6" t="s">
        <v>388</v>
      </c>
      <c r="Y18" s="6"/>
      <c r="Z18" s="6" t="s">
        <v>388</v>
      </c>
      <c r="AA18" s="6" t="s">
        <v>388</v>
      </c>
      <c r="AB18" s="151"/>
      <c r="AC18" s="151"/>
      <c r="AD18" s="12"/>
      <c r="AE18" s="83">
        <v>3</v>
      </c>
      <c r="AF18" s="5" t="s">
        <v>389</v>
      </c>
      <c r="AG18" s="34" t="s">
        <v>1065</v>
      </c>
      <c r="AH18" s="1"/>
      <c r="AI18" s="143"/>
      <c r="AJ18" s="4"/>
      <c r="AK18" s="1"/>
      <c r="AL18" s="178" t="s">
        <v>1696</v>
      </c>
      <c r="AM18" s="281"/>
      <c r="AN18" s="281"/>
      <c r="AO18" s="281"/>
      <c r="AP18" s="5" t="s">
        <v>388</v>
      </c>
    </row>
    <row r="19" spans="1:42" s="181" customFormat="1" ht="11.25" customHeight="1">
      <c r="A19" s="144" t="s">
        <v>52</v>
      </c>
      <c r="B19" s="2" t="s">
        <v>53</v>
      </c>
      <c r="C19" s="2" t="s">
        <v>54</v>
      </c>
      <c r="D19" s="34" t="s">
        <v>387</v>
      </c>
      <c r="E19" s="34" t="s">
        <v>624</v>
      </c>
      <c r="F19" s="34" t="s">
        <v>625</v>
      </c>
      <c r="G19" s="83">
        <v>1</v>
      </c>
      <c r="H19" s="6"/>
      <c r="I19" s="6"/>
      <c r="J19" s="6"/>
      <c r="K19" s="6"/>
      <c r="L19" s="6"/>
      <c r="M19" s="6"/>
      <c r="N19" s="6"/>
      <c r="O19" s="6"/>
      <c r="P19" s="6"/>
      <c r="Q19" s="6"/>
      <c r="R19" s="6"/>
      <c r="S19" s="6"/>
      <c r="T19" s="6" t="s">
        <v>388</v>
      </c>
      <c r="U19" s="6"/>
      <c r="V19" s="6"/>
      <c r="W19" s="6"/>
      <c r="X19" s="6"/>
      <c r="Y19" s="6" t="s">
        <v>388</v>
      </c>
      <c r="Z19" s="6"/>
      <c r="AA19" s="6" t="s">
        <v>388</v>
      </c>
      <c r="AB19" s="6" t="s">
        <v>388</v>
      </c>
      <c r="AC19" s="12"/>
      <c r="AD19" s="12" t="s">
        <v>388</v>
      </c>
      <c r="AE19" s="83">
        <v>4</v>
      </c>
      <c r="AF19" s="5" t="s">
        <v>394</v>
      </c>
      <c r="AG19" s="34" t="s">
        <v>1935</v>
      </c>
      <c r="AH19" s="1"/>
      <c r="AI19" s="4"/>
      <c r="AJ19" s="4"/>
      <c r="AK19" s="2"/>
      <c r="AL19" s="178" t="s">
        <v>1690</v>
      </c>
      <c r="AM19" s="281"/>
      <c r="AN19" s="281"/>
      <c r="AO19" s="5" t="s">
        <v>388</v>
      </c>
      <c r="AP19" s="5" t="s">
        <v>388</v>
      </c>
    </row>
    <row r="20" spans="1:42" s="181" customFormat="1" ht="11.25" customHeight="1">
      <c r="A20" s="144" t="s">
        <v>52</v>
      </c>
      <c r="B20" s="1" t="s">
        <v>55</v>
      </c>
      <c r="C20" s="2" t="s">
        <v>56</v>
      </c>
      <c r="D20" s="34" t="s">
        <v>387</v>
      </c>
      <c r="E20" s="34" t="s">
        <v>624</v>
      </c>
      <c r="F20" s="34" t="s">
        <v>625</v>
      </c>
      <c r="G20" s="83">
        <v>1</v>
      </c>
      <c r="H20" s="6"/>
      <c r="I20" s="6"/>
      <c r="J20" s="6"/>
      <c r="K20" s="6"/>
      <c r="L20" s="6"/>
      <c r="M20" s="6"/>
      <c r="N20" s="6"/>
      <c r="O20" s="6"/>
      <c r="P20" s="6"/>
      <c r="Q20" s="6"/>
      <c r="R20" s="6"/>
      <c r="S20" s="6"/>
      <c r="T20" s="6" t="s">
        <v>388</v>
      </c>
      <c r="U20" s="6"/>
      <c r="V20" s="6"/>
      <c r="W20" s="6"/>
      <c r="X20" s="6"/>
      <c r="Y20" s="6" t="s">
        <v>388</v>
      </c>
      <c r="Z20" s="6"/>
      <c r="AA20" s="6" t="s">
        <v>388</v>
      </c>
      <c r="AB20" s="6" t="s">
        <v>388</v>
      </c>
      <c r="AC20" s="12" t="s">
        <v>388</v>
      </c>
      <c r="AD20" s="12" t="s">
        <v>388</v>
      </c>
      <c r="AE20" s="83">
        <v>4</v>
      </c>
      <c r="AF20" s="5" t="s">
        <v>394</v>
      </c>
      <c r="AG20" s="34" t="s">
        <v>1937</v>
      </c>
      <c r="AH20" s="1"/>
      <c r="AI20" s="4"/>
      <c r="AJ20" s="4"/>
      <c r="AK20" s="2"/>
      <c r="AL20" s="178" t="s">
        <v>1690</v>
      </c>
      <c r="AM20" s="5" t="s">
        <v>388</v>
      </c>
      <c r="AN20" s="281"/>
      <c r="AO20" s="281"/>
      <c r="AP20" s="5" t="s">
        <v>388</v>
      </c>
    </row>
    <row r="21" spans="1:42" s="181" customFormat="1" ht="11.25" customHeight="1">
      <c r="A21" s="144" t="s">
        <v>52</v>
      </c>
      <c r="B21" s="1" t="s">
        <v>232</v>
      </c>
      <c r="C21" s="1" t="s">
        <v>233</v>
      </c>
      <c r="D21" s="4" t="s">
        <v>1150</v>
      </c>
      <c r="E21" s="4" t="s">
        <v>625</v>
      </c>
      <c r="F21" s="4"/>
      <c r="G21" s="83">
        <v>1</v>
      </c>
      <c r="H21" s="6"/>
      <c r="I21" s="6"/>
      <c r="J21" s="6"/>
      <c r="K21" s="6"/>
      <c r="L21" s="6"/>
      <c r="M21" s="6"/>
      <c r="N21" s="6"/>
      <c r="O21" s="6"/>
      <c r="P21" s="6"/>
      <c r="Q21" s="6"/>
      <c r="R21" s="6"/>
      <c r="S21" s="6"/>
      <c r="T21" s="6" t="s">
        <v>388</v>
      </c>
      <c r="U21" s="6"/>
      <c r="V21" s="6"/>
      <c r="W21" s="6"/>
      <c r="X21" s="6"/>
      <c r="Y21" s="6"/>
      <c r="Z21" s="6"/>
      <c r="AA21" s="6" t="s">
        <v>388</v>
      </c>
      <c r="AB21" s="6" t="s">
        <v>388</v>
      </c>
      <c r="AC21" s="12" t="s">
        <v>388</v>
      </c>
      <c r="AD21" s="12"/>
      <c r="AE21" s="83">
        <v>3</v>
      </c>
      <c r="AF21" s="5" t="s">
        <v>389</v>
      </c>
      <c r="AG21" s="34" t="s">
        <v>1936</v>
      </c>
      <c r="AH21" s="1"/>
      <c r="AI21" s="4" t="s">
        <v>1149</v>
      </c>
      <c r="AJ21" s="4"/>
      <c r="AK21" s="2"/>
      <c r="AL21" s="178" t="s">
        <v>1690</v>
      </c>
      <c r="AM21" s="281"/>
      <c r="AN21" s="281"/>
      <c r="AO21" s="281"/>
      <c r="AP21" s="5" t="s">
        <v>388</v>
      </c>
    </row>
    <row r="22" spans="1:42" s="181" customFormat="1" ht="11.25" customHeight="1">
      <c r="A22" s="144" t="s">
        <v>753</v>
      </c>
      <c r="B22" s="2" t="s">
        <v>1660</v>
      </c>
      <c r="C22" s="2" t="s">
        <v>751</v>
      </c>
      <c r="D22" s="2" t="s">
        <v>739</v>
      </c>
      <c r="E22" s="34" t="s">
        <v>625</v>
      </c>
      <c r="F22" s="34"/>
      <c r="G22" s="83">
        <v>1</v>
      </c>
      <c r="H22" s="6"/>
      <c r="I22" s="6"/>
      <c r="J22" s="6"/>
      <c r="K22" s="6"/>
      <c r="L22" s="6"/>
      <c r="M22" s="6"/>
      <c r="N22" s="6" t="s">
        <v>388</v>
      </c>
      <c r="O22" s="6"/>
      <c r="P22" s="6"/>
      <c r="Q22" s="6"/>
      <c r="R22" s="6"/>
      <c r="S22" s="6"/>
      <c r="T22" s="6"/>
      <c r="U22" s="6"/>
      <c r="V22" s="6"/>
      <c r="W22" s="6"/>
      <c r="X22" s="6"/>
      <c r="Y22" s="6"/>
      <c r="Z22" s="6"/>
      <c r="AA22" s="6"/>
      <c r="AB22" s="6"/>
      <c r="AC22" s="12" t="s">
        <v>388</v>
      </c>
      <c r="AD22" s="12"/>
      <c r="AE22" s="83">
        <v>3</v>
      </c>
      <c r="AF22" s="6" t="s">
        <v>641</v>
      </c>
      <c r="AG22" s="34" t="s">
        <v>754</v>
      </c>
      <c r="AH22" s="2"/>
      <c r="AI22" s="34"/>
      <c r="AJ22" s="34"/>
      <c r="AK22" s="2"/>
      <c r="AL22" s="178" t="s">
        <v>476</v>
      </c>
      <c r="AM22" s="5" t="s">
        <v>388</v>
      </c>
      <c r="AN22" s="281"/>
      <c r="AO22" s="281"/>
      <c r="AP22" s="281"/>
    </row>
    <row r="23" spans="1:42" s="181" customFormat="1" ht="11.25" customHeight="1">
      <c r="A23" s="16" t="s">
        <v>1859</v>
      </c>
      <c r="B23" s="1" t="s">
        <v>1519</v>
      </c>
      <c r="C23" s="1" t="s">
        <v>1520</v>
      </c>
      <c r="D23" s="1" t="s">
        <v>387</v>
      </c>
      <c r="E23" s="34" t="s">
        <v>625</v>
      </c>
      <c r="F23" s="1"/>
      <c r="G23" s="83">
        <v>1</v>
      </c>
      <c r="H23" s="6"/>
      <c r="I23" s="6" t="s">
        <v>388</v>
      </c>
      <c r="J23" s="6"/>
      <c r="K23" s="6"/>
      <c r="L23" s="6"/>
      <c r="M23" s="6"/>
      <c r="N23" s="6"/>
      <c r="O23" s="6"/>
      <c r="P23" s="6"/>
      <c r="Q23" s="6" t="s">
        <v>388</v>
      </c>
      <c r="R23" s="6"/>
      <c r="S23" s="6"/>
      <c r="T23" s="6"/>
      <c r="U23" s="6"/>
      <c r="V23" s="6"/>
      <c r="W23" s="6"/>
      <c r="X23" s="6"/>
      <c r="Y23" s="6"/>
      <c r="Z23" s="6"/>
      <c r="AA23" s="6"/>
      <c r="AB23" s="151"/>
      <c r="AC23" s="151"/>
      <c r="AD23" s="12" t="s">
        <v>388</v>
      </c>
      <c r="AE23" s="251" t="s">
        <v>648</v>
      </c>
      <c r="AF23" s="5" t="s">
        <v>389</v>
      </c>
      <c r="AG23" s="4" t="s">
        <v>1521</v>
      </c>
      <c r="AH23" s="1"/>
      <c r="AI23" s="143"/>
      <c r="AJ23" s="4"/>
      <c r="AK23" s="1" t="s">
        <v>2134</v>
      </c>
      <c r="AL23" s="178" t="s">
        <v>476</v>
      </c>
      <c r="AM23" s="281"/>
      <c r="AN23" s="281"/>
      <c r="AO23" s="281"/>
      <c r="AP23" s="281"/>
    </row>
    <row r="24" spans="1:42" s="181" customFormat="1" ht="11.25" customHeight="1">
      <c r="A24" s="17" t="s">
        <v>2081</v>
      </c>
      <c r="B24" s="2" t="s">
        <v>2082</v>
      </c>
      <c r="C24" s="2" t="s">
        <v>2080</v>
      </c>
      <c r="D24" s="34" t="s">
        <v>387</v>
      </c>
      <c r="E24" s="34" t="s">
        <v>1869</v>
      </c>
      <c r="F24" s="34"/>
      <c r="G24" s="83">
        <v>1</v>
      </c>
      <c r="H24" s="6"/>
      <c r="I24" s="6"/>
      <c r="J24" s="6"/>
      <c r="K24" s="6"/>
      <c r="L24" s="6"/>
      <c r="M24" s="6"/>
      <c r="N24" s="6"/>
      <c r="O24" s="6"/>
      <c r="P24" s="6" t="s">
        <v>388</v>
      </c>
      <c r="Q24" s="6"/>
      <c r="R24" s="6"/>
      <c r="S24" s="6"/>
      <c r="T24" s="6"/>
      <c r="U24" s="6"/>
      <c r="V24" s="6"/>
      <c r="W24" s="6"/>
      <c r="X24" s="6"/>
      <c r="Y24" s="6"/>
      <c r="Z24" s="6"/>
      <c r="AA24" s="6"/>
      <c r="AB24" s="12"/>
      <c r="AC24" s="12"/>
      <c r="AD24" s="12"/>
      <c r="AE24" s="251"/>
      <c r="AF24" s="6" t="s">
        <v>394</v>
      </c>
      <c r="AG24" s="34" t="s">
        <v>2083</v>
      </c>
      <c r="AH24" s="2"/>
      <c r="AI24" s="252"/>
      <c r="AJ24" s="34"/>
      <c r="AK24" s="2" t="s">
        <v>2129</v>
      </c>
      <c r="AL24" s="178" t="s">
        <v>1691</v>
      </c>
      <c r="AM24" s="281"/>
      <c r="AN24" s="281"/>
      <c r="AO24" s="281"/>
      <c r="AP24" s="281"/>
    </row>
    <row r="25" spans="1:42" s="181" customFormat="1" ht="11.25" customHeight="1">
      <c r="A25" s="16" t="s">
        <v>1401</v>
      </c>
      <c r="B25" s="2" t="s">
        <v>1402</v>
      </c>
      <c r="C25" s="1" t="s">
        <v>1400</v>
      </c>
      <c r="D25" s="4" t="s">
        <v>739</v>
      </c>
      <c r="E25" s="1" t="s">
        <v>625</v>
      </c>
      <c r="F25" s="4"/>
      <c r="G25" s="83">
        <v>1</v>
      </c>
      <c r="H25" s="6"/>
      <c r="I25" s="6"/>
      <c r="J25" s="6"/>
      <c r="K25" s="6"/>
      <c r="L25" s="6"/>
      <c r="M25" s="6"/>
      <c r="N25" s="6"/>
      <c r="O25" s="6"/>
      <c r="P25" s="6"/>
      <c r="Q25" s="6"/>
      <c r="R25" s="6"/>
      <c r="S25" s="6"/>
      <c r="T25" s="6" t="s">
        <v>388</v>
      </c>
      <c r="U25" s="6"/>
      <c r="V25" s="6"/>
      <c r="W25" s="6"/>
      <c r="X25" s="6"/>
      <c r="Y25" s="6"/>
      <c r="Z25" s="6"/>
      <c r="AA25" s="6" t="s">
        <v>388</v>
      </c>
      <c r="AB25" s="6"/>
      <c r="AC25" s="12"/>
      <c r="AD25" s="12"/>
      <c r="AE25" s="83" t="s">
        <v>648</v>
      </c>
      <c r="AF25" s="5" t="s">
        <v>394</v>
      </c>
      <c r="AG25" s="34" t="s">
        <v>1403</v>
      </c>
      <c r="AH25" s="1"/>
      <c r="AI25" s="4"/>
      <c r="AJ25" s="4" t="s">
        <v>1404</v>
      </c>
      <c r="AK25" s="2"/>
      <c r="AL25" s="178" t="s">
        <v>1696</v>
      </c>
      <c r="AM25" s="281"/>
      <c r="AN25" s="281"/>
      <c r="AO25" s="281"/>
      <c r="AP25" s="5" t="s">
        <v>388</v>
      </c>
    </row>
    <row r="26" spans="1:42" s="181" customFormat="1" ht="11.25" customHeight="1">
      <c r="A26" s="454" t="s">
        <v>2383</v>
      </c>
      <c r="B26" s="455" t="s">
        <v>2384</v>
      </c>
      <c r="C26" s="456" t="s">
        <v>2385</v>
      </c>
      <c r="D26" s="457" t="s">
        <v>1150</v>
      </c>
      <c r="E26" s="456" t="s">
        <v>1869</v>
      </c>
      <c r="F26" s="457"/>
      <c r="G26" s="458">
        <v>1</v>
      </c>
      <c r="H26" s="459"/>
      <c r="I26" s="459"/>
      <c r="J26" s="459"/>
      <c r="K26" s="459"/>
      <c r="L26" s="459"/>
      <c r="M26" s="459"/>
      <c r="N26" s="459"/>
      <c r="O26" s="459" t="s">
        <v>388</v>
      </c>
      <c r="P26" s="459"/>
      <c r="Q26" s="459"/>
      <c r="R26" s="459"/>
      <c r="S26" s="459"/>
      <c r="T26" s="459"/>
      <c r="U26" s="459"/>
      <c r="V26" s="459" t="s">
        <v>388</v>
      </c>
      <c r="W26" s="459" t="s">
        <v>388</v>
      </c>
      <c r="X26" s="459"/>
      <c r="Y26" s="459"/>
      <c r="Z26" s="459"/>
      <c r="AA26" s="459"/>
      <c r="AB26" s="460"/>
      <c r="AC26" s="460"/>
      <c r="AD26" s="460"/>
      <c r="AE26" s="461"/>
      <c r="AF26" s="462"/>
      <c r="AG26" s="463" t="s">
        <v>2386</v>
      </c>
      <c r="AH26" s="456"/>
      <c r="AI26" s="464"/>
      <c r="AJ26" s="457"/>
      <c r="AK26" s="455"/>
      <c r="AL26" s="465"/>
      <c r="AM26" s="462"/>
      <c r="AN26" s="462"/>
      <c r="AO26" s="462" t="s">
        <v>388</v>
      </c>
      <c r="AP26" s="462" t="s">
        <v>388</v>
      </c>
    </row>
    <row r="27" spans="1:42" s="181" customFormat="1" ht="11.25" customHeight="1">
      <c r="A27" s="144" t="s">
        <v>818</v>
      </c>
      <c r="B27" s="2" t="s">
        <v>817</v>
      </c>
      <c r="C27" s="2" t="s">
        <v>816</v>
      </c>
      <c r="D27" s="34" t="s">
        <v>739</v>
      </c>
      <c r="E27" s="34" t="s">
        <v>625</v>
      </c>
      <c r="F27" s="34"/>
      <c r="G27" s="83">
        <v>1</v>
      </c>
      <c r="H27" s="6"/>
      <c r="I27" s="6"/>
      <c r="J27" s="6"/>
      <c r="K27" s="6"/>
      <c r="L27" s="6"/>
      <c r="M27" s="6" t="s">
        <v>388</v>
      </c>
      <c r="N27" s="6" t="s">
        <v>388</v>
      </c>
      <c r="O27" s="6"/>
      <c r="P27" s="6"/>
      <c r="Q27" s="6"/>
      <c r="R27" s="6"/>
      <c r="S27" s="6"/>
      <c r="T27" s="6"/>
      <c r="U27" s="6" t="s">
        <v>388</v>
      </c>
      <c r="V27" s="6"/>
      <c r="W27" s="6"/>
      <c r="X27" s="6"/>
      <c r="Y27" s="6"/>
      <c r="Z27" s="6"/>
      <c r="AA27" s="6"/>
      <c r="AB27" s="6"/>
      <c r="AC27" s="12"/>
      <c r="AD27" s="12"/>
      <c r="AE27" s="83" t="s">
        <v>648</v>
      </c>
      <c r="AF27" s="6" t="s">
        <v>394</v>
      </c>
      <c r="AG27" s="34" t="s">
        <v>819</v>
      </c>
      <c r="AH27" s="2"/>
      <c r="AI27" s="90"/>
      <c r="AJ27" s="34" t="s">
        <v>763</v>
      </c>
      <c r="AK27" s="2"/>
      <c r="AL27" s="178" t="s">
        <v>476</v>
      </c>
      <c r="AM27" s="281"/>
      <c r="AN27" s="5" t="s">
        <v>388</v>
      </c>
      <c r="AO27" s="281"/>
      <c r="AP27" s="5" t="s">
        <v>388</v>
      </c>
    </row>
    <row r="28" spans="1:42" s="181" customFormat="1" ht="11.25" customHeight="1">
      <c r="A28" s="16" t="s">
        <v>1122</v>
      </c>
      <c r="B28" s="1" t="s">
        <v>1120</v>
      </c>
      <c r="C28" s="1" t="s">
        <v>1121</v>
      </c>
      <c r="D28" s="1" t="s">
        <v>739</v>
      </c>
      <c r="E28" s="1" t="s">
        <v>625</v>
      </c>
      <c r="F28" s="1"/>
      <c r="G28" s="83">
        <v>1</v>
      </c>
      <c r="H28" s="6"/>
      <c r="I28" s="6"/>
      <c r="J28" s="6"/>
      <c r="K28" s="6"/>
      <c r="L28" s="6" t="s">
        <v>388</v>
      </c>
      <c r="M28" s="6" t="s">
        <v>388</v>
      </c>
      <c r="N28" s="6"/>
      <c r="O28" s="6" t="s">
        <v>388</v>
      </c>
      <c r="P28" s="6"/>
      <c r="Q28" s="6"/>
      <c r="R28" s="6"/>
      <c r="S28" s="6"/>
      <c r="T28" s="6" t="s">
        <v>388</v>
      </c>
      <c r="U28" s="6" t="s">
        <v>388</v>
      </c>
      <c r="V28" s="6" t="s">
        <v>388</v>
      </c>
      <c r="W28" s="6"/>
      <c r="X28" s="6" t="s">
        <v>388</v>
      </c>
      <c r="Y28" s="6" t="s">
        <v>388</v>
      </c>
      <c r="Z28" s="6" t="s">
        <v>388</v>
      </c>
      <c r="AA28" s="6"/>
      <c r="AB28" s="151"/>
      <c r="AC28" s="151"/>
      <c r="AD28" s="12"/>
      <c r="AE28" s="251" t="s">
        <v>648</v>
      </c>
      <c r="AF28" s="5" t="s">
        <v>394</v>
      </c>
      <c r="AG28" s="34" t="s">
        <v>1843</v>
      </c>
      <c r="AH28" s="1"/>
      <c r="AI28" s="143" t="s">
        <v>1123</v>
      </c>
      <c r="AJ28" s="4"/>
      <c r="AK28" s="1"/>
      <c r="AL28" s="179" t="s">
        <v>1698</v>
      </c>
      <c r="AM28" s="281"/>
      <c r="AN28" s="281"/>
      <c r="AO28" s="281"/>
      <c r="AP28" s="5" t="s">
        <v>388</v>
      </c>
    </row>
    <row r="29" spans="1:42" s="181" customFormat="1" ht="11.25" customHeight="1">
      <c r="A29" s="16" t="s">
        <v>1203</v>
      </c>
      <c r="B29" s="1" t="s">
        <v>1202</v>
      </c>
      <c r="C29" s="1" t="s">
        <v>1201</v>
      </c>
      <c r="D29" s="1" t="s">
        <v>739</v>
      </c>
      <c r="E29" s="1" t="s">
        <v>625</v>
      </c>
      <c r="F29" s="1"/>
      <c r="G29" s="83">
        <v>1</v>
      </c>
      <c r="H29" s="6"/>
      <c r="I29" s="6"/>
      <c r="J29" s="6"/>
      <c r="K29" s="6"/>
      <c r="L29" s="6"/>
      <c r="M29" s="6" t="s">
        <v>388</v>
      </c>
      <c r="N29" s="6"/>
      <c r="O29" s="6"/>
      <c r="P29" s="6"/>
      <c r="Q29" s="6"/>
      <c r="R29" s="6"/>
      <c r="S29" s="6"/>
      <c r="T29" s="6"/>
      <c r="U29" s="6"/>
      <c r="V29" s="6"/>
      <c r="W29" s="6"/>
      <c r="X29" s="6"/>
      <c r="Y29" s="6"/>
      <c r="Z29" s="6"/>
      <c r="AA29" s="6"/>
      <c r="AB29" s="151"/>
      <c r="AC29" s="151"/>
      <c r="AD29" s="12"/>
      <c r="AE29" s="251" t="s">
        <v>648</v>
      </c>
      <c r="AF29" s="5" t="s">
        <v>394</v>
      </c>
      <c r="AG29" s="34" t="s">
        <v>1204</v>
      </c>
      <c r="AH29" s="1"/>
      <c r="AI29" s="143"/>
      <c r="AJ29" s="4"/>
      <c r="AK29" s="1"/>
      <c r="AL29" s="179" t="s">
        <v>1707</v>
      </c>
      <c r="AM29" s="281"/>
      <c r="AN29" s="5" t="s">
        <v>388</v>
      </c>
      <c r="AO29" s="281"/>
      <c r="AP29" s="281"/>
    </row>
    <row r="30" spans="1:42" s="181" customFormat="1" ht="11.25" customHeight="1">
      <c r="A30" s="16" t="s">
        <v>2025</v>
      </c>
      <c r="B30" s="1" t="s">
        <v>1544</v>
      </c>
      <c r="C30" s="1" t="s">
        <v>1545</v>
      </c>
      <c r="D30" s="1" t="s">
        <v>387</v>
      </c>
      <c r="E30" s="1" t="s">
        <v>625</v>
      </c>
      <c r="F30" s="1"/>
      <c r="G30" s="83">
        <v>1</v>
      </c>
      <c r="H30" s="6"/>
      <c r="I30" s="6"/>
      <c r="J30" s="6"/>
      <c r="K30" s="6"/>
      <c r="L30" s="6"/>
      <c r="M30" s="6" t="s">
        <v>388</v>
      </c>
      <c r="N30" s="6" t="s">
        <v>388</v>
      </c>
      <c r="O30" s="6"/>
      <c r="P30" s="6"/>
      <c r="Q30" s="6"/>
      <c r="R30" s="6"/>
      <c r="S30" s="6"/>
      <c r="T30" s="6" t="s">
        <v>388</v>
      </c>
      <c r="U30" s="6" t="s">
        <v>388</v>
      </c>
      <c r="V30" s="6"/>
      <c r="W30" s="6"/>
      <c r="X30" s="6"/>
      <c r="Y30" s="6"/>
      <c r="Z30" s="6"/>
      <c r="AA30" s="6"/>
      <c r="AB30" s="151"/>
      <c r="AC30" s="151"/>
      <c r="AD30" s="12" t="s">
        <v>388</v>
      </c>
      <c r="AE30" s="251" t="s">
        <v>648</v>
      </c>
      <c r="AF30" s="5" t="s">
        <v>394</v>
      </c>
      <c r="AG30" s="4" t="s">
        <v>1546</v>
      </c>
      <c r="AH30" s="1"/>
      <c r="AI30" s="143"/>
      <c r="AJ30" s="4"/>
      <c r="AK30" s="1"/>
      <c r="AL30" s="178" t="s">
        <v>476</v>
      </c>
      <c r="AM30" s="281"/>
      <c r="AN30" s="5" t="s">
        <v>388</v>
      </c>
      <c r="AO30" s="281"/>
      <c r="AP30" s="281"/>
    </row>
    <row r="31" spans="1:42" s="181" customFormat="1" ht="11.25" customHeight="1">
      <c r="A31" s="17" t="s">
        <v>2062</v>
      </c>
      <c r="B31" s="2" t="s">
        <v>2064</v>
      </c>
      <c r="C31" s="2" t="s">
        <v>2063</v>
      </c>
      <c r="D31" s="34" t="s">
        <v>387</v>
      </c>
      <c r="E31" s="34" t="s">
        <v>1869</v>
      </c>
      <c r="F31" s="34"/>
      <c r="G31" s="83">
        <v>1</v>
      </c>
      <c r="H31" s="6" t="s">
        <v>388</v>
      </c>
      <c r="I31" s="6"/>
      <c r="J31" s="6"/>
      <c r="K31" s="6"/>
      <c r="L31" s="6"/>
      <c r="M31" s="6"/>
      <c r="N31" s="6"/>
      <c r="O31" s="6"/>
      <c r="P31" s="6"/>
      <c r="Q31" s="6"/>
      <c r="R31" s="6"/>
      <c r="S31" s="6"/>
      <c r="T31" s="6"/>
      <c r="U31" s="6"/>
      <c r="V31" s="6"/>
      <c r="W31" s="6"/>
      <c r="X31" s="6"/>
      <c r="Y31" s="6"/>
      <c r="Z31" s="6"/>
      <c r="AA31" s="6"/>
      <c r="AB31" s="12"/>
      <c r="AC31" s="12"/>
      <c r="AD31" s="12"/>
      <c r="AE31" s="251"/>
      <c r="AF31" s="5" t="s">
        <v>389</v>
      </c>
      <c r="AG31" s="34" t="s">
        <v>2065</v>
      </c>
      <c r="AH31" s="1"/>
      <c r="AI31" s="143"/>
      <c r="AJ31" s="4"/>
      <c r="AK31" s="2" t="s">
        <v>2135</v>
      </c>
      <c r="AL31" s="178" t="s">
        <v>1691</v>
      </c>
      <c r="AM31" s="281"/>
      <c r="AN31" s="5" t="s">
        <v>388</v>
      </c>
      <c r="AO31" s="281"/>
      <c r="AP31" s="281"/>
    </row>
    <row r="32" spans="1:42" s="181" customFormat="1" ht="11.25" customHeight="1">
      <c r="A32" s="16" t="s">
        <v>1300</v>
      </c>
      <c r="B32" s="1" t="s">
        <v>1296</v>
      </c>
      <c r="C32" s="1" t="s">
        <v>1298</v>
      </c>
      <c r="D32" s="1" t="s">
        <v>1299</v>
      </c>
      <c r="E32" s="34" t="s">
        <v>625</v>
      </c>
      <c r="F32" s="1"/>
      <c r="G32" s="83">
        <v>1</v>
      </c>
      <c r="H32" s="6"/>
      <c r="I32" s="6"/>
      <c r="J32" s="6"/>
      <c r="K32" s="6"/>
      <c r="L32" s="6"/>
      <c r="M32" s="6"/>
      <c r="N32" s="6"/>
      <c r="O32" s="6"/>
      <c r="P32" s="6"/>
      <c r="Q32" s="6"/>
      <c r="R32" s="6"/>
      <c r="S32" s="6"/>
      <c r="T32" s="6" t="s">
        <v>388</v>
      </c>
      <c r="U32" s="6"/>
      <c r="V32" s="6"/>
      <c r="W32" s="6"/>
      <c r="X32" s="6"/>
      <c r="Y32" s="6" t="s">
        <v>388</v>
      </c>
      <c r="Z32" s="6"/>
      <c r="AA32" s="6" t="s">
        <v>388</v>
      </c>
      <c r="AB32" s="151"/>
      <c r="AC32" s="151"/>
      <c r="AD32" s="12"/>
      <c r="AE32" s="251" t="s">
        <v>648</v>
      </c>
      <c r="AF32" s="5" t="s">
        <v>394</v>
      </c>
      <c r="AG32" s="34" t="s">
        <v>1295</v>
      </c>
      <c r="AH32" s="1"/>
      <c r="AI32" s="143" t="s">
        <v>1297</v>
      </c>
      <c r="AJ32" s="4"/>
      <c r="AK32" s="1"/>
      <c r="AL32" s="179" t="s">
        <v>1694</v>
      </c>
      <c r="AM32" s="281"/>
      <c r="AN32" s="5" t="s">
        <v>388</v>
      </c>
      <c r="AO32" s="281"/>
      <c r="AP32" s="281"/>
    </row>
    <row r="33" spans="1:42" s="181" customFormat="1" ht="11.25" customHeight="1">
      <c r="A33" s="144" t="s">
        <v>1970</v>
      </c>
      <c r="B33" s="2" t="s">
        <v>436</v>
      </c>
      <c r="C33" s="2" t="s">
        <v>437</v>
      </c>
      <c r="D33" s="34" t="s">
        <v>387</v>
      </c>
      <c r="E33" s="34" t="s">
        <v>626</v>
      </c>
      <c r="F33" s="34"/>
      <c r="G33" s="83">
        <v>1</v>
      </c>
      <c r="H33" s="6"/>
      <c r="I33" s="6"/>
      <c r="J33" s="6"/>
      <c r="K33" s="6"/>
      <c r="L33" s="6"/>
      <c r="M33" s="6"/>
      <c r="N33" s="6"/>
      <c r="O33" s="6"/>
      <c r="P33" s="6"/>
      <c r="Q33" s="6"/>
      <c r="R33" s="6"/>
      <c r="S33" s="6"/>
      <c r="T33" s="6"/>
      <c r="U33" s="6"/>
      <c r="V33" s="6"/>
      <c r="W33" s="6"/>
      <c r="X33" s="6"/>
      <c r="Y33" s="6"/>
      <c r="Z33" s="6"/>
      <c r="AA33" s="6"/>
      <c r="AB33" s="6"/>
      <c r="AC33" s="6"/>
      <c r="AD33" s="6"/>
      <c r="AE33" s="83">
        <v>4</v>
      </c>
      <c r="AF33" s="5" t="s">
        <v>394</v>
      </c>
      <c r="AG33" s="4" t="s">
        <v>615</v>
      </c>
      <c r="AH33" s="2"/>
      <c r="AI33" s="34"/>
      <c r="AJ33" s="34"/>
      <c r="AK33" s="2" t="s">
        <v>2135</v>
      </c>
      <c r="AL33" s="179" t="s">
        <v>1691</v>
      </c>
      <c r="AM33" s="281"/>
      <c r="AN33" s="281"/>
      <c r="AO33" s="281"/>
      <c r="AP33" s="281"/>
    </row>
    <row r="34" spans="1:42" s="181" customFormat="1" ht="11.25" customHeight="1">
      <c r="A34" s="16" t="s">
        <v>1273</v>
      </c>
      <c r="B34" s="1" t="s">
        <v>1274</v>
      </c>
      <c r="C34" s="1" t="s">
        <v>1272</v>
      </c>
      <c r="D34" s="1" t="s">
        <v>1150</v>
      </c>
      <c r="E34" s="1" t="s">
        <v>625</v>
      </c>
      <c r="F34" s="1"/>
      <c r="G34" s="83">
        <v>1</v>
      </c>
      <c r="H34" s="6"/>
      <c r="I34" s="6"/>
      <c r="J34" s="6"/>
      <c r="K34" s="6"/>
      <c r="L34" s="6"/>
      <c r="M34" s="6"/>
      <c r="N34" s="6"/>
      <c r="O34" s="6"/>
      <c r="P34" s="6"/>
      <c r="Q34" s="6"/>
      <c r="R34" s="6"/>
      <c r="S34" s="6"/>
      <c r="T34" s="6"/>
      <c r="U34" s="6"/>
      <c r="V34" s="6"/>
      <c r="W34" s="6"/>
      <c r="X34" s="6"/>
      <c r="Y34" s="6"/>
      <c r="Z34" s="6"/>
      <c r="AA34" s="6" t="s">
        <v>388</v>
      </c>
      <c r="AB34" s="151"/>
      <c r="AC34" s="151"/>
      <c r="AD34" s="12"/>
      <c r="AE34" s="251" t="s">
        <v>648</v>
      </c>
      <c r="AF34" s="5" t="s">
        <v>394</v>
      </c>
      <c r="AG34" s="4" t="s">
        <v>1271</v>
      </c>
      <c r="AH34" s="1"/>
      <c r="AI34" s="143" t="s">
        <v>1281</v>
      </c>
      <c r="AJ34" s="4"/>
      <c r="AK34" s="1"/>
      <c r="AL34" s="179" t="s">
        <v>1694</v>
      </c>
      <c r="AM34" s="281"/>
      <c r="AN34" s="281"/>
      <c r="AO34" s="5" t="s">
        <v>388</v>
      </c>
      <c r="AP34" s="5" t="s">
        <v>388</v>
      </c>
    </row>
    <row r="35" spans="1:42" s="181" customFormat="1" ht="11.25" customHeight="1">
      <c r="A35" s="144" t="s">
        <v>1969</v>
      </c>
      <c r="B35" s="2" t="s">
        <v>429</v>
      </c>
      <c r="C35" s="2" t="s">
        <v>430</v>
      </c>
      <c r="D35" s="34" t="s">
        <v>387</v>
      </c>
      <c r="E35" s="34" t="s">
        <v>626</v>
      </c>
      <c r="F35" s="34"/>
      <c r="G35" s="83">
        <v>1</v>
      </c>
      <c r="H35" s="6"/>
      <c r="I35" s="6"/>
      <c r="J35" s="6"/>
      <c r="K35" s="6"/>
      <c r="L35" s="6"/>
      <c r="M35" s="6"/>
      <c r="N35" s="6"/>
      <c r="O35" s="6"/>
      <c r="P35" s="6"/>
      <c r="Q35" s="6"/>
      <c r="R35" s="6"/>
      <c r="S35" s="6"/>
      <c r="T35" s="6"/>
      <c r="U35" s="6"/>
      <c r="V35" s="6"/>
      <c r="W35" s="6"/>
      <c r="X35" s="6"/>
      <c r="Y35" s="6"/>
      <c r="Z35" s="6"/>
      <c r="AA35" s="6"/>
      <c r="AB35" s="6"/>
      <c r="AC35" s="10"/>
      <c r="AD35" s="10"/>
      <c r="AE35" s="83">
        <v>4</v>
      </c>
      <c r="AF35" s="5" t="s">
        <v>394</v>
      </c>
      <c r="AG35" s="4" t="s">
        <v>431</v>
      </c>
      <c r="AH35" s="2"/>
      <c r="AI35" s="34"/>
      <c r="AJ35" s="34"/>
      <c r="AK35" s="2" t="s">
        <v>2136</v>
      </c>
      <c r="AL35" s="179" t="s">
        <v>1691</v>
      </c>
      <c r="AM35" s="281"/>
      <c r="AN35" s="281"/>
      <c r="AO35" s="281"/>
      <c r="AP35" s="281"/>
    </row>
    <row r="36" spans="1:42" s="181" customFormat="1" ht="11.25" customHeight="1">
      <c r="A36" s="144" t="s">
        <v>1969</v>
      </c>
      <c r="B36" s="1" t="s">
        <v>551</v>
      </c>
      <c r="C36" s="1" t="s">
        <v>552</v>
      </c>
      <c r="D36" s="4" t="s">
        <v>387</v>
      </c>
      <c r="E36" s="4" t="s">
        <v>626</v>
      </c>
      <c r="F36" s="4"/>
      <c r="G36" s="83">
        <v>1</v>
      </c>
      <c r="H36" s="6" t="s">
        <v>388</v>
      </c>
      <c r="I36" s="6"/>
      <c r="J36" s="6"/>
      <c r="K36" s="6"/>
      <c r="L36" s="6"/>
      <c r="M36" s="6"/>
      <c r="N36" s="6"/>
      <c r="O36" s="6"/>
      <c r="P36" s="6"/>
      <c r="Q36" s="6"/>
      <c r="R36" s="6"/>
      <c r="S36" s="6"/>
      <c r="T36" s="6"/>
      <c r="U36" s="6"/>
      <c r="V36" s="6"/>
      <c r="W36" s="6"/>
      <c r="X36" s="6"/>
      <c r="Y36" s="6"/>
      <c r="Z36" s="6"/>
      <c r="AA36" s="6"/>
      <c r="AB36" s="6"/>
      <c r="AC36" s="12" t="s">
        <v>388</v>
      </c>
      <c r="AD36" s="12" t="s">
        <v>388</v>
      </c>
      <c r="AE36" s="83">
        <v>2</v>
      </c>
      <c r="AF36" s="5" t="s">
        <v>394</v>
      </c>
      <c r="AG36" s="34" t="s">
        <v>431</v>
      </c>
      <c r="AH36" s="2"/>
      <c r="AI36" s="34"/>
      <c r="AJ36" s="4"/>
      <c r="AK36" s="2" t="s">
        <v>2136</v>
      </c>
      <c r="AL36" s="179" t="s">
        <v>1691</v>
      </c>
      <c r="AM36" s="281"/>
      <c r="AN36" s="281"/>
      <c r="AO36" s="281"/>
      <c r="AP36" s="281"/>
    </row>
    <row r="37" spans="1:42" s="181" customFormat="1" ht="11.25" customHeight="1">
      <c r="A37" s="16" t="s">
        <v>1036</v>
      </c>
      <c r="B37" s="9" t="s">
        <v>1038</v>
      </c>
      <c r="C37" s="35" t="s">
        <v>1037</v>
      </c>
      <c r="D37" s="4" t="s">
        <v>739</v>
      </c>
      <c r="E37" s="1" t="s">
        <v>625</v>
      </c>
      <c r="F37" s="35"/>
      <c r="G37" s="83">
        <v>1</v>
      </c>
      <c r="H37" s="6"/>
      <c r="I37" s="6"/>
      <c r="J37" s="6"/>
      <c r="K37" s="6"/>
      <c r="L37" s="6"/>
      <c r="M37" s="6" t="s">
        <v>388</v>
      </c>
      <c r="N37" s="6"/>
      <c r="O37" s="6"/>
      <c r="P37" s="6"/>
      <c r="Q37" s="6"/>
      <c r="R37" s="6"/>
      <c r="S37" s="6"/>
      <c r="T37" s="6" t="s">
        <v>388</v>
      </c>
      <c r="U37" s="6"/>
      <c r="V37" s="6"/>
      <c r="W37" s="6"/>
      <c r="X37" s="6"/>
      <c r="Y37" s="6" t="s">
        <v>388</v>
      </c>
      <c r="Z37" s="6"/>
      <c r="AA37" s="6" t="s">
        <v>388</v>
      </c>
      <c r="AB37" s="6"/>
      <c r="AC37" s="12"/>
      <c r="AD37" s="12"/>
      <c r="AE37" s="83" t="s">
        <v>648</v>
      </c>
      <c r="AF37" s="8" t="s">
        <v>641</v>
      </c>
      <c r="AG37" s="34" t="s">
        <v>1039</v>
      </c>
      <c r="AH37" s="2"/>
      <c r="AI37" s="4"/>
      <c r="AJ37" s="4"/>
      <c r="AK37" s="2"/>
      <c r="AL37" s="179" t="s">
        <v>1704</v>
      </c>
      <c r="AM37" s="281"/>
      <c r="AN37" s="281"/>
      <c r="AO37" s="281"/>
      <c r="AP37" s="281"/>
    </row>
    <row r="38" spans="1:42" s="181" customFormat="1" ht="11.25" customHeight="1">
      <c r="A38" s="16" t="s">
        <v>1036</v>
      </c>
      <c r="B38" s="1" t="s">
        <v>1053</v>
      </c>
      <c r="C38" s="1" t="s">
        <v>1052</v>
      </c>
      <c r="D38" s="1" t="s">
        <v>739</v>
      </c>
      <c r="E38" s="1" t="s">
        <v>625</v>
      </c>
      <c r="F38" s="1"/>
      <c r="G38" s="83">
        <v>1</v>
      </c>
      <c r="H38" s="6"/>
      <c r="I38" s="6"/>
      <c r="J38" s="6"/>
      <c r="K38" s="6"/>
      <c r="L38" s="6"/>
      <c r="M38" s="6" t="s">
        <v>388</v>
      </c>
      <c r="N38" s="6"/>
      <c r="O38" s="6"/>
      <c r="P38" s="6"/>
      <c r="Q38" s="6"/>
      <c r="R38" s="6"/>
      <c r="S38" s="6"/>
      <c r="T38" s="6" t="s">
        <v>388</v>
      </c>
      <c r="U38" s="6" t="s">
        <v>388</v>
      </c>
      <c r="V38" s="6"/>
      <c r="W38" s="6"/>
      <c r="X38" s="6"/>
      <c r="Y38" s="6" t="s">
        <v>388</v>
      </c>
      <c r="Z38" s="6"/>
      <c r="AA38" s="6" t="s">
        <v>388</v>
      </c>
      <c r="AB38" s="151"/>
      <c r="AC38" s="151"/>
      <c r="AD38" s="12"/>
      <c r="AE38" s="251">
        <v>3</v>
      </c>
      <c r="AF38" s="5" t="s">
        <v>389</v>
      </c>
      <c r="AG38" s="34" t="s">
        <v>1054</v>
      </c>
      <c r="AH38" s="1"/>
      <c r="AI38" s="143"/>
      <c r="AJ38" s="4"/>
      <c r="AK38" s="1"/>
      <c r="AL38" s="179" t="s">
        <v>1704</v>
      </c>
      <c r="AM38" s="281"/>
      <c r="AN38" s="281"/>
      <c r="AO38" s="281"/>
      <c r="AP38" s="5" t="s">
        <v>388</v>
      </c>
    </row>
    <row r="39" spans="1:42" s="181" customFormat="1" ht="11.25" customHeight="1">
      <c r="A39" s="16" t="s">
        <v>1061</v>
      </c>
      <c r="B39" s="1" t="s">
        <v>1060</v>
      </c>
      <c r="C39" s="1" t="s">
        <v>1059</v>
      </c>
      <c r="D39" s="4" t="s">
        <v>387</v>
      </c>
      <c r="E39" s="1" t="s">
        <v>625</v>
      </c>
      <c r="F39" s="4"/>
      <c r="G39" s="83">
        <v>1</v>
      </c>
      <c r="H39" s="6"/>
      <c r="I39" s="6"/>
      <c r="J39" s="6"/>
      <c r="K39" s="6"/>
      <c r="L39" s="6"/>
      <c r="M39" s="6" t="s">
        <v>388</v>
      </c>
      <c r="N39" s="6"/>
      <c r="O39" s="6"/>
      <c r="P39" s="6"/>
      <c r="Q39" s="6"/>
      <c r="R39" s="6"/>
      <c r="S39" s="6"/>
      <c r="T39" s="6" t="s">
        <v>388</v>
      </c>
      <c r="U39" s="6"/>
      <c r="V39" s="6"/>
      <c r="W39" s="6"/>
      <c r="X39" s="6"/>
      <c r="Y39" s="6" t="s">
        <v>388</v>
      </c>
      <c r="Z39" s="6"/>
      <c r="AA39" s="6" t="s">
        <v>388</v>
      </c>
      <c r="AB39" s="6"/>
      <c r="AC39" s="12"/>
      <c r="AD39" s="12"/>
      <c r="AE39" s="83" t="s">
        <v>648</v>
      </c>
      <c r="AF39" s="5" t="s">
        <v>394</v>
      </c>
      <c r="AG39" s="4" t="s">
        <v>1062</v>
      </c>
      <c r="AH39" s="1"/>
      <c r="AI39" s="4"/>
      <c r="AJ39" s="4"/>
      <c r="AK39" s="2"/>
      <c r="AL39" s="179" t="s">
        <v>1704</v>
      </c>
      <c r="AM39" s="281"/>
      <c r="AN39" s="281"/>
      <c r="AO39" s="281"/>
      <c r="AP39" s="5" t="s">
        <v>388</v>
      </c>
    </row>
    <row r="40" spans="1:42" s="181" customFormat="1" ht="11.25" customHeight="1">
      <c r="A40" s="16" t="s">
        <v>1211</v>
      </c>
      <c r="B40" s="1" t="s">
        <v>1212</v>
      </c>
      <c r="C40" s="1" t="s">
        <v>1210</v>
      </c>
      <c r="D40" s="1" t="s">
        <v>739</v>
      </c>
      <c r="E40" s="1" t="s">
        <v>625</v>
      </c>
      <c r="F40" s="1"/>
      <c r="G40" s="83">
        <v>1</v>
      </c>
      <c r="H40" s="6"/>
      <c r="I40" s="6"/>
      <c r="J40" s="6"/>
      <c r="K40" s="6"/>
      <c r="L40" s="6"/>
      <c r="M40" s="6" t="s">
        <v>388</v>
      </c>
      <c r="N40" s="6"/>
      <c r="O40" s="6"/>
      <c r="P40" s="6"/>
      <c r="Q40" s="6"/>
      <c r="R40" s="6"/>
      <c r="S40" s="6"/>
      <c r="T40" s="6"/>
      <c r="U40" s="6"/>
      <c r="V40" s="6"/>
      <c r="W40" s="6"/>
      <c r="X40" s="6"/>
      <c r="Y40" s="6"/>
      <c r="Z40" s="6"/>
      <c r="AA40" s="6"/>
      <c r="AB40" s="151"/>
      <c r="AC40" s="151"/>
      <c r="AD40" s="12"/>
      <c r="AE40" s="251" t="s">
        <v>648</v>
      </c>
      <c r="AF40" s="5" t="s">
        <v>389</v>
      </c>
      <c r="AG40" s="4" t="s">
        <v>1213</v>
      </c>
      <c r="AH40" s="1"/>
      <c r="AI40" s="143"/>
      <c r="AJ40" s="4" t="s">
        <v>1214</v>
      </c>
      <c r="AK40" s="1"/>
      <c r="AL40" s="179" t="s">
        <v>1707</v>
      </c>
      <c r="AM40" s="281"/>
      <c r="AN40" s="5" t="s">
        <v>388</v>
      </c>
      <c r="AO40" s="281"/>
      <c r="AP40" s="281"/>
    </row>
    <row r="41" spans="1:42" s="181" customFormat="1" ht="11.25" customHeight="1">
      <c r="A41" s="144" t="s">
        <v>71</v>
      </c>
      <c r="B41" s="2" t="s">
        <v>72</v>
      </c>
      <c r="C41" s="1" t="s">
        <v>73</v>
      </c>
      <c r="D41" s="4" t="s">
        <v>387</v>
      </c>
      <c r="E41" s="4" t="s">
        <v>624</v>
      </c>
      <c r="F41" s="4" t="s">
        <v>625</v>
      </c>
      <c r="G41" s="83">
        <v>1</v>
      </c>
      <c r="H41" s="6"/>
      <c r="I41" s="6"/>
      <c r="J41" s="6"/>
      <c r="K41" s="6"/>
      <c r="L41" s="6"/>
      <c r="M41" s="6" t="s">
        <v>388</v>
      </c>
      <c r="N41" s="6" t="s">
        <v>388</v>
      </c>
      <c r="O41" s="6"/>
      <c r="P41" s="6"/>
      <c r="Q41" s="6"/>
      <c r="R41" s="6"/>
      <c r="S41" s="6"/>
      <c r="T41" s="6" t="s">
        <v>388</v>
      </c>
      <c r="U41" s="6"/>
      <c r="V41" s="6"/>
      <c r="W41" s="6" t="s">
        <v>388</v>
      </c>
      <c r="X41" s="6"/>
      <c r="Y41" s="6"/>
      <c r="Z41" s="6" t="s">
        <v>388</v>
      </c>
      <c r="AA41" s="6" t="s">
        <v>388</v>
      </c>
      <c r="AB41" s="6"/>
      <c r="AC41" s="12"/>
      <c r="AD41" s="12"/>
      <c r="AE41" s="83">
        <v>3</v>
      </c>
      <c r="AF41" s="5" t="s">
        <v>394</v>
      </c>
      <c r="AG41" s="34" t="s">
        <v>1932</v>
      </c>
      <c r="AH41" s="1"/>
      <c r="AI41" s="4"/>
      <c r="AJ41" s="4"/>
      <c r="AK41" s="2"/>
      <c r="AL41" s="178" t="s">
        <v>1690</v>
      </c>
      <c r="AM41" s="281"/>
      <c r="AN41" s="281"/>
      <c r="AO41" s="5" t="s">
        <v>388</v>
      </c>
      <c r="AP41" s="5" t="s">
        <v>388</v>
      </c>
    </row>
    <row r="42" spans="1:42" s="181" customFormat="1" ht="11.25" customHeight="1">
      <c r="A42" s="144" t="s">
        <v>2130</v>
      </c>
      <c r="B42" s="94" t="s">
        <v>601</v>
      </c>
      <c r="C42" s="3" t="s">
        <v>602</v>
      </c>
      <c r="D42" s="13" t="s">
        <v>387</v>
      </c>
      <c r="E42" s="13" t="s">
        <v>626</v>
      </c>
      <c r="F42" s="13"/>
      <c r="G42" s="83">
        <v>1</v>
      </c>
      <c r="H42" s="6"/>
      <c r="I42" s="6"/>
      <c r="J42" s="6"/>
      <c r="K42" s="6"/>
      <c r="L42" s="6"/>
      <c r="M42" s="6" t="s">
        <v>388</v>
      </c>
      <c r="N42" s="6"/>
      <c r="O42" s="6"/>
      <c r="P42" s="6"/>
      <c r="Q42" s="6"/>
      <c r="R42" s="6"/>
      <c r="S42" s="6"/>
      <c r="T42" s="6"/>
      <c r="U42" s="6"/>
      <c r="V42" s="6"/>
      <c r="W42" s="6"/>
      <c r="X42" s="6"/>
      <c r="Y42" s="6"/>
      <c r="Z42" s="6"/>
      <c r="AA42" s="6"/>
      <c r="AB42" s="6"/>
      <c r="AC42" s="12"/>
      <c r="AD42" s="12"/>
      <c r="AE42" s="83">
        <v>2</v>
      </c>
      <c r="AF42" s="5" t="s">
        <v>394</v>
      </c>
      <c r="AG42" s="4" t="s">
        <v>1813</v>
      </c>
      <c r="AH42" s="2"/>
      <c r="AI42" s="4"/>
      <c r="AJ42" s="4"/>
      <c r="AK42" s="2" t="s">
        <v>2136</v>
      </c>
      <c r="AL42" s="179" t="s">
        <v>1691</v>
      </c>
      <c r="AM42" s="281"/>
      <c r="AN42" s="281"/>
      <c r="AO42" s="281"/>
      <c r="AP42" s="281"/>
    </row>
    <row r="43" spans="1:42" s="181" customFormat="1" ht="11.25" customHeight="1">
      <c r="A43" s="144" t="s">
        <v>74</v>
      </c>
      <c r="B43" s="1" t="s">
        <v>75</v>
      </c>
      <c r="C43" s="1" t="s">
        <v>76</v>
      </c>
      <c r="D43" s="4" t="s">
        <v>387</v>
      </c>
      <c r="E43" s="4" t="s">
        <v>624</v>
      </c>
      <c r="F43" s="4" t="s">
        <v>625</v>
      </c>
      <c r="G43" s="83">
        <v>1</v>
      </c>
      <c r="H43" s="6"/>
      <c r="I43" s="6"/>
      <c r="J43" s="6"/>
      <c r="K43" s="6" t="s">
        <v>388</v>
      </c>
      <c r="L43" s="6"/>
      <c r="M43" s="6" t="s">
        <v>388</v>
      </c>
      <c r="N43" s="6"/>
      <c r="O43" s="6"/>
      <c r="P43" s="6"/>
      <c r="Q43" s="6"/>
      <c r="R43" s="6"/>
      <c r="S43" s="6"/>
      <c r="T43" s="6" t="s">
        <v>388</v>
      </c>
      <c r="U43" s="6"/>
      <c r="V43" s="6"/>
      <c r="W43" s="6"/>
      <c r="X43" s="6"/>
      <c r="Y43" s="6" t="s">
        <v>388</v>
      </c>
      <c r="Z43" s="6" t="s">
        <v>388</v>
      </c>
      <c r="AA43" s="6" t="s">
        <v>388</v>
      </c>
      <c r="AB43" s="6" t="s">
        <v>388</v>
      </c>
      <c r="AC43" s="12"/>
      <c r="AD43" s="12"/>
      <c r="AE43" s="83">
        <v>3</v>
      </c>
      <c r="AF43" s="5" t="s">
        <v>394</v>
      </c>
      <c r="AG43" s="34" t="s">
        <v>1931</v>
      </c>
      <c r="AH43" s="1"/>
      <c r="AI43" s="4"/>
      <c r="AJ43" s="4"/>
      <c r="AK43" s="2"/>
      <c r="AL43" s="178" t="s">
        <v>1690</v>
      </c>
      <c r="AM43" s="281"/>
      <c r="AN43" s="281"/>
      <c r="AO43" s="5" t="s">
        <v>388</v>
      </c>
      <c r="AP43" s="5" t="s">
        <v>388</v>
      </c>
    </row>
    <row r="44" spans="1:42" s="181" customFormat="1" ht="11.25" customHeight="1">
      <c r="A44" s="144" t="s">
        <v>1968</v>
      </c>
      <c r="B44" s="1" t="s">
        <v>419</v>
      </c>
      <c r="C44" s="1" t="s">
        <v>420</v>
      </c>
      <c r="D44" s="4" t="s">
        <v>387</v>
      </c>
      <c r="E44" s="4" t="s">
        <v>626</v>
      </c>
      <c r="F44" s="4"/>
      <c r="G44" s="83">
        <v>1</v>
      </c>
      <c r="H44" s="6" t="s">
        <v>388</v>
      </c>
      <c r="I44" s="6"/>
      <c r="J44" s="6"/>
      <c r="K44" s="6"/>
      <c r="L44" s="6"/>
      <c r="M44" s="6"/>
      <c r="N44" s="6"/>
      <c r="O44" s="6"/>
      <c r="P44" s="6"/>
      <c r="Q44" s="6"/>
      <c r="R44" s="6"/>
      <c r="S44" s="6"/>
      <c r="T44" s="6"/>
      <c r="U44" s="6"/>
      <c r="V44" s="6"/>
      <c r="W44" s="6"/>
      <c r="X44" s="6"/>
      <c r="Y44" s="6"/>
      <c r="Z44" s="6"/>
      <c r="AA44" s="6"/>
      <c r="AB44" s="6"/>
      <c r="AC44" s="12"/>
      <c r="AD44" s="12"/>
      <c r="AE44" s="83">
        <v>4</v>
      </c>
      <c r="AF44" s="5" t="s">
        <v>394</v>
      </c>
      <c r="AG44" s="4" t="s">
        <v>421</v>
      </c>
      <c r="AH44" s="2"/>
      <c r="AI44" s="4"/>
      <c r="AJ44" s="4"/>
      <c r="AK44" s="2"/>
      <c r="AL44" s="179" t="s">
        <v>1691</v>
      </c>
      <c r="AM44" s="5" t="s">
        <v>388</v>
      </c>
      <c r="AN44" s="281"/>
      <c r="AO44" s="281"/>
      <c r="AP44" s="281"/>
    </row>
    <row r="45" spans="1:42" s="181" customFormat="1" ht="11.25" customHeight="1">
      <c r="A45" s="364" t="s">
        <v>80</v>
      </c>
      <c r="B45" s="373" t="s">
        <v>2278</v>
      </c>
      <c r="C45" s="373" t="s">
        <v>1471</v>
      </c>
      <c r="D45" s="374" t="s">
        <v>1150</v>
      </c>
      <c r="E45" s="374" t="s">
        <v>1869</v>
      </c>
      <c r="F45" s="374"/>
      <c r="G45" s="367">
        <v>1</v>
      </c>
      <c r="H45" s="368"/>
      <c r="I45" s="368"/>
      <c r="J45" s="368"/>
      <c r="K45" s="368"/>
      <c r="L45" s="368" t="s">
        <v>388</v>
      </c>
      <c r="M45" s="368" t="s">
        <v>388</v>
      </c>
      <c r="N45" s="368"/>
      <c r="O45" s="368"/>
      <c r="P45" s="368"/>
      <c r="Q45" s="368"/>
      <c r="R45" s="368"/>
      <c r="S45" s="368"/>
      <c r="T45" s="368"/>
      <c r="U45" s="368" t="s">
        <v>388</v>
      </c>
      <c r="V45" s="368"/>
      <c r="W45" s="368"/>
      <c r="X45" s="368"/>
      <c r="Y45" s="368"/>
      <c r="Z45" s="368"/>
      <c r="AA45" s="368"/>
      <c r="AB45" s="369"/>
      <c r="AC45" s="369"/>
      <c r="AD45" s="369"/>
      <c r="AE45" s="370"/>
      <c r="AF45" s="372" t="s">
        <v>394</v>
      </c>
      <c r="AG45" s="374" t="s">
        <v>2277</v>
      </c>
      <c r="AH45" s="365"/>
      <c r="AI45" s="375" t="s">
        <v>2279</v>
      </c>
      <c r="AJ45" s="374"/>
      <c r="AK45" s="365"/>
      <c r="AL45" s="179" t="s">
        <v>1690</v>
      </c>
      <c r="AM45" s="372"/>
      <c r="AN45" s="5" t="s">
        <v>388</v>
      </c>
      <c r="AO45" s="372"/>
      <c r="AP45" s="5" t="s">
        <v>388</v>
      </c>
    </row>
    <row r="46" spans="1:42" s="181" customFormat="1" ht="11.25" customHeight="1">
      <c r="A46" s="144" t="s">
        <v>80</v>
      </c>
      <c r="B46" s="2" t="s">
        <v>81</v>
      </c>
      <c r="C46" s="1" t="s">
        <v>82</v>
      </c>
      <c r="D46" s="4" t="s">
        <v>387</v>
      </c>
      <c r="E46" s="4" t="s">
        <v>624</v>
      </c>
      <c r="F46" s="4" t="s">
        <v>625</v>
      </c>
      <c r="G46" s="83">
        <v>1</v>
      </c>
      <c r="H46" s="6"/>
      <c r="I46" s="6"/>
      <c r="J46" s="6"/>
      <c r="K46" s="6"/>
      <c r="L46" s="6" t="s">
        <v>388</v>
      </c>
      <c r="M46" s="6" t="s">
        <v>388</v>
      </c>
      <c r="N46" s="6"/>
      <c r="O46" s="6"/>
      <c r="P46" s="6"/>
      <c r="Q46" s="6"/>
      <c r="R46" s="6"/>
      <c r="S46" s="6"/>
      <c r="T46" s="6" t="s">
        <v>388</v>
      </c>
      <c r="U46" s="6" t="s">
        <v>388</v>
      </c>
      <c r="V46" s="6"/>
      <c r="W46" s="6"/>
      <c r="X46" s="6"/>
      <c r="Y46" s="6"/>
      <c r="Z46" s="6" t="s">
        <v>388</v>
      </c>
      <c r="AA46" s="6" t="s">
        <v>388</v>
      </c>
      <c r="AB46" s="6" t="s">
        <v>388</v>
      </c>
      <c r="AC46" s="12"/>
      <c r="AD46" s="12"/>
      <c r="AE46" s="83">
        <v>3</v>
      </c>
      <c r="AF46" s="5" t="s">
        <v>394</v>
      </c>
      <c r="AG46" s="34" t="s">
        <v>1838</v>
      </c>
      <c r="AH46" s="1"/>
      <c r="AI46" s="4" t="s">
        <v>83</v>
      </c>
      <c r="AJ46" s="4"/>
      <c r="AK46" s="2"/>
      <c r="AL46" s="178" t="s">
        <v>1690</v>
      </c>
      <c r="AM46" s="281"/>
      <c r="AN46" s="5" t="s">
        <v>388</v>
      </c>
      <c r="AO46" s="281"/>
      <c r="AP46" s="5" t="s">
        <v>388</v>
      </c>
    </row>
    <row r="47" spans="1:42" s="181" customFormat="1" ht="11.25" customHeight="1">
      <c r="A47" s="144" t="s">
        <v>80</v>
      </c>
      <c r="B47" s="1" t="s">
        <v>84</v>
      </c>
      <c r="C47" s="1" t="s">
        <v>85</v>
      </c>
      <c r="D47" s="4" t="s">
        <v>387</v>
      </c>
      <c r="E47" s="4" t="s">
        <v>624</v>
      </c>
      <c r="F47" s="4" t="s">
        <v>625</v>
      </c>
      <c r="G47" s="83">
        <v>1</v>
      </c>
      <c r="H47" s="6"/>
      <c r="I47" s="6"/>
      <c r="J47" s="6" t="s">
        <v>388</v>
      </c>
      <c r="K47" s="6"/>
      <c r="L47" s="6" t="s">
        <v>388</v>
      </c>
      <c r="M47" s="6" t="s">
        <v>388</v>
      </c>
      <c r="N47" s="6"/>
      <c r="O47" s="6"/>
      <c r="P47" s="6"/>
      <c r="Q47" s="6"/>
      <c r="R47" s="6"/>
      <c r="S47" s="6"/>
      <c r="T47" s="6" t="s">
        <v>388</v>
      </c>
      <c r="U47" s="6" t="s">
        <v>388</v>
      </c>
      <c r="V47" s="6"/>
      <c r="W47" s="6"/>
      <c r="X47" s="6"/>
      <c r="Y47" s="6"/>
      <c r="Z47" s="6"/>
      <c r="AA47" s="6" t="s">
        <v>388</v>
      </c>
      <c r="AB47" s="6" t="s">
        <v>388</v>
      </c>
      <c r="AC47" s="12"/>
      <c r="AD47" s="12" t="s">
        <v>388</v>
      </c>
      <c r="AE47" s="83">
        <v>3</v>
      </c>
      <c r="AF47" s="5" t="s">
        <v>394</v>
      </c>
      <c r="AG47" s="34" t="s">
        <v>1839</v>
      </c>
      <c r="AH47" s="1"/>
      <c r="AI47" s="4" t="s">
        <v>86</v>
      </c>
      <c r="AJ47" s="4"/>
      <c r="AK47" s="2"/>
      <c r="AL47" s="178" t="s">
        <v>1690</v>
      </c>
      <c r="AM47" s="281"/>
      <c r="AN47" s="5" t="s">
        <v>388</v>
      </c>
      <c r="AO47" s="281"/>
      <c r="AP47" s="281"/>
    </row>
    <row r="48" spans="1:42" s="181" customFormat="1" ht="11.25" customHeight="1">
      <c r="A48" s="144" t="s">
        <v>246</v>
      </c>
      <c r="B48" s="1" t="s">
        <v>2262</v>
      </c>
      <c r="C48" s="1" t="s">
        <v>251</v>
      </c>
      <c r="D48" s="4" t="s">
        <v>387</v>
      </c>
      <c r="E48" s="4" t="s">
        <v>625</v>
      </c>
      <c r="F48" s="4"/>
      <c r="G48" s="83">
        <v>1</v>
      </c>
      <c r="H48" s="6"/>
      <c r="I48" s="6"/>
      <c r="J48" s="6"/>
      <c r="K48" s="6"/>
      <c r="L48" s="6" t="s">
        <v>388</v>
      </c>
      <c r="M48" s="6" t="s">
        <v>388</v>
      </c>
      <c r="N48" s="6"/>
      <c r="O48" s="6"/>
      <c r="P48" s="6"/>
      <c r="Q48" s="6"/>
      <c r="R48" s="6"/>
      <c r="S48" s="6"/>
      <c r="T48" s="6" t="s">
        <v>388</v>
      </c>
      <c r="U48" s="6" t="s">
        <v>388</v>
      </c>
      <c r="V48" s="6"/>
      <c r="W48" s="6"/>
      <c r="X48" s="6"/>
      <c r="Y48" s="6"/>
      <c r="Z48" s="6"/>
      <c r="AA48" s="6"/>
      <c r="AB48" s="6"/>
      <c r="AC48" s="12"/>
      <c r="AD48" s="12"/>
      <c r="AE48" s="83">
        <v>3</v>
      </c>
      <c r="AF48" s="5" t="s">
        <v>389</v>
      </c>
      <c r="AG48" s="4" t="s">
        <v>1481</v>
      </c>
      <c r="AH48" s="1"/>
      <c r="AI48" s="4" t="s">
        <v>252</v>
      </c>
      <c r="AJ48" s="4"/>
      <c r="AK48" s="2"/>
      <c r="AL48" s="178" t="s">
        <v>1690</v>
      </c>
      <c r="AM48" s="283"/>
      <c r="AN48" s="6" t="s">
        <v>388</v>
      </c>
      <c r="AO48" s="283"/>
      <c r="AP48" s="6" t="s">
        <v>388</v>
      </c>
    </row>
    <row r="49" spans="1:42" s="181" customFormat="1" ht="11.25" customHeight="1">
      <c r="A49" s="144" t="s">
        <v>246</v>
      </c>
      <c r="B49" s="1" t="s">
        <v>2253</v>
      </c>
      <c r="C49" s="1" t="s">
        <v>248</v>
      </c>
      <c r="D49" s="4" t="s">
        <v>387</v>
      </c>
      <c r="E49" s="4" t="s">
        <v>625</v>
      </c>
      <c r="F49" s="4"/>
      <c r="G49" s="83">
        <v>1</v>
      </c>
      <c r="H49" s="6"/>
      <c r="I49" s="6"/>
      <c r="J49" s="6"/>
      <c r="K49" s="6"/>
      <c r="L49" s="6" t="s">
        <v>388</v>
      </c>
      <c r="M49" s="6"/>
      <c r="N49" s="6"/>
      <c r="O49" s="6"/>
      <c r="P49" s="6"/>
      <c r="Q49" s="6"/>
      <c r="R49" s="6"/>
      <c r="S49" s="6"/>
      <c r="T49" s="6" t="s">
        <v>388</v>
      </c>
      <c r="U49" s="6" t="s">
        <v>388</v>
      </c>
      <c r="V49" s="6"/>
      <c r="W49" s="6"/>
      <c r="X49" s="6"/>
      <c r="Y49" s="6"/>
      <c r="Z49" s="6"/>
      <c r="AA49" s="6" t="s">
        <v>388</v>
      </c>
      <c r="AB49" s="6" t="s">
        <v>388</v>
      </c>
      <c r="AC49" s="12"/>
      <c r="AD49" s="12"/>
      <c r="AE49" s="83">
        <v>3</v>
      </c>
      <c r="AF49" s="5" t="s">
        <v>389</v>
      </c>
      <c r="AG49" s="34" t="s">
        <v>2254</v>
      </c>
      <c r="AH49" s="1"/>
      <c r="AI49" s="4" t="s">
        <v>2252</v>
      </c>
      <c r="AJ49" s="4"/>
      <c r="AK49" s="2"/>
      <c r="AL49" s="178" t="s">
        <v>1690</v>
      </c>
      <c r="AM49" s="281"/>
      <c r="AN49" s="5" t="s">
        <v>388</v>
      </c>
      <c r="AO49" s="5" t="s">
        <v>388</v>
      </c>
      <c r="AP49" s="281"/>
    </row>
    <row r="50" spans="1:42" s="480" customFormat="1" ht="11.25" customHeight="1">
      <c r="A50" s="16" t="s">
        <v>2090</v>
      </c>
      <c r="B50" s="1" t="s">
        <v>1632</v>
      </c>
      <c r="C50" s="1" t="s">
        <v>976</v>
      </c>
      <c r="D50" s="1" t="s">
        <v>739</v>
      </c>
      <c r="E50" s="34" t="s">
        <v>625</v>
      </c>
      <c r="F50" s="1"/>
      <c r="G50" s="83">
        <v>1</v>
      </c>
      <c r="H50" s="6"/>
      <c r="I50" s="6"/>
      <c r="J50" s="6"/>
      <c r="K50" s="6"/>
      <c r="L50" s="6" t="s">
        <v>388</v>
      </c>
      <c r="M50" s="6"/>
      <c r="N50" s="6"/>
      <c r="O50" s="6"/>
      <c r="P50" s="6"/>
      <c r="Q50" s="6"/>
      <c r="R50" s="6"/>
      <c r="S50" s="6"/>
      <c r="T50" s="6"/>
      <c r="U50" s="6"/>
      <c r="V50" s="6"/>
      <c r="W50" s="6"/>
      <c r="X50" s="6"/>
      <c r="Y50" s="6"/>
      <c r="Z50" s="6"/>
      <c r="AA50" s="6"/>
      <c r="AB50" s="151"/>
      <c r="AC50" s="151"/>
      <c r="AD50" s="12"/>
      <c r="AE50" s="251"/>
      <c r="AF50" s="5" t="s">
        <v>389</v>
      </c>
      <c r="AG50" s="4" t="s">
        <v>1733</v>
      </c>
      <c r="AH50" s="1"/>
      <c r="AI50" s="143"/>
      <c r="AJ50" s="4"/>
      <c r="AK50" s="2" t="s">
        <v>2136</v>
      </c>
      <c r="AL50" s="179" t="s">
        <v>1693</v>
      </c>
      <c r="AM50" s="283"/>
      <c r="AN50" s="283"/>
      <c r="AO50" s="283"/>
      <c r="AP50" s="283"/>
    </row>
    <row r="51" spans="1:42" s="480" customFormat="1" ht="11.25" customHeight="1">
      <c r="A51" s="16" t="s">
        <v>2389</v>
      </c>
      <c r="B51" s="1" t="s">
        <v>1507</v>
      </c>
      <c r="C51" s="1" t="s">
        <v>1508</v>
      </c>
      <c r="D51" s="1" t="s">
        <v>387</v>
      </c>
      <c r="E51" s="34" t="s">
        <v>625</v>
      </c>
      <c r="F51" s="1"/>
      <c r="G51" s="83">
        <v>1</v>
      </c>
      <c r="H51" s="6"/>
      <c r="I51" s="6"/>
      <c r="J51" s="6"/>
      <c r="K51" s="6"/>
      <c r="L51" s="6"/>
      <c r="M51" s="6"/>
      <c r="N51" s="6"/>
      <c r="O51" s="6"/>
      <c r="P51" s="6"/>
      <c r="Q51" s="6"/>
      <c r="R51" s="6"/>
      <c r="S51" s="6"/>
      <c r="T51" s="6"/>
      <c r="U51" s="6" t="s">
        <v>388</v>
      </c>
      <c r="V51" s="6"/>
      <c r="W51" s="6"/>
      <c r="X51" s="6"/>
      <c r="Y51" s="6"/>
      <c r="Z51" s="6"/>
      <c r="AA51" s="6"/>
      <c r="AB51" s="151"/>
      <c r="AC51" s="151"/>
      <c r="AD51" s="12" t="s">
        <v>388</v>
      </c>
      <c r="AE51" s="251" t="s">
        <v>648</v>
      </c>
      <c r="AF51" s="5" t="s">
        <v>394</v>
      </c>
      <c r="AG51" s="34" t="s">
        <v>1509</v>
      </c>
      <c r="AH51" s="1"/>
      <c r="AI51" s="143"/>
      <c r="AJ51" s="4"/>
      <c r="AK51" s="1"/>
      <c r="AL51" s="178" t="s">
        <v>476</v>
      </c>
      <c r="AM51" s="281"/>
      <c r="AN51" s="5" t="s">
        <v>388</v>
      </c>
      <c r="AO51" s="281"/>
      <c r="AP51" s="5" t="s">
        <v>388</v>
      </c>
    </row>
    <row r="52" spans="1:42" s="480" customFormat="1" ht="11.25" customHeight="1">
      <c r="A52" s="16" t="s">
        <v>1374</v>
      </c>
      <c r="B52" s="1" t="s">
        <v>1376</v>
      </c>
      <c r="C52" s="1" t="s">
        <v>1375</v>
      </c>
      <c r="D52" s="1" t="s">
        <v>739</v>
      </c>
      <c r="E52" s="1" t="s">
        <v>625</v>
      </c>
      <c r="F52" s="1"/>
      <c r="G52" s="83">
        <v>1</v>
      </c>
      <c r="H52" s="6"/>
      <c r="I52" s="6"/>
      <c r="J52" s="6"/>
      <c r="K52" s="6"/>
      <c r="L52" s="6" t="s">
        <v>388</v>
      </c>
      <c r="M52" s="6" t="s">
        <v>388</v>
      </c>
      <c r="N52" s="6"/>
      <c r="O52" s="6"/>
      <c r="P52" s="6"/>
      <c r="Q52" s="6"/>
      <c r="R52" s="6" t="s">
        <v>388</v>
      </c>
      <c r="S52" s="6"/>
      <c r="T52" s="6"/>
      <c r="U52" s="6" t="s">
        <v>388</v>
      </c>
      <c r="V52" s="6"/>
      <c r="W52" s="6"/>
      <c r="X52" s="6"/>
      <c r="Y52" s="6"/>
      <c r="Z52" s="6" t="s">
        <v>388</v>
      </c>
      <c r="AA52" s="6"/>
      <c r="AB52" s="151"/>
      <c r="AC52" s="151"/>
      <c r="AD52" s="12"/>
      <c r="AE52" s="251" t="s">
        <v>648</v>
      </c>
      <c r="AF52" s="5" t="s">
        <v>394</v>
      </c>
      <c r="AG52" s="4" t="s">
        <v>1378</v>
      </c>
      <c r="AH52" s="1"/>
      <c r="AI52" s="143" t="s">
        <v>1377</v>
      </c>
      <c r="AJ52" s="4"/>
      <c r="AK52" s="1"/>
      <c r="AL52" s="179" t="s">
        <v>1706</v>
      </c>
      <c r="AM52" s="283"/>
      <c r="AN52" s="6" t="s">
        <v>388</v>
      </c>
      <c r="AO52" s="283"/>
      <c r="AP52" s="6" t="s">
        <v>388</v>
      </c>
    </row>
    <row r="53" spans="1:42" s="181" customFormat="1" ht="11.25" customHeight="1">
      <c r="A53" s="144" t="s">
        <v>90</v>
      </c>
      <c r="B53" s="2" t="s">
        <v>91</v>
      </c>
      <c r="C53" s="3" t="s">
        <v>92</v>
      </c>
      <c r="D53" s="13" t="s">
        <v>387</v>
      </c>
      <c r="E53" s="13" t="s">
        <v>624</v>
      </c>
      <c r="F53" s="13" t="s">
        <v>625</v>
      </c>
      <c r="G53" s="83">
        <v>1</v>
      </c>
      <c r="H53" s="6"/>
      <c r="I53" s="6"/>
      <c r="J53" s="6" t="s">
        <v>388</v>
      </c>
      <c r="K53" s="6"/>
      <c r="L53" s="6"/>
      <c r="M53" s="6"/>
      <c r="N53" s="6" t="s">
        <v>388</v>
      </c>
      <c r="O53" s="6"/>
      <c r="P53" s="6"/>
      <c r="Q53" s="6"/>
      <c r="R53" s="6"/>
      <c r="S53" s="6"/>
      <c r="T53" s="6" t="s">
        <v>388</v>
      </c>
      <c r="U53" s="6" t="s">
        <v>388</v>
      </c>
      <c r="V53" s="6"/>
      <c r="W53" s="6"/>
      <c r="X53" s="6"/>
      <c r="Y53" s="6" t="s">
        <v>388</v>
      </c>
      <c r="Z53" s="6" t="s">
        <v>388</v>
      </c>
      <c r="AA53" s="6"/>
      <c r="AB53" s="6" t="s">
        <v>388</v>
      </c>
      <c r="AC53" s="12"/>
      <c r="AD53" s="12"/>
      <c r="AE53" s="83">
        <v>2</v>
      </c>
      <c r="AF53" s="5" t="s">
        <v>394</v>
      </c>
      <c r="AG53" s="4" t="s">
        <v>1812</v>
      </c>
      <c r="AH53" s="1"/>
      <c r="AI53" s="4" t="s">
        <v>1811</v>
      </c>
      <c r="AJ53" s="4"/>
      <c r="AK53" s="2"/>
      <c r="AL53" s="178" t="s">
        <v>1690</v>
      </c>
      <c r="AM53" s="281"/>
      <c r="AN53" s="5" t="s">
        <v>388</v>
      </c>
      <c r="AO53" s="281"/>
      <c r="AP53" s="5" t="s">
        <v>388</v>
      </c>
    </row>
    <row r="54" spans="1:42" s="181" customFormat="1" ht="11.25" customHeight="1">
      <c r="A54" s="144" t="s">
        <v>1967</v>
      </c>
      <c r="B54" s="2" t="s">
        <v>1649</v>
      </c>
      <c r="C54" s="2" t="s">
        <v>442</v>
      </c>
      <c r="D54" s="34" t="s">
        <v>387</v>
      </c>
      <c r="E54" s="34" t="s">
        <v>626</v>
      </c>
      <c r="F54" s="34"/>
      <c r="G54" s="83">
        <v>1</v>
      </c>
      <c r="H54" s="6"/>
      <c r="I54" s="6"/>
      <c r="J54" s="6" t="s">
        <v>388</v>
      </c>
      <c r="K54" s="6"/>
      <c r="L54" s="6"/>
      <c r="M54" s="6"/>
      <c r="N54" s="6"/>
      <c r="O54" s="6"/>
      <c r="P54" s="6"/>
      <c r="Q54" s="6"/>
      <c r="R54" s="6"/>
      <c r="S54" s="6"/>
      <c r="T54" s="6"/>
      <c r="U54" s="6"/>
      <c r="V54" s="6"/>
      <c r="W54" s="6"/>
      <c r="X54" s="6"/>
      <c r="Y54" s="6"/>
      <c r="Z54" s="6"/>
      <c r="AA54" s="6"/>
      <c r="AB54" s="6"/>
      <c r="AC54" s="6"/>
      <c r="AD54" s="6"/>
      <c r="AE54" s="83">
        <v>4</v>
      </c>
      <c r="AF54" s="5" t="s">
        <v>723</v>
      </c>
      <c r="AG54" s="4" t="s">
        <v>443</v>
      </c>
      <c r="AH54" s="2"/>
      <c r="AI54" s="34"/>
      <c r="AJ54" s="34"/>
      <c r="AK54" s="2"/>
      <c r="AL54" s="179" t="s">
        <v>1691</v>
      </c>
      <c r="AM54" s="5" t="s">
        <v>388</v>
      </c>
      <c r="AN54" s="281"/>
      <c r="AO54" s="281"/>
      <c r="AP54" s="281"/>
    </row>
    <row r="55" spans="1:42" s="181" customFormat="1" ht="11.25" customHeight="1">
      <c r="A55" s="144" t="s">
        <v>99</v>
      </c>
      <c r="B55" s="2" t="s">
        <v>100</v>
      </c>
      <c r="C55" s="2" t="s">
        <v>101</v>
      </c>
      <c r="D55" s="34" t="s">
        <v>387</v>
      </c>
      <c r="E55" s="34" t="s">
        <v>624</v>
      </c>
      <c r="F55" s="4" t="s">
        <v>625</v>
      </c>
      <c r="G55" s="83">
        <v>1</v>
      </c>
      <c r="H55" s="6"/>
      <c r="I55" s="6"/>
      <c r="J55" s="6"/>
      <c r="K55" s="6"/>
      <c r="L55" s="6"/>
      <c r="M55" s="6" t="s">
        <v>388</v>
      </c>
      <c r="N55" s="6"/>
      <c r="O55" s="6"/>
      <c r="P55" s="6"/>
      <c r="Q55" s="6"/>
      <c r="R55" s="6"/>
      <c r="S55" s="6"/>
      <c r="T55" s="6" t="s">
        <v>388</v>
      </c>
      <c r="U55" s="6" t="s">
        <v>388</v>
      </c>
      <c r="V55" s="6"/>
      <c r="W55" s="6"/>
      <c r="X55" s="6"/>
      <c r="Y55" s="6"/>
      <c r="Z55" s="6"/>
      <c r="AA55" s="6" t="s">
        <v>388</v>
      </c>
      <c r="AB55" s="6"/>
      <c r="AC55" s="12"/>
      <c r="AD55" s="12"/>
      <c r="AE55" s="83" t="s">
        <v>102</v>
      </c>
      <c r="AF55" s="5" t="s">
        <v>394</v>
      </c>
      <c r="AG55" s="34" t="s">
        <v>1928</v>
      </c>
      <c r="AH55" s="2"/>
      <c r="AI55" s="34"/>
      <c r="AJ55" s="4"/>
      <c r="AK55" s="2"/>
      <c r="AL55" s="178" t="s">
        <v>1690</v>
      </c>
      <c r="AM55" s="281"/>
      <c r="AN55" s="5" t="s">
        <v>388</v>
      </c>
      <c r="AO55" s="5" t="s">
        <v>388</v>
      </c>
      <c r="AP55" s="5" t="s">
        <v>388</v>
      </c>
    </row>
    <row r="56" spans="1:42" s="181" customFormat="1" ht="11.25" customHeight="1">
      <c r="A56" s="16" t="s">
        <v>2107</v>
      </c>
      <c r="B56" s="1" t="s">
        <v>2161</v>
      </c>
      <c r="C56" s="1" t="s">
        <v>2108</v>
      </c>
      <c r="D56" s="1" t="s">
        <v>1150</v>
      </c>
      <c r="E56" s="1" t="s">
        <v>1869</v>
      </c>
      <c r="F56" s="1"/>
      <c r="G56" s="83">
        <v>1</v>
      </c>
      <c r="H56" s="6"/>
      <c r="I56" s="6"/>
      <c r="J56" s="6"/>
      <c r="K56" s="6"/>
      <c r="L56" s="6"/>
      <c r="M56" s="6"/>
      <c r="N56" s="6"/>
      <c r="O56" s="6"/>
      <c r="P56" s="6"/>
      <c r="Q56" s="6"/>
      <c r="R56" s="6" t="s">
        <v>388</v>
      </c>
      <c r="S56" s="6"/>
      <c r="T56" s="6"/>
      <c r="U56" s="6"/>
      <c r="V56" s="6"/>
      <c r="W56" s="6"/>
      <c r="X56" s="6"/>
      <c r="Y56" s="6"/>
      <c r="Z56" s="6"/>
      <c r="AA56" s="6"/>
      <c r="AB56" s="151"/>
      <c r="AC56" s="151"/>
      <c r="AD56" s="12"/>
      <c r="AE56" s="251"/>
      <c r="AF56" s="5" t="s">
        <v>389</v>
      </c>
      <c r="AG56" s="4" t="s">
        <v>2109</v>
      </c>
      <c r="AH56" s="1"/>
      <c r="AI56" s="143"/>
      <c r="AJ56" s="4"/>
      <c r="AK56" s="2" t="s">
        <v>2133</v>
      </c>
      <c r="AL56" s="179" t="s">
        <v>2110</v>
      </c>
      <c r="AM56" s="281"/>
      <c r="AN56" s="281"/>
      <c r="AO56" s="281"/>
      <c r="AP56" s="281"/>
    </row>
    <row r="57" spans="1:42" s="181" customFormat="1" ht="11.25" customHeight="1">
      <c r="A57" s="144" t="s">
        <v>1926</v>
      </c>
      <c r="B57" s="1" t="s">
        <v>553</v>
      </c>
      <c r="C57" s="1" t="s">
        <v>554</v>
      </c>
      <c r="D57" s="4" t="s">
        <v>387</v>
      </c>
      <c r="E57" s="4" t="s">
        <v>626</v>
      </c>
      <c r="F57" s="4"/>
      <c r="G57" s="83">
        <v>1</v>
      </c>
      <c r="H57" s="6" t="s">
        <v>388</v>
      </c>
      <c r="I57" s="6"/>
      <c r="J57" s="6"/>
      <c r="K57" s="6"/>
      <c r="L57" s="6"/>
      <c r="M57" s="6"/>
      <c r="N57" s="6"/>
      <c r="O57" s="6"/>
      <c r="P57" s="6"/>
      <c r="Q57" s="6"/>
      <c r="R57" s="6"/>
      <c r="S57" s="6"/>
      <c r="T57" s="6"/>
      <c r="U57" s="6"/>
      <c r="V57" s="6"/>
      <c r="W57" s="6"/>
      <c r="X57" s="6"/>
      <c r="Y57" s="6"/>
      <c r="Z57" s="6"/>
      <c r="AA57" s="6"/>
      <c r="AB57" s="6"/>
      <c r="AC57" s="12"/>
      <c r="AD57" s="12"/>
      <c r="AE57" s="83">
        <v>2</v>
      </c>
      <c r="AF57" s="5" t="s">
        <v>394</v>
      </c>
      <c r="AG57" s="34" t="s">
        <v>1927</v>
      </c>
      <c r="AH57" s="2"/>
      <c r="AI57" s="34"/>
      <c r="AJ57" s="4"/>
      <c r="AK57" s="2"/>
      <c r="AL57" s="179" t="s">
        <v>1691</v>
      </c>
      <c r="AM57" s="5" t="s">
        <v>388</v>
      </c>
      <c r="AN57" s="281"/>
      <c r="AO57" s="281"/>
      <c r="AP57" s="281"/>
    </row>
    <row r="58" spans="1:42" s="181" customFormat="1" ht="11.25" customHeight="1">
      <c r="A58" s="144" t="s">
        <v>1926</v>
      </c>
      <c r="B58" s="1" t="s">
        <v>556</v>
      </c>
      <c r="C58" s="2" t="s">
        <v>557</v>
      </c>
      <c r="D58" s="34" t="s">
        <v>387</v>
      </c>
      <c r="E58" s="34" t="s">
        <v>626</v>
      </c>
      <c r="F58" s="34"/>
      <c r="G58" s="83">
        <v>1</v>
      </c>
      <c r="H58" s="6"/>
      <c r="I58" s="6"/>
      <c r="J58" s="6" t="s">
        <v>388</v>
      </c>
      <c r="K58" s="6"/>
      <c r="L58" s="6"/>
      <c r="M58" s="6"/>
      <c r="N58" s="6"/>
      <c r="O58" s="6"/>
      <c r="P58" s="6"/>
      <c r="Q58" s="6"/>
      <c r="R58" s="6"/>
      <c r="S58" s="6"/>
      <c r="T58" s="6"/>
      <c r="U58" s="6"/>
      <c r="V58" s="6"/>
      <c r="W58" s="6"/>
      <c r="X58" s="6"/>
      <c r="Y58" s="6"/>
      <c r="Z58" s="6"/>
      <c r="AA58" s="6"/>
      <c r="AB58" s="6"/>
      <c r="AC58" s="12"/>
      <c r="AD58" s="12"/>
      <c r="AE58" s="83">
        <v>2</v>
      </c>
      <c r="AF58" s="5" t="s">
        <v>394</v>
      </c>
      <c r="AG58" s="4" t="s">
        <v>443</v>
      </c>
      <c r="AH58" s="2"/>
      <c r="AI58" s="4"/>
      <c r="AJ58" s="4"/>
      <c r="AK58" s="2"/>
      <c r="AL58" s="179" t="s">
        <v>1691</v>
      </c>
      <c r="AM58" s="5" t="s">
        <v>388</v>
      </c>
      <c r="AN58" s="281"/>
      <c r="AO58" s="281"/>
      <c r="AP58" s="281"/>
    </row>
    <row r="59" spans="1:42" s="181" customFormat="1" ht="11.25" customHeight="1">
      <c r="A59" s="144" t="s">
        <v>1926</v>
      </c>
      <c r="B59" s="2" t="s">
        <v>448</v>
      </c>
      <c r="C59" s="2" t="s">
        <v>449</v>
      </c>
      <c r="D59" s="34" t="s">
        <v>387</v>
      </c>
      <c r="E59" s="34" t="s">
        <v>626</v>
      </c>
      <c r="F59" s="34"/>
      <c r="G59" s="83">
        <v>1</v>
      </c>
      <c r="H59" s="6"/>
      <c r="I59" s="6"/>
      <c r="J59" s="6" t="s">
        <v>388</v>
      </c>
      <c r="K59" s="6"/>
      <c r="L59" s="6"/>
      <c r="M59" s="6"/>
      <c r="N59" s="6"/>
      <c r="O59" s="6"/>
      <c r="P59" s="6"/>
      <c r="Q59" s="6"/>
      <c r="R59" s="6"/>
      <c r="S59" s="6"/>
      <c r="T59" s="6"/>
      <c r="U59" s="6"/>
      <c r="V59" s="6"/>
      <c r="W59" s="6"/>
      <c r="X59" s="6"/>
      <c r="Y59" s="6"/>
      <c r="Z59" s="6"/>
      <c r="AA59" s="6"/>
      <c r="AB59" s="6"/>
      <c r="AC59" s="6"/>
      <c r="AD59" s="6"/>
      <c r="AE59" s="83">
        <v>4</v>
      </c>
      <c r="AF59" s="5" t="s">
        <v>394</v>
      </c>
      <c r="AG59" s="4" t="s">
        <v>443</v>
      </c>
      <c r="AH59" s="2"/>
      <c r="AI59" s="34"/>
      <c r="AJ59" s="34"/>
      <c r="AK59" s="2" t="s">
        <v>2137</v>
      </c>
      <c r="AL59" s="179" t="s">
        <v>1691</v>
      </c>
      <c r="AM59" s="5" t="s">
        <v>388</v>
      </c>
      <c r="AN59" s="281"/>
      <c r="AO59" s="281"/>
      <c r="AP59" s="281"/>
    </row>
    <row r="60" spans="1:42" s="181" customFormat="1" ht="11.25" customHeight="1">
      <c r="A60" s="144" t="s">
        <v>477</v>
      </c>
      <c r="B60" s="2" t="s">
        <v>478</v>
      </c>
      <c r="C60" s="2" t="s">
        <v>479</v>
      </c>
      <c r="D60" s="34" t="s">
        <v>387</v>
      </c>
      <c r="E60" s="34" t="s">
        <v>626</v>
      </c>
      <c r="F60" s="34"/>
      <c r="G60" s="83">
        <v>1</v>
      </c>
      <c r="H60" s="6"/>
      <c r="I60" s="6" t="s">
        <v>388</v>
      </c>
      <c r="J60" s="6" t="s">
        <v>388</v>
      </c>
      <c r="K60" s="6"/>
      <c r="L60" s="6"/>
      <c r="M60" s="6"/>
      <c r="N60" s="6"/>
      <c r="O60" s="6"/>
      <c r="P60" s="6"/>
      <c r="Q60" s="6"/>
      <c r="R60" s="6"/>
      <c r="S60" s="6"/>
      <c r="T60" s="6"/>
      <c r="U60" s="6"/>
      <c r="V60" s="6"/>
      <c r="W60" s="6"/>
      <c r="X60" s="6"/>
      <c r="Y60" s="6"/>
      <c r="Z60" s="6"/>
      <c r="AA60" s="6"/>
      <c r="AB60" s="6"/>
      <c r="AC60" s="6"/>
      <c r="AD60" s="6"/>
      <c r="AE60" s="83">
        <v>4</v>
      </c>
      <c r="AF60" s="5" t="s">
        <v>394</v>
      </c>
      <c r="AG60" s="4" t="s">
        <v>480</v>
      </c>
      <c r="AH60" s="2"/>
      <c r="AI60" s="34"/>
      <c r="AJ60" s="34"/>
      <c r="AK60" s="2"/>
      <c r="AL60" s="179" t="s">
        <v>1691</v>
      </c>
      <c r="AM60" s="5" t="s">
        <v>388</v>
      </c>
      <c r="AN60" s="281"/>
      <c r="AO60" s="281"/>
      <c r="AP60" s="281"/>
    </row>
    <row r="61" spans="1:42" s="181" customFormat="1" ht="11.25" customHeight="1">
      <c r="A61" s="17" t="s">
        <v>2154</v>
      </c>
      <c r="B61" s="1" t="s">
        <v>2155</v>
      </c>
      <c r="C61" s="1" t="s">
        <v>2156</v>
      </c>
      <c r="D61" s="4" t="s">
        <v>739</v>
      </c>
      <c r="E61" s="4" t="s">
        <v>1869</v>
      </c>
      <c r="F61" s="4"/>
      <c r="G61" s="83">
        <v>1</v>
      </c>
      <c r="H61" s="6"/>
      <c r="I61" s="6"/>
      <c r="J61" s="6"/>
      <c r="K61" s="6"/>
      <c r="L61" s="6"/>
      <c r="M61" s="6"/>
      <c r="N61" s="6"/>
      <c r="O61" s="6" t="s">
        <v>388</v>
      </c>
      <c r="P61" s="6"/>
      <c r="Q61" s="6"/>
      <c r="R61" s="6"/>
      <c r="S61" s="6"/>
      <c r="T61" s="6"/>
      <c r="U61" s="6"/>
      <c r="V61" s="6" t="s">
        <v>388</v>
      </c>
      <c r="W61" s="6" t="s">
        <v>388</v>
      </c>
      <c r="X61" s="6"/>
      <c r="Y61" s="6"/>
      <c r="Z61" s="6"/>
      <c r="AA61" s="6"/>
      <c r="AB61" s="12"/>
      <c r="AC61" s="12"/>
      <c r="AD61" s="12"/>
      <c r="AE61" s="251">
        <v>3</v>
      </c>
      <c r="AF61" s="5" t="s">
        <v>394</v>
      </c>
      <c r="AG61" s="4" t="s">
        <v>2157</v>
      </c>
      <c r="AH61" s="1"/>
      <c r="AI61" s="143"/>
      <c r="AJ61" s="4"/>
      <c r="AK61" s="2" t="s">
        <v>2133</v>
      </c>
      <c r="AL61" s="178" t="s">
        <v>1699</v>
      </c>
      <c r="AM61" s="281"/>
      <c r="AN61" s="281"/>
      <c r="AO61" s="5" t="s">
        <v>388</v>
      </c>
      <c r="AP61" s="5" t="s">
        <v>388</v>
      </c>
    </row>
    <row r="62" spans="1:42" s="181" customFormat="1" ht="11.25" customHeight="1">
      <c r="A62" s="144" t="s">
        <v>847</v>
      </c>
      <c r="B62" s="2" t="s">
        <v>846</v>
      </c>
      <c r="C62" s="2" t="s">
        <v>442</v>
      </c>
      <c r="D62" s="34" t="s">
        <v>739</v>
      </c>
      <c r="E62" s="34" t="s">
        <v>625</v>
      </c>
      <c r="F62" s="34"/>
      <c r="G62" s="83">
        <v>1</v>
      </c>
      <c r="H62" s="6"/>
      <c r="I62" s="6"/>
      <c r="J62" s="6" t="s">
        <v>388</v>
      </c>
      <c r="K62" s="6"/>
      <c r="L62" s="6"/>
      <c r="M62" s="6"/>
      <c r="N62" s="6" t="s">
        <v>388</v>
      </c>
      <c r="O62" s="6"/>
      <c r="P62" s="6"/>
      <c r="Q62" s="6"/>
      <c r="R62" s="6"/>
      <c r="S62" s="6"/>
      <c r="T62" s="6"/>
      <c r="U62" s="6"/>
      <c r="V62" s="6"/>
      <c r="W62" s="6"/>
      <c r="X62" s="6"/>
      <c r="Y62" s="6"/>
      <c r="Z62" s="6"/>
      <c r="AA62" s="6"/>
      <c r="AB62" s="6"/>
      <c r="AC62" s="12"/>
      <c r="AD62" s="12"/>
      <c r="AE62" s="83" t="s">
        <v>648</v>
      </c>
      <c r="AF62" s="6" t="s">
        <v>394</v>
      </c>
      <c r="AG62" s="34" t="s">
        <v>848</v>
      </c>
      <c r="AH62" s="2"/>
      <c r="AI62" s="34"/>
      <c r="AJ62" s="34" t="s">
        <v>763</v>
      </c>
      <c r="AK62" s="2"/>
      <c r="AL62" s="178" t="s">
        <v>476</v>
      </c>
      <c r="AM62" s="5" t="s">
        <v>388</v>
      </c>
      <c r="AN62" s="281"/>
      <c r="AO62" s="281"/>
      <c r="AP62" s="5" t="s">
        <v>388</v>
      </c>
    </row>
    <row r="63" spans="1:42" s="480" customFormat="1" ht="11.25" customHeight="1">
      <c r="A63" s="144" t="s">
        <v>1923</v>
      </c>
      <c r="B63" s="2" t="s">
        <v>439</v>
      </c>
      <c r="C63" s="2" t="s">
        <v>440</v>
      </c>
      <c r="D63" s="34" t="s">
        <v>387</v>
      </c>
      <c r="E63" s="34" t="s">
        <v>626</v>
      </c>
      <c r="F63" s="34"/>
      <c r="G63" s="83">
        <v>1</v>
      </c>
      <c r="H63" s="6"/>
      <c r="I63" s="6"/>
      <c r="J63" s="6"/>
      <c r="K63" s="6"/>
      <c r="L63" s="6" t="s">
        <v>388</v>
      </c>
      <c r="M63" s="6" t="s">
        <v>388</v>
      </c>
      <c r="N63" s="6"/>
      <c r="O63" s="6"/>
      <c r="P63" s="6"/>
      <c r="Q63" s="6"/>
      <c r="R63" s="6"/>
      <c r="S63" s="6"/>
      <c r="T63" s="6"/>
      <c r="U63" s="6"/>
      <c r="V63" s="6"/>
      <c r="W63" s="6"/>
      <c r="X63" s="6"/>
      <c r="Y63" s="6"/>
      <c r="Z63" s="6"/>
      <c r="AA63" s="6"/>
      <c r="AB63" s="6"/>
      <c r="AC63" s="11"/>
      <c r="AD63" s="11"/>
      <c r="AE63" s="83">
        <v>4</v>
      </c>
      <c r="AF63" s="5" t="s">
        <v>394</v>
      </c>
      <c r="AG63" s="4" t="s">
        <v>1924</v>
      </c>
      <c r="AH63" s="2"/>
      <c r="AI63" s="34"/>
      <c r="AJ63" s="34"/>
      <c r="AK63" s="2" t="s">
        <v>2136</v>
      </c>
      <c r="AL63" s="178" t="s">
        <v>1691</v>
      </c>
      <c r="AM63" s="6" t="s">
        <v>388</v>
      </c>
      <c r="AN63" s="283"/>
      <c r="AO63" s="283"/>
      <c r="AP63" s="283"/>
    </row>
    <row r="64" spans="1:42" s="181" customFormat="1" ht="11.25" customHeight="1">
      <c r="A64" s="17" t="s">
        <v>1973</v>
      </c>
      <c r="B64" s="2" t="s">
        <v>1590</v>
      </c>
      <c r="C64" s="2" t="s">
        <v>1976</v>
      </c>
      <c r="D64" s="2" t="s">
        <v>387</v>
      </c>
      <c r="E64" s="2" t="s">
        <v>625</v>
      </c>
      <c r="F64" s="2"/>
      <c r="G64" s="83">
        <v>1</v>
      </c>
      <c r="H64" s="6"/>
      <c r="I64" s="6"/>
      <c r="J64" s="6"/>
      <c r="K64" s="6"/>
      <c r="L64" s="6"/>
      <c r="M64" s="6"/>
      <c r="N64" s="6"/>
      <c r="O64" s="6"/>
      <c r="P64" s="6"/>
      <c r="Q64" s="6"/>
      <c r="R64" s="6"/>
      <c r="S64" s="6"/>
      <c r="T64" s="6"/>
      <c r="U64" s="6" t="s">
        <v>388</v>
      </c>
      <c r="V64" s="6"/>
      <c r="W64" s="6"/>
      <c r="X64" s="6"/>
      <c r="Y64" s="6"/>
      <c r="Z64" s="6"/>
      <c r="AA64" s="6"/>
      <c r="AB64" s="151"/>
      <c r="AC64" s="151"/>
      <c r="AD64" s="12"/>
      <c r="AE64" s="251"/>
      <c r="AF64" s="6" t="s">
        <v>394</v>
      </c>
      <c r="AG64" s="34" t="s">
        <v>1977</v>
      </c>
      <c r="AH64" s="2"/>
      <c r="AI64" s="253" t="s">
        <v>1978</v>
      </c>
      <c r="AJ64" s="34"/>
      <c r="AK64" s="2"/>
      <c r="AL64" s="178" t="s">
        <v>1703</v>
      </c>
      <c r="AM64" s="281"/>
      <c r="AN64" s="5" t="s">
        <v>388</v>
      </c>
      <c r="AO64" s="281"/>
      <c r="AP64" s="281"/>
    </row>
    <row r="65" spans="1:42" s="181" customFormat="1" ht="11.25" customHeight="1">
      <c r="A65" s="144" t="s">
        <v>265</v>
      </c>
      <c r="B65" s="1" t="s">
        <v>266</v>
      </c>
      <c r="C65" s="1" t="s">
        <v>267</v>
      </c>
      <c r="D65" s="4" t="s">
        <v>1150</v>
      </c>
      <c r="E65" s="4" t="s">
        <v>625</v>
      </c>
      <c r="F65" s="4"/>
      <c r="G65" s="83">
        <v>1</v>
      </c>
      <c r="H65" s="6"/>
      <c r="I65" s="6"/>
      <c r="J65" s="6"/>
      <c r="K65" s="6" t="s">
        <v>388</v>
      </c>
      <c r="L65" s="6"/>
      <c r="M65" s="6"/>
      <c r="N65" s="6"/>
      <c r="O65" s="6"/>
      <c r="P65" s="6"/>
      <c r="Q65" s="6"/>
      <c r="R65" s="6"/>
      <c r="S65" s="6"/>
      <c r="T65" s="6" t="s">
        <v>388</v>
      </c>
      <c r="U65" s="6"/>
      <c r="V65" s="6" t="s">
        <v>388</v>
      </c>
      <c r="W65" s="6"/>
      <c r="X65" s="6"/>
      <c r="Y65" s="6"/>
      <c r="Z65" s="6" t="s">
        <v>388</v>
      </c>
      <c r="AA65" s="6" t="s">
        <v>388</v>
      </c>
      <c r="AB65" s="6"/>
      <c r="AC65" s="12" t="s">
        <v>388</v>
      </c>
      <c r="AD65" s="12"/>
      <c r="AE65" s="83">
        <v>3</v>
      </c>
      <c r="AF65" s="5" t="s">
        <v>389</v>
      </c>
      <c r="AG65" s="4" t="s">
        <v>1186</v>
      </c>
      <c r="AH65" s="1"/>
      <c r="AI65" s="4" t="s">
        <v>268</v>
      </c>
      <c r="AJ65" s="4"/>
      <c r="AK65" s="2"/>
      <c r="AL65" s="178" t="s">
        <v>1690</v>
      </c>
      <c r="AM65" s="281"/>
      <c r="AN65" s="281"/>
      <c r="AO65" s="5" t="s">
        <v>388</v>
      </c>
      <c r="AP65" s="5" t="s">
        <v>388</v>
      </c>
    </row>
    <row r="66" spans="1:42" s="181" customFormat="1" ht="11.25" customHeight="1">
      <c r="A66" s="16" t="s">
        <v>1314</v>
      </c>
      <c r="B66" s="14" t="s">
        <v>1709</v>
      </c>
      <c r="C66" s="1" t="s">
        <v>1313</v>
      </c>
      <c r="D66" s="1" t="s">
        <v>1150</v>
      </c>
      <c r="E66" s="1" t="s">
        <v>625</v>
      </c>
      <c r="F66" s="1"/>
      <c r="G66" s="83">
        <v>1</v>
      </c>
      <c r="H66" s="6"/>
      <c r="I66" s="6"/>
      <c r="J66" s="6"/>
      <c r="K66" s="6"/>
      <c r="L66" s="6"/>
      <c r="M66" s="6"/>
      <c r="N66" s="6"/>
      <c r="O66" s="6" t="s">
        <v>388</v>
      </c>
      <c r="P66" s="6"/>
      <c r="Q66" s="6"/>
      <c r="R66" s="6" t="s">
        <v>388</v>
      </c>
      <c r="S66" s="6"/>
      <c r="T66" s="6" t="s">
        <v>388</v>
      </c>
      <c r="U66" s="6"/>
      <c r="V66" s="6" t="s">
        <v>388</v>
      </c>
      <c r="W66" s="6"/>
      <c r="X66" s="6"/>
      <c r="Y66" s="6"/>
      <c r="Z66" s="6"/>
      <c r="AA66" s="6"/>
      <c r="AB66" s="151"/>
      <c r="AC66" s="151"/>
      <c r="AD66" s="12" t="s">
        <v>388</v>
      </c>
      <c r="AE66" s="251" t="s">
        <v>648</v>
      </c>
      <c r="AF66" s="5" t="s">
        <v>394</v>
      </c>
      <c r="AG66" s="4" t="s">
        <v>1315</v>
      </c>
      <c r="AH66" s="1"/>
      <c r="AI66" s="143" t="s">
        <v>1685</v>
      </c>
      <c r="AJ66" s="4"/>
      <c r="AK66" s="1"/>
      <c r="AL66" s="179" t="s">
        <v>1694</v>
      </c>
      <c r="AM66" s="281"/>
      <c r="AN66" s="281"/>
      <c r="AO66" s="281"/>
      <c r="AP66" s="5" t="s">
        <v>388</v>
      </c>
    </row>
    <row r="67" spans="1:42" s="480" customFormat="1" ht="11.25" customHeight="1">
      <c r="A67" s="144" t="s">
        <v>1966</v>
      </c>
      <c r="B67" s="2" t="s">
        <v>489</v>
      </c>
      <c r="C67" s="2" t="s">
        <v>490</v>
      </c>
      <c r="D67" s="34" t="s">
        <v>387</v>
      </c>
      <c r="E67" s="34" t="s">
        <v>626</v>
      </c>
      <c r="F67" s="34"/>
      <c r="G67" s="83">
        <v>1</v>
      </c>
      <c r="H67" s="6" t="s">
        <v>388</v>
      </c>
      <c r="I67" s="6"/>
      <c r="J67" s="6"/>
      <c r="K67" s="6"/>
      <c r="L67" s="6"/>
      <c r="M67" s="6"/>
      <c r="N67" s="6"/>
      <c r="O67" s="6"/>
      <c r="P67" s="6"/>
      <c r="Q67" s="6"/>
      <c r="R67" s="6"/>
      <c r="S67" s="6"/>
      <c r="T67" s="6"/>
      <c r="U67" s="6"/>
      <c r="V67" s="6"/>
      <c r="W67" s="6"/>
      <c r="X67" s="6"/>
      <c r="Y67" s="6"/>
      <c r="Z67" s="6"/>
      <c r="AA67" s="6"/>
      <c r="AB67" s="6"/>
      <c r="AC67" s="6"/>
      <c r="AD67" s="6"/>
      <c r="AE67" s="83">
        <v>4</v>
      </c>
      <c r="AF67" s="5" t="s">
        <v>394</v>
      </c>
      <c r="AG67" s="4" t="s">
        <v>491</v>
      </c>
      <c r="AH67" s="2"/>
      <c r="AI67" s="34"/>
      <c r="AJ67" s="34"/>
      <c r="AK67" s="2"/>
      <c r="AL67" s="179" t="s">
        <v>1691</v>
      </c>
      <c r="AM67" s="6" t="s">
        <v>388</v>
      </c>
      <c r="AN67" s="283"/>
      <c r="AO67" s="283"/>
      <c r="AP67" s="283"/>
    </row>
    <row r="68" spans="1:42" s="181" customFormat="1" ht="11.25" customHeight="1">
      <c r="A68" s="17" t="s">
        <v>1032</v>
      </c>
      <c r="B68" s="2" t="s">
        <v>1056</v>
      </c>
      <c r="C68" s="2" t="s">
        <v>1055</v>
      </c>
      <c r="D68" s="34" t="s">
        <v>387</v>
      </c>
      <c r="E68" s="34" t="s">
        <v>625</v>
      </c>
      <c r="F68" s="4"/>
      <c r="G68" s="83">
        <v>1</v>
      </c>
      <c r="H68" s="6"/>
      <c r="I68" s="6"/>
      <c r="J68" s="6"/>
      <c r="K68" s="6"/>
      <c r="L68" s="6"/>
      <c r="M68" s="6"/>
      <c r="N68" s="6"/>
      <c r="O68" s="6"/>
      <c r="P68" s="6"/>
      <c r="Q68" s="6"/>
      <c r="R68" s="6"/>
      <c r="S68" s="6"/>
      <c r="T68" s="6"/>
      <c r="U68" s="6"/>
      <c r="V68" s="6"/>
      <c r="W68" s="6"/>
      <c r="X68" s="6"/>
      <c r="Y68" s="6"/>
      <c r="Z68" s="6"/>
      <c r="AA68" s="6"/>
      <c r="AB68" s="6"/>
      <c r="AC68" s="12"/>
      <c r="AD68" s="12"/>
      <c r="AE68" s="83" t="s">
        <v>648</v>
      </c>
      <c r="AF68" s="5" t="s">
        <v>389</v>
      </c>
      <c r="AG68" s="163" t="s">
        <v>1057</v>
      </c>
      <c r="AH68" s="1"/>
      <c r="AI68" s="4" t="s">
        <v>1058</v>
      </c>
      <c r="AJ68" s="4"/>
      <c r="AK68" s="2"/>
      <c r="AL68" s="179" t="s">
        <v>1691</v>
      </c>
      <c r="AM68" s="5" t="s">
        <v>388</v>
      </c>
      <c r="AN68" s="281"/>
      <c r="AO68" s="281"/>
      <c r="AP68" s="281"/>
    </row>
    <row r="69" spans="1:42" s="480" customFormat="1" ht="11.25" customHeight="1">
      <c r="A69" s="17" t="s">
        <v>1032</v>
      </c>
      <c r="B69" s="14" t="s">
        <v>1034</v>
      </c>
      <c r="C69" s="36" t="s">
        <v>1031</v>
      </c>
      <c r="D69" s="34" t="s">
        <v>387</v>
      </c>
      <c r="E69" s="34" t="s">
        <v>625</v>
      </c>
      <c r="F69" s="35"/>
      <c r="G69" s="83">
        <v>1</v>
      </c>
      <c r="H69" s="6"/>
      <c r="I69" s="6"/>
      <c r="J69" s="6"/>
      <c r="K69" s="6"/>
      <c r="L69" s="6"/>
      <c r="M69" s="6"/>
      <c r="N69" s="6"/>
      <c r="O69" s="6"/>
      <c r="P69" s="6"/>
      <c r="Q69" s="6"/>
      <c r="R69" s="6"/>
      <c r="S69" s="6"/>
      <c r="T69" s="6"/>
      <c r="U69" s="6"/>
      <c r="V69" s="6"/>
      <c r="W69" s="6"/>
      <c r="X69" s="6"/>
      <c r="Y69" s="6"/>
      <c r="Z69" s="6"/>
      <c r="AA69" s="6"/>
      <c r="AB69" s="6"/>
      <c r="AC69" s="12"/>
      <c r="AD69" s="12"/>
      <c r="AE69" s="83" t="s">
        <v>648</v>
      </c>
      <c r="AF69" s="8" t="s">
        <v>389</v>
      </c>
      <c r="AG69" s="34" t="s">
        <v>1035</v>
      </c>
      <c r="AH69" s="2"/>
      <c r="AI69" s="4" t="s">
        <v>1033</v>
      </c>
      <c r="AJ69" s="4"/>
      <c r="AK69" s="2"/>
      <c r="AL69" s="179" t="s">
        <v>1691</v>
      </c>
      <c r="AM69" s="6" t="s">
        <v>388</v>
      </c>
      <c r="AN69" s="283"/>
      <c r="AO69" s="283"/>
      <c r="AP69" s="6" t="s">
        <v>388</v>
      </c>
    </row>
    <row r="70" spans="1:42" s="181" customFormat="1" ht="11.25" customHeight="1">
      <c r="A70" s="16" t="s">
        <v>1498</v>
      </c>
      <c r="B70" s="1" t="s">
        <v>1499</v>
      </c>
      <c r="C70" s="1" t="s">
        <v>1500</v>
      </c>
      <c r="D70" s="1" t="s">
        <v>387</v>
      </c>
      <c r="E70" s="34" t="s">
        <v>625</v>
      </c>
      <c r="F70" s="1"/>
      <c r="G70" s="83">
        <v>1</v>
      </c>
      <c r="H70" s="6"/>
      <c r="I70" s="6"/>
      <c r="J70" s="6"/>
      <c r="K70" s="6"/>
      <c r="L70" s="6"/>
      <c r="M70" s="6"/>
      <c r="N70" s="6" t="s">
        <v>388</v>
      </c>
      <c r="O70" s="6"/>
      <c r="P70" s="6"/>
      <c r="Q70" s="6"/>
      <c r="R70" s="6"/>
      <c r="S70" s="6"/>
      <c r="T70" s="6"/>
      <c r="U70" s="6"/>
      <c r="V70" s="6"/>
      <c r="W70" s="6"/>
      <c r="X70" s="6"/>
      <c r="Y70" s="6"/>
      <c r="Z70" s="6"/>
      <c r="AA70" s="6"/>
      <c r="AB70" s="151"/>
      <c r="AC70" s="151"/>
      <c r="AD70" s="12" t="s">
        <v>388</v>
      </c>
      <c r="AE70" s="251" t="s">
        <v>648</v>
      </c>
      <c r="AF70" s="5" t="s">
        <v>641</v>
      </c>
      <c r="AG70" s="4" t="s">
        <v>1722</v>
      </c>
      <c r="AH70" s="1"/>
      <c r="AI70" s="143"/>
      <c r="AJ70" s="4"/>
      <c r="AK70" s="1"/>
      <c r="AL70" s="178" t="s">
        <v>476</v>
      </c>
      <c r="AM70" s="5" t="s">
        <v>388</v>
      </c>
      <c r="AN70" s="5" t="s">
        <v>388</v>
      </c>
      <c r="AO70" s="281"/>
      <c r="AP70" s="5" t="s">
        <v>388</v>
      </c>
    </row>
    <row r="71" spans="1:42" s="181" customFormat="1" ht="11.25" customHeight="1">
      <c r="A71" s="144" t="s">
        <v>269</v>
      </c>
      <c r="B71" s="1" t="s">
        <v>270</v>
      </c>
      <c r="C71" s="1" t="s">
        <v>271</v>
      </c>
      <c r="D71" s="4" t="s">
        <v>387</v>
      </c>
      <c r="E71" s="4" t="s">
        <v>625</v>
      </c>
      <c r="F71" s="4"/>
      <c r="G71" s="83">
        <v>1</v>
      </c>
      <c r="H71" s="6"/>
      <c r="I71" s="6"/>
      <c r="J71" s="6"/>
      <c r="K71" s="6"/>
      <c r="L71" s="6"/>
      <c r="M71" s="6"/>
      <c r="N71" s="6"/>
      <c r="O71" s="6" t="s">
        <v>388</v>
      </c>
      <c r="P71" s="6"/>
      <c r="Q71" s="6"/>
      <c r="R71" s="6"/>
      <c r="S71" s="6"/>
      <c r="T71" s="6" t="s">
        <v>388</v>
      </c>
      <c r="U71" s="6" t="s">
        <v>388</v>
      </c>
      <c r="V71" s="6" t="s">
        <v>388</v>
      </c>
      <c r="W71" s="6"/>
      <c r="X71" s="6"/>
      <c r="Y71" s="6"/>
      <c r="Z71" s="6"/>
      <c r="AA71" s="6" t="s">
        <v>388</v>
      </c>
      <c r="AB71" s="6"/>
      <c r="AC71" s="12" t="s">
        <v>388</v>
      </c>
      <c r="AD71" s="12"/>
      <c r="AE71" s="83">
        <v>3</v>
      </c>
      <c r="AF71" s="5" t="s">
        <v>389</v>
      </c>
      <c r="AG71" s="34" t="s">
        <v>725</v>
      </c>
      <c r="AH71" s="1"/>
      <c r="AI71" s="4" t="s">
        <v>724</v>
      </c>
      <c r="AJ71" s="4"/>
      <c r="AK71" s="2"/>
      <c r="AL71" s="178" t="s">
        <v>1690</v>
      </c>
      <c r="AM71" s="281"/>
      <c r="AN71" s="281"/>
      <c r="AO71" s="5" t="s">
        <v>388</v>
      </c>
      <c r="AP71" s="5" t="s">
        <v>388</v>
      </c>
    </row>
    <row r="72" spans="1:42" s="181" customFormat="1" ht="11.25" customHeight="1">
      <c r="A72" s="16" t="s">
        <v>1013</v>
      </c>
      <c r="B72" s="1" t="s">
        <v>1026</v>
      </c>
      <c r="C72" s="1" t="s">
        <v>1020</v>
      </c>
      <c r="D72" s="4" t="s">
        <v>739</v>
      </c>
      <c r="E72" s="34" t="s">
        <v>625</v>
      </c>
      <c r="F72" s="34"/>
      <c r="G72" s="83">
        <v>1</v>
      </c>
      <c r="H72" s="6"/>
      <c r="I72" s="6"/>
      <c r="J72" s="6"/>
      <c r="K72" s="6"/>
      <c r="L72" s="6"/>
      <c r="M72" s="6"/>
      <c r="N72" s="6"/>
      <c r="O72" s="6"/>
      <c r="P72" s="6" t="s">
        <v>388</v>
      </c>
      <c r="Q72" s="6"/>
      <c r="R72" s="6"/>
      <c r="S72" s="6"/>
      <c r="T72" s="6"/>
      <c r="U72" s="6"/>
      <c r="V72" s="6"/>
      <c r="W72" s="6"/>
      <c r="X72" s="6"/>
      <c r="Y72" s="6"/>
      <c r="Z72" s="6"/>
      <c r="AA72" s="6"/>
      <c r="AB72" s="6"/>
      <c r="AC72" s="12"/>
      <c r="AD72" s="12"/>
      <c r="AE72" s="83"/>
      <c r="AF72" s="5" t="s">
        <v>1022</v>
      </c>
      <c r="AG72" s="4" t="s">
        <v>1021</v>
      </c>
      <c r="AH72" s="1"/>
      <c r="AI72" s="4"/>
      <c r="AJ72" s="4"/>
      <c r="AK72" s="2"/>
      <c r="AL72" s="179" t="s">
        <v>1702</v>
      </c>
      <c r="AM72" s="281"/>
      <c r="AN72" s="5" t="s">
        <v>388</v>
      </c>
      <c r="AO72" s="281"/>
      <c r="AP72" s="5"/>
    </row>
    <row r="73" spans="1:42" s="181" customFormat="1" ht="11.25" customHeight="1">
      <c r="A73" s="144" t="s">
        <v>105</v>
      </c>
      <c r="B73" s="1" t="s">
        <v>108</v>
      </c>
      <c r="C73" s="1" t="s">
        <v>109</v>
      </c>
      <c r="D73" s="4" t="s">
        <v>387</v>
      </c>
      <c r="E73" s="4" t="s">
        <v>624</v>
      </c>
      <c r="F73" s="4" t="s">
        <v>625</v>
      </c>
      <c r="G73" s="83">
        <v>1</v>
      </c>
      <c r="H73" s="6"/>
      <c r="I73" s="6"/>
      <c r="J73" s="6"/>
      <c r="K73" s="6"/>
      <c r="L73" s="6" t="s">
        <v>388</v>
      </c>
      <c r="M73" s="6" t="s">
        <v>388</v>
      </c>
      <c r="N73" s="6"/>
      <c r="O73" s="6"/>
      <c r="P73" s="6"/>
      <c r="Q73" s="6"/>
      <c r="R73" s="6"/>
      <c r="S73" s="6"/>
      <c r="T73" s="6" t="s">
        <v>388</v>
      </c>
      <c r="U73" s="6"/>
      <c r="V73" s="6"/>
      <c r="W73" s="6"/>
      <c r="X73" s="6"/>
      <c r="Y73" s="6"/>
      <c r="Z73" s="6"/>
      <c r="AA73" s="6"/>
      <c r="AB73" s="6"/>
      <c r="AC73" s="12" t="s">
        <v>388</v>
      </c>
      <c r="AD73" s="12" t="s">
        <v>388</v>
      </c>
      <c r="AE73" s="83">
        <v>3</v>
      </c>
      <c r="AF73" s="5" t="s">
        <v>394</v>
      </c>
      <c r="AG73" s="34" t="s">
        <v>1917</v>
      </c>
      <c r="AH73" s="1"/>
      <c r="AI73" s="4" t="s">
        <v>110</v>
      </c>
      <c r="AJ73" s="4"/>
      <c r="AK73" s="2"/>
      <c r="AL73" s="178" t="s">
        <v>1690</v>
      </c>
      <c r="AM73" s="283"/>
      <c r="AN73" s="6" t="s">
        <v>388</v>
      </c>
      <c r="AO73" s="6" t="s">
        <v>388</v>
      </c>
      <c r="AP73" s="283"/>
    </row>
    <row r="74" spans="1:42" s="181" customFormat="1" ht="11.25" customHeight="1">
      <c r="A74" s="16" t="s">
        <v>105</v>
      </c>
      <c r="B74" s="1" t="s">
        <v>1153</v>
      </c>
      <c r="C74" s="1" t="s">
        <v>1154</v>
      </c>
      <c r="D74" s="1" t="s">
        <v>739</v>
      </c>
      <c r="E74" s="34" t="s">
        <v>625</v>
      </c>
      <c r="F74" s="1"/>
      <c r="G74" s="83">
        <v>1</v>
      </c>
      <c r="H74" s="6"/>
      <c r="I74" s="6"/>
      <c r="J74" s="6"/>
      <c r="K74" s="6"/>
      <c r="L74" s="6" t="s">
        <v>388</v>
      </c>
      <c r="M74" s="6" t="s">
        <v>388</v>
      </c>
      <c r="N74" s="6"/>
      <c r="O74" s="6"/>
      <c r="P74" s="6"/>
      <c r="Q74" s="6"/>
      <c r="R74" s="6"/>
      <c r="S74" s="6"/>
      <c r="T74" s="6" t="s">
        <v>388</v>
      </c>
      <c r="U74" s="6"/>
      <c r="V74" s="6"/>
      <c r="W74" s="6"/>
      <c r="X74" s="6"/>
      <c r="Y74" s="6"/>
      <c r="Z74" s="6"/>
      <c r="AA74" s="6"/>
      <c r="AB74" s="151"/>
      <c r="AC74" s="151"/>
      <c r="AD74" s="12"/>
      <c r="AE74" s="251" t="s">
        <v>648</v>
      </c>
      <c r="AF74" s="5" t="s">
        <v>389</v>
      </c>
      <c r="AG74" s="4" t="s">
        <v>1155</v>
      </c>
      <c r="AH74" s="1"/>
      <c r="AI74" s="143" t="s">
        <v>1156</v>
      </c>
      <c r="AJ74" s="4"/>
      <c r="AK74" s="1"/>
      <c r="AL74" s="179" t="s">
        <v>1698</v>
      </c>
      <c r="AM74" s="281"/>
      <c r="AN74" s="5" t="s">
        <v>388</v>
      </c>
      <c r="AO74" s="5" t="s">
        <v>388</v>
      </c>
      <c r="AP74" s="281"/>
    </row>
    <row r="75" spans="1:42" s="480" customFormat="1" ht="11.25" customHeight="1">
      <c r="A75" s="144" t="s">
        <v>105</v>
      </c>
      <c r="B75" s="1" t="s">
        <v>272</v>
      </c>
      <c r="C75" s="1" t="s">
        <v>273</v>
      </c>
      <c r="D75" s="4" t="s">
        <v>387</v>
      </c>
      <c r="E75" s="4" t="s">
        <v>625</v>
      </c>
      <c r="F75" s="4"/>
      <c r="G75" s="83">
        <v>1</v>
      </c>
      <c r="H75" s="6"/>
      <c r="I75" s="6"/>
      <c r="J75" s="6"/>
      <c r="K75" s="6"/>
      <c r="L75" s="6"/>
      <c r="M75" s="6"/>
      <c r="N75" s="6"/>
      <c r="O75" s="6"/>
      <c r="P75" s="6"/>
      <c r="Q75" s="6"/>
      <c r="R75" s="6"/>
      <c r="S75" s="6"/>
      <c r="T75" s="6"/>
      <c r="U75" s="6"/>
      <c r="V75" s="6"/>
      <c r="W75" s="6"/>
      <c r="X75" s="6"/>
      <c r="Y75" s="6"/>
      <c r="Z75" s="6"/>
      <c r="AA75" s="6"/>
      <c r="AB75" s="6"/>
      <c r="AC75" s="6" t="s">
        <v>388</v>
      </c>
      <c r="AD75" s="6"/>
      <c r="AE75" s="83">
        <v>3</v>
      </c>
      <c r="AF75" s="5" t="s">
        <v>389</v>
      </c>
      <c r="AG75" s="34" t="s">
        <v>1922</v>
      </c>
      <c r="AH75" s="1"/>
      <c r="AI75" s="4"/>
      <c r="AJ75" s="4"/>
      <c r="AK75" s="2"/>
      <c r="AL75" s="178" t="s">
        <v>1690</v>
      </c>
      <c r="AM75" s="5" t="s">
        <v>388</v>
      </c>
      <c r="AN75" s="5" t="s">
        <v>388</v>
      </c>
      <c r="AO75" s="281"/>
      <c r="AP75" s="281"/>
    </row>
    <row r="76" spans="1:42" s="181" customFormat="1" ht="11.25" customHeight="1">
      <c r="A76" s="144" t="s">
        <v>105</v>
      </c>
      <c r="B76" s="1" t="s">
        <v>106</v>
      </c>
      <c r="C76" s="1" t="s">
        <v>107</v>
      </c>
      <c r="D76" s="4" t="s">
        <v>387</v>
      </c>
      <c r="E76" s="4" t="s">
        <v>624</v>
      </c>
      <c r="F76" s="4" t="s">
        <v>625</v>
      </c>
      <c r="G76" s="83">
        <v>1</v>
      </c>
      <c r="H76" s="6"/>
      <c r="I76" s="6"/>
      <c r="J76" s="6"/>
      <c r="K76" s="6"/>
      <c r="L76" s="6" t="s">
        <v>388</v>
      </c>
      <c r="M76" s="6" t="s">
        <v>388</v>
      </c>
      <c r="N76" s="6"/>
      <c r="O76" s="6"/>
      <c r="P76" s="6"/>
      <c r="Q76" s="6"/>
      <c r="R76" s="6"/>
      <c r="S76" s="6"/>
      <c r="T76" s="6"/>
      <c r="U76" s="6" t="s">
        <v>388</v>
      </c>
      <c r="V76" s="6"/>
      <c r="W76" s="6"/>
      <c r="X76" s="6"/>
      <c r="Y76" s="6"/>
      <c r="Z76" s="6"/>
      <c r="AA76" s="6"/>
      <c r="AB76" s="6"/>
      <c r="AC76" s="12"/>
      <c r="AD76" s="12"/>
      <c r="AE76" s="83">
        <v>3</v>
      </c>
      <c r="AF76" s="5" t="s">
        <v>394</v>
      </c>
      <c r="AG76" s="34" t="s">
        <v>1916</v>
      </c>
      <c r="AH76" s="1"/>
      <c r="AI76" s="4"/>
      <c r="AJ76" s="4"/>
      <c r="AK76" s="2"/>
      <c r="AL76" s="178" t="s">
        <v>1690</v>
      </c>
      <c r="AM76" s="281"/>
      <c r="AN76" s="5" t="s">
        <v>388</v>
      </c>
      <c r="AO76" s="5" t="s">
        <v>388</v>
      </c>
      <c r="AP76" s="281"/>
    </row>
    <row r="77" spans="1:42" s="181" customFormat="1" ht="11.25" customHeight="1">
      <c r="A77" s="16" t="s">
        <v>2121</v>
      </c>
      <c r="B77" s="1" t="s">
        <v>1571</v>
      </c>
      <c r="C77" s="1" t="s">
        <v>1572</v>
      </c>
      <c r="D77" s="1" t="s">
        <v>387</v>
      </c>
      <c r="E77" s="1" t="s">
        <v>625</v>
      </c>
      <c r="F77" s="1"/>
      <c r="G77" s="83">
        <v>1</v>
      </c>
      <c r="H77" s="6"/>
      <c r="I77" s="6"/>
      <c r="J77" s="6"/>
      <c r="K77" s="6"/>
      <c r="L77" s="6"/>
      <c r="M77" s="6"/>
      <c r="N77" s="6" t="s">
        <v>388</v>
      </c>
      <c r="O77" s="6"/>
      <c r="P77" s="6"/>
      <c r="Q77" s="6"/>
      <c r="R77" s="6"/>
      <c r="S77" s="6"/>
      <c r="T77" s="6"/>
      <c r="U77" s="6" t="s">
        <v>388</v>
      </c>
      <c r="V77" s="6"/>
      <c r="W77" s="6"/>
      <c r="X77" s="6"/>
      <c r="Y77" s="6"/>
      <c r="Z77" s="6"/>
      <c r="AA77" s="6"/>
      <c r="AB77" s="151"/>
      <c r="AC77" s="151" t="s">
        <v>388</v>
      </c>
      <c r="AD77" s="12" t="s">
        <v>388</v>
      </c>
      <c r="AE77" s="251" t="s">
        <v>648</v>
      </c>
      <c r="AF77" s="5" t="s">
        <v>389</v>
      </c>
      <c r="AG77" s="4" t="s">
        <v>1573</v>
      </c>
      <c r="AH77" s="1"/>
      <c r="AI77" s="143" t="s">
        <v>1810</v>
      </c>
      <c r="AJ77" s="4"/>
      <c r="AK77" s="1"/>
      <c r="AL77" s="179" t="s">
        <v>1695</v>
      </c>
      <c r="AM77" s="5" t="s">
        <v>388</v>
      </c>
      <c r="AN77" s="5" t="s">
        <v>388</v>
      </c>
      <c r="AO77" s="281"/>
      <c r="AP77" s="281"/>
    </row>
    <row r="78" spans="1:42" s="480" customFormat="1" ht="11.25" customHeight="1">
      <c r="A78" s="153" t="s">
        <v>111</v>
      </c>
      <c r="B78" s="152" t="s">
        <v>1470</v>
      </c>
      <c r="C78" s="152" t="s">
        <v>1471</v>
      </c>
      <c r="D78" s="152" t="s">
        <v>739</v>
      </c>
      <c r="E78" s="152" t="s">
        <v>625</v>
      </c>
      <c r="F78" s="152"/>
      <c r="G78" s="467">
        <v>1</v>
      </c>
      <c r="H78" s="155"/>
      <c r="I78" s="155"/>
      <c r="J78" s="155"/>
      <c r="K78" s="155"/>
      <c r="L78" s="155" t="s">
        <v>388</v>
      </c>
      <c r="M78" s="155" t="s">
        <v>388</v>
      </c>
      <c r="N78" s="155"/>
      <c r="O78" s="155"/>
      <c r="P78" s="155"/>
      <c r="Q78" s="155"/>
      <c r="R78" s="155"/>
      <c r="S78" s="155"/>
      <c r="T78" s="155" t="s">
        <v>388</v>
      </c>
      <c r="U78" s="155"/>
      <c r="V78" s="155"/>
      <c r="W78" s="155"/>
      <c r="X78" s="155"/>
      <c r="Y78" s="155"/>
      <c r="Z78" s="155"/>
      <c r="AA78" s="155"/>
      <c r="AB78" s="468"/>
      <c r="AC78" s="468"/>
      <c r="AD78" s="156"/>
      <c r="AE78" s="469">
        <v>3</v>
      </c>
      <c r="AF78" s="155" t="s">
        <v>389</v>
      </c>
      <c r="AG78" s="154" t="s">
        <v>1472</v>
      </c>
      <c r="AH78" s="152"/>
      <c r="AI78" s="470"/>
      <c r="AJ78" s="154"/>
      <c r="AK78" s="152"/>
      <c r="AL78" s="471" t="s">
        <v>1701</v>
      </c>
      <c r="AM78" s="472"/>
      <c r="AN78" s="155" t="s">
        <v>388</v>
      </c>
      <c r="AO78" s="155" t="s">
        <v>388</v>
      </c>
      <c r="AP78" s="155" t="s">
        <v>388</v>
      </c>
    </row>
    <row r="79" spans="1:42" s="181" customFormat="1" ht="11.25" customHeight="1">
      <c r="A79" s="153" t="s">
        <v>111</v>
      </c>
      <c r="B79" s="152" t="s">
        <v>1133</v>
      </c>
      <c r="C79" s="152" t="s">
        <v>1132</v>
      </c>
      <c r="D79" s="152" t="s">
        <v>739</v>
      </c>
      <c r="E79" s="152" t="s">
        <v>625</v>
      </c>
      <c r="F79" s="152"/>
      <c r="G79" s="467">
        <v>1</v>
      </c>
      <c r="H79" s="155"/>
      <c r="I79" s="155"/>
      <c r="J79" s="155"/>
      <c r="K79" s="155"/>
      <c r="L79" s="155" t="s">
        <v>388</v>
      </c>
      <c r="M79" s="155" t="s">
        <v>388</v>
      </c>
      <c r="N79" s="155"/>
      <c r="O79" s="155"/>
      <c r="P79" s="155"/>
      <c r="Q79" s="155"/>
      <c r="R79" s="155"/>
      <c r="S79" s="155"/>
      <c r="T79" s="155"/>
      <c r="U79" s="155"/>
      <c r="V79" s="155"/>
      <c r="W79" s="155"/>
      <c r="X79" s="155"/>
      <c r="Y79" s="155"/>
      <c r="Z79" s="155"/>
      <c r="AA79" s="155"/>
      <c r="AB79" s="468"/>
      <c r="AC79" s="468"/>
      <c r="AD79" s="156"/>
      <c r="AE79" s="469" t="s">
        <v>648</v>
      </c>
      <c r="AF79" s="155" t="s">
        <v>641</v>
      </c>
      <c r="AG79" s="154" t="s">
        <v>1723</v>
      </c>
      <c r="AH79" s="152"/>
      <c r="AI79" s="470"/>
      <c r="AJ79" s="154"/>
      <c r="AK79" s="152"/>
      <c r="AL79" s="471" t="s">
        <v>1698</v>
      </c>
      <c r="AM79" s="472"/>
      <c r="AN79" s="155" t="s">
        <v>388</v>
      </c>
      <c r="AO79" s="155" t="s">
        <v>388</v>
      </c>
      <c r="AP79" s="155" t="s">
        <v>388</v>
      </c>
    </row>
    <row r="80" spans="1:42" s="181" customFormat="1" ht="11.25" customHeight="1">
      <c r="A80" s="144" t="s">
        <v>276</v>
      </c>
      <c r="B80" s="1" t="s">
        <v>277</v>
      </c>
      <c r="C80" s="1" t="s">
        <v>278</v>
      </c>
      <c r="D80" s="4" t="s">
        <v>387</v>
      </c>
      <c r="E80" s="4" t="s">
        <v>625</v>
      </c>
      <c r="F80" s="4"/>
      <c r="G80" s="83">
        <v>1</v>
      </c>
      <c r="H80" s="6"/>
      <c r="I80" s="6"/>
      <c r="J80" s="6"/>
      <c r="K80" s="6"/>
      <c r="L80" s="6" t="s">
        <v>388</v>
      </c>
      <c r="M80" s="6"/>
      <c r="N80" s="6"/>
      <c r="O80" s="6"/>
      <c r="P80" s="6"/>
      <c r="Q80" s="6"/>
      <c r="R80" s="6"/>
      <c r="S80" s="6"/>
      <c r="T80" s="6"/>
      <c r="U80" s="6"/>
      <c r="V80" s="6"/>
      <c r="W80" s="6"/>
      <c r="X80" s="6"/>
      <c r="Y80" s="6"/>
      <c r="Z80" s="6"/>
      <c r="AA80" s="6"/>
      <c r="AB80" s="6"/>
      <c r="AC80" s="6"/>
      <c r="AD80" s="6"/>
      <c r="AE80" s="83">
        <v>3</v>
      </c>
      <c r="AF80" s="5" t="s">
        <v>389</v>
      </c>
      <c r="AG80" s="34" t="s">
        <v>1915</v>
      </c>
      <c r="AH80" s="1"/>
      <c r="AI80" s="4"/>
      <c r="AJ80" s="4"/>
      <c r="AK80" s="2"/>
      <c r="AL80" s="178" t="s">
        <v>1690</v>
      </c>
      <c r="AM80" s="281"/>
      <c r="AN80" s="5" t="s">
        <v>388</v>
      </c>
      <c r="AO80" s="281"/>
      <c r="AP80" s="281"/>
    </row>
    <row r="81" spans="1:42" s="181" customFormat="1" ht="11.25" customHeight="1">
      <c r="A81" s="16" t="s">
        <v>1890</v>
      </c>
      <c r="B81" s="1" t="s">
        <v>1548</v>
      </c>
      <c r="C81" s="1" t="s">
        <v>1549</v>
      </c>
      <c r="D81" s="1" t="s">
        <v>387</v>
      </c>
      <c r="E81" s="1" t="s">
        <v>625</v>
      </c>
      <c r="F81" s="1"/>
      <c r="G81" s="83">
        <v>1</v>
      </c>
      <c r="H81" s="6" t="s">
        <v>388</v>
      </c>
      <c r="I81" s="6"/>
      <c r="J81" s="6"/>
      <c r="K81" s="6"/>
      <c r="L81" s="6"/>
      <c r="M81" s="6" t="s">
        <v>388</v>
      </c>
      <c r="N81" s="6"/>
      <c r="O81" s="6"/>
      <c r="P81" s="6"/>
      <c r="Q81" s="6"/>
      <c r="R81" s="6"/>
      <c r="S81" s="6"/>
      <c r="T81" s="6"/>
      <c r="U81" s="6" t="s">
        <v>388</v>
      </c>
      <c r="V81" s="6"/>
      <c r="W81" s="6"/>
      <c r="X81" s="6"/>
      <c r="Y81" s="6"/>
      <c r="Z81" s="6"/>
      <c r="AA81" s="6"/>
      <c r="AB81" s="151"/>
      <c r="AC81" s="151"/>
      <c r="AD81" s="12"/>
      <c r="AE81" s="251" t="s">
        <v>648</v>
      </c>
      <c r="AF81" s="5" t="s">
        <v>394</v>
      </c>
      <c r="AG81" s="4" t="s">
        <v>1550</v>
      </c>
      <c r="AH81" s="1"/>
      <c r="AI81" s="143" t="s">
        <v>1891</v>
      </c>
      <c r="AJ81" s="4"/>
      <c r="AK81" s="1"/>
      <c r="AL81" s="179" t="s">
        <v>1695</v>
      </c>
      <c r="AM81" s="281"/>
      <c r="AN81" s="5" t="s">
        <v>388</v>
      </c>
      <c r="AO81" s="281"/>
      <c r="AP81" s="281"/>
    </row>
    <row r="82" spans="1:42" s="181" customFormat="1" ht="11.25" customHeight="1">
      <c r="A82" s="16" t="s">
        <v>1668</v>
      </c>
      <c r="B82" s="1" t="s">
        <v>1631</v>
      </c>
      <c r="C82" s="1" t="s">
        <v>2160</v>
      </c>
      <c r="D82" s="1" t="s">
        <v>387</v>
      </c>
      <c r="E82" s="34" t="s">
        <v>625</v>
      </c>
      <c r="F82" s="1"/>
      <c r="G82" s="83">
        <v>1</v>
      </c>
      <c r="H82" s="6"/>
      <c r="I82" s="6"/>
      <c r="J82" s="6"/>
      <c r="K82" s="6"/>
      <c r="L82" s="6"/>
      <c r="M82" s="6"/>
      <c r="N82" s="6"/>
      <c r="O82" s="6"/>
      <c r="P82" s="6"/>
      <c r="Q82" s="6"/>
      <c r="R82" s="6"/>
      <c r="S82" s="6" t="s">
        <v>388</v>
      </c>
      <c r="T82" s="6"/>
      <c r="U82" s="6"/>
      <c r="V82" s="6" t="s">
        <v>388</v>
      </c>
      <c r="W82" s="6" t="s">
        <v>388</v>
      </c>
      <c r="X82" s="6"/>
      <c r="Y82" s="6"/>
      <c r="Z82" s="6"/>
      <c r="AA82" s="6"/>
      <c r="AB82" s="151"/>
      <c r="AC82" s="151"/>
      <c r="AD82" s="12" t="s">
        <v>388</v>
      </c>
      <c r="AE82" s="251"/>
      <c r="AF82" s="5" t="s">
        <v>394</v>
      </c>
      <c r="AG82" s="34" t="s">
        <v>1912</v>
      </c>
      <c r="AH82" s="1"/>
      <c r="AI82" s="143"/>
      <c r="AJ82" s="4"/>
      <c r="AK82" s="1"/>
      <c r="AL82" s="179" t="s">
        <v>1693</v>
      </c>
      <c r="AM82" s="281"/>
      <c r="AN82" s="281"/>
      <c r="AO82" s="281"/>
      <c r="AP82" s="5" t="s">
        <v>388</v>
      </c>
    </row>
    <row r="83" spans="1:42" s="181" customFormat="1" ht="11.25" customHeight="1">
      <c r="A83" s="144" t="s">
        <v>651</v>
      </c>
      <c r="B83" s="2" t="s">
        <v>679</v>
      </c>
      <c r="C83" s="2" t="s">
        <v>678</v>
      </c>
      <c r="D83" s="34" t="s">
        <v>387</v>
      </c>
      <c r="E83" s="34" t="s">
        <v>625</v>
      </c>
      <c r="F83" s="34"/>
      <c r="G83" s="83">
        <v>1</v>
      </c>
      <c r="H83" s="6"/>
      <c r="I83" s="6"/>
      <c r="J83" s="6"/>
      <c r="K83" s="6"/>
      <c r="L83" s="6"/>
      <c r="M83" s="6"/>
      <c r="N83" s="6"/>
      <c r="O83" s="6"/>
      <c r="P83" s="6" t="s">
        <v>388</v>
      </c>
      <c r="Q83" s="6"/>
      <c r="R83" s="6"/>
      <c r="S83" s="6"/>
      <c r="T83" s="6"/>
      <c r="U83" s="6"/>
      <c r="V83" s="6"/>
      <c r="W83" s="6"/>
      <c r="X83" s="6"/>
      <c r="Y83" s="6"/>
      <c r="Z83" s="6"/>
      <c r="AA83" s="6"/>
      <c r="AB83" s="6"/>
      <c r="AC83" s="12"/>
      <c r="AD83" s="12"/>
      <c r="AE83" s="83" t="s">
        <v>648</v>
      </c>
      <c r="AF83" s="6" t="s">
        <v>389</v>
      </c>
      <c r="AG83" s="34" t="s">
        <v>680</v>
      </c>
      <c r="AH83" s="2"/>
      <c r="AI83" s="34"/>
      <c r="AJ83" s="34"/>
      <c r="AK83" s="2"/>
      <c r="AL83" s="179" t="s">
        <v>1692</v>
      </c>
      <c r="AM83" s="281"/>
      <c r="AN83" s="5" t="s">
        <v>388</v>
      </c>
      <c r="AO83" s="281"/>
      <c r="AP83" s="281"/>
    </row>
    <row r="84" spans="1:42" s="181" customFormat="1" ht="11.25" customHeight="1">
      <c r="A84" s="144" t="s">
        <v>1876</v>
      </c>
      <c r="B84" s="2" t="s">
        <v>853</v>
      </c>
      <c r="C84" s="2" t="s">
        <v>854</v>
      </c>
      <c r="D84" s="34" t="s">
        <v>739</v>
      </c>
      <c r="E84" s="34" t="s">
        <v>625</v>
      </c>
      <c r="F84" s="34"/>
      <c r="G84" s="83">
        <v>1</v>
      </c>
      <c r="H84" s="6"/>
      <c r="I84" s="6"/>
      <c r="J84" s="6"/>
      <c r="K84" s="6"/>
      <c r="L84" s="6"/>
      <c r="M84" s="6"/>
      <c r="N84" s="6" t="s">
        <v>388</v>
      </c>
      <c r="O84" s="6"/>
      <c r="P84" s="6"/>
      <c r="Q84" s="6"/>
      <c r="R84" s="6"/>
      <c r="S84" s="6"/>
      <c r="T84" s="6"/>
      <c r="U84" s="6" t="s">
        <v>388</v>
      </c>
      <c r="V84" s="6"/>
      <c r="W84" s="6"/>
      <c r="X84" s="6"/>
      <c r="Y84" s="6"/>
      <c r="Z84" s="6"/>
      <c r="AA84" s="6"/>
      <c r="AB84" s="6"/>
      <c r="AC84" s="12"/>
      <c r="AD84" s="12" t="s">
        <v>388</v>
      </c>
      <c r="AE84" s="83" t="s">
        <v>648</v>
      </c>
      <c r="AF84" s="6" t="s">
        <v>389</v>
      </c>
      <c r="AG84" s="34" t="s">
        <v>855</v>
      </c>
      <c r="AH84" s="2"/>
      <c r="AI84" s="34"/>
      <c r="AJ84" s="34" t="s">
        <v>831</v>
      </c>
      <c r="AK84" s="2"/>
      <c r="AL84" s="178" t="s">
        <v>476</v>
      </c>
      <c r="AM84" s="281"/>
      <c r="AN84" s="5" t="s">
        <v>388</v>
      </c>
      <c r="AO84" s="281"/>
      <c r="AP84" s="281"/>
    </row>
    <row r="85" spans="1:42" s="181" customFormat="1" ht="11.25" customHeight="1">
      <c r="A85" s="16" t="s">
        <v>1218</v>
      </c>
      <c r="B85" s="1" t="s">
        <v>1219</v>
      </c>
      <c r="C85" s="1" t="s">
        <v>1217</v>
      </c>
      <c r="D85" s="1" t="s">
        <v>739</v>
      </c>
      <c r="E85" s="1" t="s">
        <v>625</v>
      </c>
      <c r="F85" s="1"/>
      <c r="G85" s="83">
        <v>1</v>
      </c>
      <c r="H85" s="6"/>
      <c r="I85" s="6"/>
      <c r="J85" s="6"/>
      <c r="K85" s="6"/>
      <c r="L85" s="6"/>
      <c r="M85" s="6"/>
      <c r="N85" s="6" t="s">
        <v>388</v>
      </c>
      <c r="O85" s="6"/>
      <c r="P85" s="6"/>
      <c r="Q85" s="6"/>
      <c r="R85" s="6"/>
      <c r="S85" s="6"/>
      <c r="T85" s="6"/>
      <c r="U85" s="6" t="s">
        <v>388</v>
      </c>
      <c r="V85" s="6"/>
      <c r="W85" s="6"/>
      <c r="X85" s="6"/>
      <c r="Y85" s="6"/>
      <c r="Z85" s="6"/>
      <c r="AA85" s="6"/>
      <c r="AB85" s="151"/>
      <c r="AC85" s="151"/>
      <c r="AD85" s="12"/>
      <c r="AE85" s="251" t="s">
        <v>648</v>
      </c>
      <c r="AF85" s="5" t="s">
        <v>389</v>
      </c>
      <c r="AG85" s="4" t="s">
        <v>1215</v>
      </c>
      <c r="AH85" s="1"/>
      <c r="AI85" s="143" t="s">
        <v>1216</v>
      </c>
      <c r="AJ85" s="4" t="s">
        <v>1214</v>
      </c>
      <c r="AK85" s="1"/>
      <c r="AL85" s="179" t="s">
        <v>1707</v>
      </c>
      <c r="AM85" s="281"/>
      <c r="AN85" s="5" t="s">
        <v>388</v>
      </c>
      <c r="AO85" s="281"/>
      <c r="AP85" s="281"/>
    </row>
    <row r="86" spans="1:42" s="181" customFormat="1" ht="11.25" customHeight="1">
      <c r="A86" s="144" t="s">
        <v>757</v>
      </c>
      <c r="B86" s="2" t="s">
        <v>1659</v>
      </c>
      <c r="C86" s="2" t="s">
        <v>756</v>
      </c>
      <c r="D86" s="34" t="s">
        <v>739</v>
      </c>
      <c r="E86" s="34" t="s">
        <v>625</v>
      </c>
      <c r="F86" s="34"/>
      <c r="G86" s="83">
        <v>1</v>
      </c>
      <c r="H86" s="6"/>
      <c r="I86" s="6"/>
      <c r="J86" s="6"/>
      <c r="K86" s="6"/>
      <c r="L86" s="6"/>
      <c r="M86" s="6"/>
      <c r="N86" s="6" t="s">
        <v>388</v>
      </c>
      <c r="O86" s="6"/>
      <c r="P86" s="6"/>
      <c r="Q86" s="6"/>
      <c r="R86" s="6"/>
      <c r="S86" s="6"/>
      <c r="T86" s="6"/>
      <c r="U86" s="6"/>
      <c r="V86" s="6"/>
      <c r="W86" s="6"/>
      <c r="X86" s="6"/>
      <c r="Y86" s="6"/>
      <c r="Z86" s="6"/>
      <c r="AA86" s="6"/>
      <c r="AB86" s="6"/>
      <c r="AC86" s="12" t="s">
        <v>388</v>
      </c>
      <c r="AD86" s="12"/>
      <c r="AE86" s="83">
        <v>3</v>
      </c>
      <c r="AF86" s="6" t="s">
        <v>641</v>
      </c>
      <c r="AG86" s="34" t="s">
        <v>758</v>
      </c>
      <c r="AH86" s="2"/>
      <c r="AI86" s="34"/>
      <c r="AJ86" s="34"/>
      <c r="AK86" s="2"/>
      <c r="AL86" s="178" t="s">
        <v>476</v>
      </c>
      <c r="AM86" s="5" t="s">
        <v>388</v>
      </c>
      <c r="AN86" s="5" t="s">
        <v>388</v>
      </c>
      <c r="AO86" s="281"/>
      <c r="AP86" s="281"/>
    </row>
    <row r="87" spans="1:42" s="181" customFormat="1" ht="11.25" customHeight="1">
      <c r="A87" s="144" t="s">
        <v>1674</v>
      </c>
      <c r="B87" s="9" t="s">
        <v>1023</v>
      </c>
      <c r="C87" s="35" t="s">
        <v>1014</v>
      </c>
      <c r="D87" s="4" t="s">
        <v>739</v>
      </c>
      <c r="E87" s="35" t="s">
        <v>625</v>
      </c>
      <c r="F87" s="35"/>
      <c r="G87" s="83">
        <v>1</v>
      </c>
      <c r="H87" s="6"/>
      <c r="I87" s="6"/>
      <c r="J87" s="6"/>
      <c r="K87" s="6"/>
      <c r="L87" s="6"/>
      <c r="M87" s="6"/>
      <c r="N87" s="6"/>
      <c r="O87" s="6"/>
      <c r="P87" s="6" t="s">
        <v>388</v>
      </c>
      <c r="Q87" s="6"/>
      <c r="R87" s="6" t="s">
        <v>388</v>
      </c>
      <c r="S87" s="6" t="s">
        <v>388</v>
      </c>
      <c r="T87" s="6"/>
      <c r="U87" s="6"/>
      <c r="V87" s="6"/>
      <c r="W87" s="6"/>
      <c r="X87" s="6"/>
      <c r="Y87" s="6"/>
      <c r="Z87" s="6"/>
      <c r="AA87" s="6"/>
      <c r="AB87" s="6"/>
      <c r="AC87" s="12"/>
      <c r="AD87" s="12"/>
      <c r="AE87" s="83">
        <v>3</v>
      </c>
      <c r="AF87" s="8" t="s">
        <v>1022</v>
      </c>
      <c r="AG87" s="34" t="s">
        <v>2390</v>
      </c>
      <c r="AH87" s="2"/>
      <c r="AI87" s="4"/>
      <c r="AJ87" s="4"/>
      <c r="AK87" s="2"/>
      <c r="AL87" s="179" t="s">
        <v>1702</v>
      </c>
      <c r="AM87" s="281"/>
      <c r="AN87" s="281"/>
      <c r="AO87" s="281"/>
      <c r="AP87" s="281"/>
    </row>
    <row r="88" spans="1:42" s="181" customFormat="1" ht="11.25" customHeight="1">
      <c r="A88" s="16" t="s">
        <v>2097</v>
      </c>
      <c r="B88" s="1" t="s">
        <v>2098</v>
      </c>
      <c r="C88" s="1" t="s">
        <v>2099</v>
      </c>
      <c r="D88" s="1" t="s">
        <v>1150</v>
      </c>
      <c r="E88" s="34" t="s">
        <v>1869</v>
      </c>
      <c r="F88" s="1"/>
      <c r="G88" s="83">
        <v>1</v>
      </c>
      <c r="H88" s="6"/>
      <c r="I88" s="6"/>
      <c r="J88" s="6"/>
      <c r="K88" s="6" t="s">
        <v>388</v>
      </c>
      <c r="L88" s="6"/>
      <c r="M88" s="6"/>
      <c r="N88" s="6"/>
      <c r="O88" s="6"/>
      <c r="P88" s="6"/>
      <c r="Q88" s="6"/>
      <c r="R88" s="6"/>
      <c r="S88" s="6"/>
      <c r="T88" s="6"/>
      <c r="U88" s="6"/>
      <c r="V88" s="6"/>
      <c r="W88" s="6"/>
      <c r="X88" s="6" t="s">
        <v>388</v>
      </c>
      <c r="Y88" s="6"/>
      <c r="Z88" s="6"/>
      <c r="AA88" s="6"/>
      <c r="AB88" s="151"/>
      <c r="AC88" s="151"/>
      <c r="AD88" s="12"/>
      <c r="AE88" s="251">
        <v>3</v>
      </c>
      <c r="AF88" s="5" t="s">
        <v>394</v>
      </c>
      <c r="AG88" s="4" t="s">
        <v>2100</v>
      </c>
      <c r="AH88" s="1"/>
      <c r="AI88" s="143"/>
      <c r="AJ88" s="4" t="s">
        <v>2101</v>
      </c>
      <c r="AK88" s="1" t="s">
        <v>2153</v>
      </c>
      <c r="AL88" s="178" t="s">
        <v>1696</v>
      </c>
      <c r="AM88" s="281"/>
      <c r="AN88" s="281"/>
      <c r="AO88" s="5" t="s">
        <v>388</v>
      </c>
      <c r="AP88" s="5" t="s">
        <v>388</v>
      </c>
    </row>
    <row r="89" spans="1:42" s="181" customFormat="1" ht="11.25" customHeight="1">
      <c r="A89" s="144" t="s">
        <v>1681</v>
      </c>
      <c r="B89" s="2" t="s">
        <v>539</v>
      </c>
      <c r="C89" s="2" t="s">
        <v>540</v>
      </c>
      <c r="D89" s="34" t="s">
        <v>387</v>
      </c>
      <c r="E89" s="34" t="s">
        <v>626</v>
      </c>
      <c r="F89" s="34"/>
      <c r="G89" s="83">
        <v>1</v>
      </c>
      <c r="H89" s="6"/>
      <c r="I89" s="6" t="s">
        <v>388</v>
      </c>
      <c r="J89" s="6"/>
      <c r="K89" s="6"/>
      <c r="L89" s="6"/>
      <c r="M89" s="6"/>
      <c r="N89" s="6"/>
      <c r="O89" s="6"/>
      <c r="P89" s="6"/>
      <c r="Q89" s="6"/>
      <c r="R89" s="6"/>
      <c r="S89" s="6"/>
      <c r="T89" s="6"/>
      <c r="U89" s="6"/>
      <c r="V89" s="6"/>
      <c r="W89" s="6"/>
      <c r="X89" s="6"/>
      <c r="Y89" s="6"/>
      <c r="Z89" s="6"/>
      <c r="AA89" s="6"/>
      <c r="AB89" s="6"/>
      <c r="AC89" s="6"/>
      <c r="AD89" s="6"/>
      <c r="AE89" s="83">
        <v>2</v>
      </c>
      <c r="AF89" s="5" t="s">
        <v>394</v>
      </c>
      <c r="AG89" s="4" t="s">
        <v>541</v>
      </c>
      <c r="AH89" s="2"/>
      <c r="AI89" s="34"/>
      <c r="AJ89" s="34"/>
      <c r="AK89" s="2" t="s">
        <v>2129</v>
      </c>
      <c r="AL89" s="179" t="s">
        <v>1691</v>
      </c>
      <c r="AM89" s="5" t="s">
        <v>388</v>
      </c>
      <c r="AN89" s="281"/>
      <c r="AO89" s="281"/>
      <c r="AP89" s="281"/>
    </row>
    <row r="90" spans="1:42" s="181" customFormat="1" ht="11.25" customHeight="1">
      <c r="A90" s="144" t="s">
        <v>1681</v>
      </c>
      <c r="B90" s="2" t="s">
        <v>534</v>
      </c>
      <c r="C90" s="2" t="s">
        <v>535</v>
      </c>
      <c r="D90" s="34" t="s">
        <v>387</v>
      </c>
      <c r="E90" s="34" t="s">
        <v>626</v>
      </c>
      <c r="F90" s="34"/>
      <c r="G90" s="83">
        <v>1</v>
      </c>
      <c r="H90" s="6"/>
      <c r="I90" s="6"/>
      <c r="J90" s="6"/>
      <c r="K90" s="6"/>
      <c r="L90" s="6"/>
      <c r="M90" s="6"/>
      <c r="N90" s="6" t="s">
        <v>388</v>
      </c>
      <c r="O90" s="6"/>
      <c r="P90" s="6"/>
      <c r="Q90" s="6"/>
      <c r="R90" s="6"/>
      <c r="S90" s="6"/>
      <c r="T90" s="6"/>
      <c r="U90" s="6"/>
      <c r="V90" s="6"/>
      <c r="W90" s="6"/>
      <c r="X90" s="6"/>
      <c r="Y90" s="6"/>
      <c r="Z90" s="6"/>
      <c r="AA90" s="6"/>
      <c r="AB90" s="6"/>
      <c r="AC90" s="6"/>
      <c r="AD90" s="6"/>
      <c r="AE90" s="83">
        <v>2</v>
      </c>
      <c r="AF90" s="5" t="s">
        <v>394</v>
      </c>
      <c r="AG90" s="34" t="s">
        <v>536</v>
      </c>
      <c r="AH90" s="2"/>
      <c r="AI90" s="34"/>
      <c r="AJ90" s="34"/>
      <c r="AK90" s="2"/>
      <c r="AL90" s="179" t="s">
        <v>1691</v>
      </c>
      <c r="AM90" s="5" t="s">
        <v>388</v>
      </c>
      <c r="AN90" s="281"/>
      <c r="AO90" s="281"/>
      <c r="AP90" s="5" t="s">
        <v>388</v>
      </c>
    </row>
    <row r="91" spans="1:42" s="181" customFormat="1" ht="11.25" customHeight="1">
      <c r="A91" s="144" t="s">
        <v>1681</v>
      </c>
      <c r="B91" s="2" t="s">
        <v>1679</v>
      </c>
      <c r="C91" s="2" t="s">
        <v>543</v>
      </c>
      <c r="D91" s="4" t="s">
        <v>387</v>
      </c>
      <c r="E91" s="4" t="s">
        <v>626</v>
      </c>
      <c r="F91" s="4"/>
      <c r="G91" s="83">
        <v>1</v>
      </c>
      <c r="H91" s="6"/>
      <c r="I91" s="6"/>
      <c r="J91" s="6" t="s">
        <v>388</v>
      </c>
      <c r="K91" s="6"/>
      <c r="L91" s="6"/>
      <c r="M91" s="6"/>
      <c r="N91" s="6"/>
      <c r="O91" s="6"/>
      <c r="P91" s="6"/>
      <c r="Q91" s="6"/>
      <c r="R91" s="6"/>
      <c r="S91" s="6"/>
      <c r="T91" s="6"/>
      <c r="U91" s="6"/>
      <c r="V91" s="6"/>
      <c r="W91" s="6"/>
      <c r="X91" s="6"/>
      <c r="Y91" s="6"/>
      <c r="Z91" s="6"/>
      <c r="AA91" s="6"/>
      <c r="AB91" s="6"/>
      <c r="AC91" s="12" t="s">
        <v>388</v>
      </c>
      <c r="AD91" s="12"/>
      <c r="AE91" s="83">
        <v>2</v>
      </c>
      <c r="AF91" s="5" t="s">
        <v>394</v>
      </c>
      <c r="AG91" s="34" t="s">
        <v>514</v>
      </c>
      <c r="AH91" s="2"/>
      <c r="AI91" s="34"/>
      <c r="AJ91" s="4"/>
      <c r="AK91" s="2"/>
      <c r="AL91" s="179" t="s">
        <v>1691</v>
      </c>
      <c r="AM91" s="5" t="s">
        <v>388</v>
      </c>
      <c r="AN91" s="281"/>
      <c r="AO91" s="281"/>
      <c r="AP91" s="5" t="s">
        <v>388</v>
      </c>
    </row>
    <row r="92" spans="1:42" s="181" customFormat="1" ht="11.25" customHeight="1">
      <c r="A92" s="16" t="s">
        <v>1873</v>
      </c>
      <c r="B92" s="1" t="s">
        <v>1874</v>
      </c>
      <c r="C92" s="1" t="s">
        <v>913</v>
      </c>
      <c r="D92" s="1" t="s">
        <v>739</v>
      </c>
      <c r="E92" s="34" t="s">
        <v>625</v>
      </c>
      <c r="F92" s="1"/>
      <c r="G92" s="83">
        <v>1</v>
      </c>
      <c r="H92" s="6"/>
      <c r="I92" s="6"/>
      <c r="J92" s="6"/>
      <c r="K92" s="6" t="s">
        <v>388</v>
      </c>
      <c r="L92" s="6"/>
      <c r="M92" s="6"/>
      <c r="N92" s="6"/>
      <c r="O92" s="6"/>
      <c r="P92" s="6" t="s">
        <v>388</v>
      </c>
      <c r="Q92" s="6"/>
      <c r="R92" s="6" t="s">
        <v>388</v>
      </c>
      <c r="S92" s="6"/>
      <c r="T92" s="6"/>
      <c r="U92" s="6"/>
      <c r="V92" s="6"/>
      <c r="W92" s="6"/>
      <c r="X92" s="6"/>
      <c r="Y92" s="6"/>
      <c r="Z92" s="6"/>
      <c r="AA92" s="6"/>
      <c r="AB92" s="151"/>
      <c r="AC92" s="151"/>
      <c r="AD92" s="12"/>
      <c r="AE92" s="251">
        <v>2</v>
      </c>
      <c r="AF92" s="5" t="s">
        <v>389</v>
      </c>
      <c r="AG92" s="34" t="s">
        <v>2282</v>
      </c>
      <c r="AH92" s="1"/>
      <c r="AI92" s="143" t="s">
        <v>1875</v>
      </c>
      <c r="AJ92" s="4"/>
      <c r="AK92" s="1"/>
      <c r="AL92" s="179" t="s">
        <v>1693</v>
      </c>
      <c r="AM92" s="5" t="s">
        <v>388</v>
      </c>
      <c r="AN92" s="281"/>
      <c r="AO92" s="5" t="s">
        <v>388</v>
      </c>
      <c r="AP92" s="5" t="s">
        <v>388</v>
      </c>
    </row>
    <row r="93" spans="1:42" s="181" customFormat="1" ht="11.25" customHeight="1">
      <c r="A93" s="144" t="s">
        <v>795</v>
      </c>
      <c r="B93" s="2" t="s">
        <v>793</v>
      </c>
      <c r="C93" s="2" t="s">
        <v>794</v>
      </c>
      <c r="D93" s="34" t="s">
        <v>739</v>
      </c>
      <c r="E93" s="34" t="s">
        <v>625</v>
      </c>
      <c r="F93" s="34"/>
      <c r="G93" s="83">
        <v>1</v>
      </c>
      <c r="H93" s="6"/>
      <c r="I93" s="6"/>
      <c r="J93" s="6"/>
      <c r="K93" s="6"/>
      <c r="L93" s="6"/>
      <c r="M93" s="6"/>
      <c r="N93" s="6" t="s">
        <v>388</v>
      </c>
      <c r="O93" s="6" t="s">
        <v>388</v>
      </c>
      <c r="P93" s="6"/>
      <c r="Q93" s="6"/>
      <c r="R93" s="6"/>
      <c r="S93" s="6"/>
      <c r="T93" s="6"/>
      <c r="U93" s="6"/>
      <c r="V93" s="6"/>
      <c r="W93" s="6"/>
      <c r="X93" s="6"/>
      <c r="Y93" s="6"/>
      <c r="Z93" s="6"/>
      <c r="AA93" s="6"/>
      <c r="AB93" s="6"/>
      <c r="AC93" s="12"/>
      <c r="AD93" s="12"/>
      <c r="AE93" s="83">
        <v>3</v>
      </c>
      <c r="AF93" s="6" t="s">
        <v>389</v>
      </c>
      <c r="AG93" s="34" t="s">
        <v>796</v>
      </c>
      <c r="AH93" s="2"/>
      <c r="AI93" s="34"/>
      <c r="AJ93" s="34" t="s">
        <v>763</v>
      </c>
      <c r="AK93" s="2"/>
      <c r="AL93" s="178" t="s">
        <v>476</v>
      </c>
      <c r="AM93" s="281"/>
      <c r="AN93" s="5" t="s">
        <v>388</v>
      </c>
      <c r="AO93" s="281"/>
      <c r="AP93" s="281"/>
    </row>
    <row r="94" spans="1:42" s="181" customFormat="1" ht="11.25" customHeight="1">
      <c r="A94" s="144" t="s">
        <v>795</v>
      </c>
      <c r="B94" s="2" t="s">
        <v>508</v>
      </c>
      <c r="C94" s="2" t="s">
        <v>509</v>
      </c>
      <c r="D94" s="34" t="s">
        <v>387</v>
      </c>
      <c r="E94" s="34" t="s">
        <v>626</v>
      </c>
      <c r="F94" s="34"/>
      <c r="G94" s="83">
        <v>1</v>
      </c>
      <c r="H94" s="6" t="s">
        <v>388</v>
      </c>
      <c r="I94" s="6"/>
      <c r="J94" s="6"/>
      <c r="K94" s="6"/>
      <c r="L94" s="6"/>
      <c r="M94" s="6"/>
      <c r="N94" s="6"/>
      <c r="O94" s="6"/>
      <c r="P94" s="6"/>
      <c r="Q94" s="6"/>
      <c r="R94" s="6"/>
      <c r="S94" s="6"/>
      <c r="T94" s="6"/>
      <c r="U94" s="6"/>
      <c r="V94" s="6"/>
      <c r="W94" s="6"/>
      <c r="X94" s="6"/>
      <c r="Y94" s="6"/>
      <c r="Z94" s="6"/>
      <c r="AA94" s="6"/>
      <c r="AB94" s="6"/>
      <c r="AC94" s="6"/>
      <c r="AD94" s="6"/>
      <c r="AE94" s="83">
        <v>4</v>
      </c>
      <c r="AF94" s="5" t="s">
        <v>394</v>
      </c>
      <c r="AG94" s="4" t="s">
        <v>510</v>
      </c>
      <c r="AH94" s="2"/>
      <c r="AI94" s="34"/>
      <c r="AJ94" s="34"/>
      <c r="AK94" s="2" t="s">
        <v>2136</v>
      </c>
      <c r="AL94" s="179" t="s">
        <v>1691</v>
      </c>
      <c r="AM94" s="281"/>
      <c r="AN94" s="5" t="s">
        <v>388</v>
      </c>
      <c r="AO94" s="281"/>
      <c r="AP94" s="281"/>
    </row>
    <row r="95" spans="1:42" s="181" customFormat="1" ht="11.25" customHeight="1">
      <c r="A95" s="144" t="s">
        <v>795</v>
      </c>
      <c r="B95" s="2" t="s">
        <v>505</v>
      </c>
      <c r="C95" s="2" t="s">
        <v>506</v>
      </c>
      <c r="D95" s="34" t="s">
        <v>387</v>
      </c>
      <c r="E95" s="34" t="s">
        <v>626</v>
      </c>
      <c r="F95" s="34"/>
      <c r="G95" s="83">
        <v>1</v>
      </c>
      <c r="H95" s="6"/>
      <c r="I95" s="6"/>
      <c r="J95" s="6"/>
      <c r="K95" s="6"/>
      <c r="L95" s="6"/>
      <c r="M95" s="6"/>
      <c r="N95" s="6"/>
      <c r="O95" s="6"/>
      <c r="P95" s="6"/>
      <c r="Q95" s="6"/>
      <c r="R95" s="6"/>
      <c r="S95" s="6"/>
      <c r="T95" s="6"/>
      <c r="U95" s="6" t="s">
        <v>388</v>
      </c>
      <c r="V95" s="6"/>
      <c r="W95" s="6"/>
      <c r="X95" s="6"/>
      <c r="Y95" s="6"/>
      <c r="Z95" s="6"/>
      <c r="AA95" s="6"/>
      <c r="AB95" s="6"/>
      <c r="AC95" s="12"/>
      <c r="AD95" s="12"/>
      <c r="AE95" s="83">
        <v>4</v>
      </c>
      <c r="AF95" s="6" t="s">
        <v>394</v>
      </c>
      <c r="AG95" s="34" t="s">
        <v>1963</v>
      </c>
      <c r="AH95" s="2"/>
      <c r="AI95" s="34"/>
      <c r="AJ95" s="34"/>
      <c r="AK95" s="2"/>
      <c r="AL95" s="178" t="s">
        <v>1691</v>
      </c>
      <c r="AM95" s="5" t="s">
        <v>388</v>
      </c>
      <c r="AN95" s="5" t="s">
        <v>388</v>
      </c>
      <c r="AO95" s="281"/>
      <c r="AP95" s="281"/>
    </row>
    <row r="96" spans="1:42" s="181" customFormat="1" ht="11.25" customHeight="1">
      <c r="A96" s="16" t="s">
        <v>1984</v>
      </c>
      <c r="B96" s="1" t="s">
        <v>1633</v>
      </c>
      <c r="C96" s="1" t="s">
        <v>980</v>
      </c>
      <c r="D96" s="1" t="s">
        <v>739</v>
      </c>
      <c r="E96" s="1" t="s">
        <v>625</v>
      </c>
      <c r="F96" s="1"/>
      <c r="G96" s="83">
        <v>1</v>
      </c>
      <c r="H96" s="6"/>
      <c r="I96" s="6"/>
      <c r="J96" s="6"/>
      <c r="K96" s="6"/>
      <c r="L96" s="6" t="s">
        <v>388</v>
      </c>
      <c r="M96" s="6" t="s">
        <v>388</v>
      </c>
      <c r="N96" s="6"/>
      <c r="O96" s="6"/>
      <c r="P96" s="6"/>
      <c r="Q96" s="6"/>
      <c r="R96" s="6"/>
      <c r="S96" s="6"/>
      <c r="T96" s="6"/>
      <c r="U96" s="6" t="s">
        <v>388</v>
      </c>
      <c r="V96" s="6"/>
      <c r="W96" s="6"/>
      <c r="X96" s="6"/>
      <c r="Y96" s="6"/>
      <c r="Z96" s="6"/>
      <c r="AA96" s="6"/>
      <c r="AB96" s="151"/>
      <c r="AC96" s="151"/>
      <c r="AD96" s="12"/>
      <c r="AE96" s="251"/>
      <c r="AF96" s="5" t="s">
        <v>389</v>
      </c>
      <c r="AG96" s="34" t="s">
        <v>2391</v>
      </c>
      <c r="AH96" s="1"/>
      <c r="AI96" s="143"/>
      <c r="AJ96" s="4"/>
      <c r="AK96" s="1"/>
      <c r="AL96" s="179" t="s">
        <v>1703</v>
      </c>
      <c r="AM96" s="281"/>
      <c r="AN96" s="5" t="s">
        <v>388</v>
      </c>
      <c r="AO96" s="281"/>
      <c r="AP96" s="281"/>
    </row>
    <row r="97" spans="1:42" s="181" customFormat="1" ht="11.25" customHeight="1">
      <c r="A97" s="16" t="s">
        <v>1050</v>
      </c>
      <c r="B97" s="1" t="s">
        <v>1048</v>
      </c>
      <c r="C97" s="1" t="s">
        <v>1049</v>
      </c>
      <c r="D97" s="4" t="s">
        <v>387</v>
      </c>
      <c r="E97" s="4" t="s">
        <v>625</v>
      </c>
      <c r="F97" s="4"/>
      <c r="G97" s="83">
        <v>1</v>
      </c>
      <c r="H97" s="6"/>
      <c r="I97" s="6"/>
      <c r="J97" s="6"/>
      <c r="K97" s="6"/>
      <c r="L97" s="6"/>
      <c r="M97" s="6" t="s">
        <v>388</v>
      </c>
      <c r="N97" s="6" t="s">
        <v>388</v>
      </c>
      <c r="O97" s="6"/>
      <c r="P97" s="6"/>
      <c r="Q97" s="6"/>
      <c r="R97" s="6"/>
      <c r="S97" s="6"/>
      <c r="T97" s="6"/>
      <c r="U97" s="6"/>
      <c r="V97" s="6"/>
      <c r="W97" s="6"/>
      <c r="X97" s="6"/>
      <c r="Y97" s="6"/>
      <c r="Z97" s="6"/>
      <c r="AA97" s="6"/>
      <c r="AB97" s="6"/>
      <c r="AC97" s="12"/>
      <c r="AD97" s="12"/>
      <c r="AE97" s="83" t="s">
        <v>648</v>
      </c>
      <c r="AF97" s="5" t="s">
        <v>394</v>
      </c>
      <c r="AG97" s="4" t="s">
        <v>1051</v>
      </c>
      <c r="AH97" s="1"/>
      <c r="AI97" s="4"/>
      <c r="AJ97" s="4"/>
      <c r="AK97" s="2"/>
      <c r="AL97" s="179" t="s">
        <v>1691</v>
      </c>
      <c r="AM97" s="281"/>
      <c r="AN97" s="5" t="s">
        <v>388</v>
      </c>
      <c r="AO97" s="5" t="s">
        <v>388</v>
      </c>
      <c r="AP97" s="5" t="s">
        <v>388</v>
      </c>
    </row>
    <row r="98" spans="1:42" s="480" customFormat="1" ht="11.25" customHeight="1">
      <c r="A98" s="16" t="s">
        <v>1565</v>
      </c>
      <c r="B98" s="1" t="s">
        <v>1566</v>
      </c>
      <c r="C98" s="1" t="s">
        <v>1567</v>
      </c>
      <c r="D98" s="1" t="s">
        <v>387</v>
      </c>
      <c r="E98" s="1" t="s">
        <v>625</v>
      </c>
      <c r="F98" s="1"/>
      <c r="G98" s="83">
        <v>1</v>
      </c>
      <c r="H98" s="6"/>
      <c r="I98" s="6"/>
      <c r="J98" s="6"/>
      <c r="K98" s="6" t="s">
        <v>388</v>
      </c>
      <c r="L98" s="6" t="s">
        <v>388</v>
      </c>
      <c r="M98" s="6" t="s">
        <v>388</v>
      </c>
      <c r="N98" s="6" t="s">
        <v>388</v>
      </c>
      <c r="O98" s="6"/>
      <c r="P98" s="6"/>
      <c r="Q98" s="6"/>
      <c r="R98" s="6"/>
      <c r="S98" s="6"/>
      <c r="T98" s="6" t="s">
        <v>388</v>
      </c>
      <c r="U98" s="6" t="s">
        <v>388</v>
      </c>
      <c r="V98" s="6"/>
      <c r="W98" s="6" t="s">
        <v>388</v>
      </c>
      <c r="X98" s="6"/>
      <c r="Y98" s="6"/>
      <c r="Z98" s="6" t="s">
        <v>388</v>
      </c>
      <c r="AA98" s="6" t="s">
        <v>388</v>
      </c>
      <c r="AB98" s="151"/>
      <c r="AC98" s="151"/>
      <c r="AD98" s="12" t="s">
        <v>388</v>
      </c>
      <c r="AE98" s="251">
        <v>3</v>
      </c>
      <c r="AF98" s="5" t="s">
        <v>641</v>
      </c>
      <c r="AG98" s="4" t="s">
        <v>1569</v>
      </c>
      <c r="AH98" s="1"/>
      <c r="AI98" s="143"/>
      <c r="AJ98" s="4"/>
      <c r="AK98" s="1"/>
      <c r="AL98" s="179" t="s">
        <v>1695</v>
      </c>
      <c r="AM98" s="283"/>
      <c r="AN98" s="283"/>
      <c r="AO98" s="283"/>
      <c r="AP98" s="6" t="s">
        <v>388</v>
      </c>
    </row>
    <row r="99" spans="1:42" s="181" customFormat="1" ht="11.25" customHeight="1">
      <c r="A99" s="144" t="s">
        <v>1962</v>
      </c>
      <c r="B99" s="1" t="s">
        <v>609</v>
      </c>
      <c r="C99" s="1" t="s">
        <v>610</v>
      </c>
      <c r="D99" s="4" t="s">
        <v>387</v>
      </c>
      <c r="E99" s="4" t="s">
        <v>626</v>
      </c>
      <c r="F99" s="4"/>
      <c r="G99" s="83">
        <v>1</v>
      </c>
      <c r="H99" s="6" t="s">
        <v>388</v>
      </c>
      <c r="I99" s="6"/>
      <c r="J99" s="6"/>
      <c r="K99" s="6"/>
      <c r="L99" s="6"/>
      <c r="M99" s="6"/>
      <c r="N99" s="6"/>
      <c r="O99" s="6"/>
      <c r="P99" s="6"/>
      <c r="Q99" s="6"/>
      <c r="R99" s="6"/>
      <c r="S99" s="6"/>
      <c r="T99" s="6"/>
      <c r="U99" s="6"/>
      <c r="V99" s="6"/>
      <c r="W99" s="6"/>
      <c r="X99" s="6"/>
      <c r="Y99" s="6"/>
      <c r="Z99" s="6"/>
      <c r="AA99" s="6"/>
      <c r="AB99" s="6"/>
      <c r="AC99" s="12"/>
      <c r="AD99" s="12"/>
      <c r="AE99" s="83">
        <v>4</v>
      </c>
      <c r="AF99" s="5" t="s">
        <v>394</v>
      </c>
      <c r="AG99" s="4" t="s">
        <v>1961</v>
      </c>
      <c r="AH99" s="2"/>
      <c r="AI99" s="34" t="s">
        <v>1960</v>
      </c>
      <c r="AJ99" s="4"/>
      <c r="AK99" s="2"/>
      <c r="AL99" s="179" t="s">
        <v>1691</v>
      </c>
      <c r="AM99" s="281"/>
      <c r="AN99" s="281"/>
      <c r="AO99" s="281"/>
      <c r="AP99" s="281"/>
    </row>
    <row r="100" spans="1:42" s="181" customFormat="1" ht="11.25" customHeight="1">
      <c r="A100" s="144" t="s">
        <v>1959</v>
      </c>
      <c r="B100" s="2" t="s">
        <v>462</v>
      </c>
      <c r="C100" s="2" t="s">
        <v>463</v>
      </c>
      <c r="D100" s="34" t="s">
        <v>387</v>
      </c>
      <c r="E100" s="34" t="s">
        <v>626</v>
      </c>
      <c r="F100" s="34"/>
      <c r="G100" s="83">
        <v>1</v>
      </c>
      <c r="H100" s="6" t="s">
        <v>388</v>
      </c>
      <c r="I100" s="6"/>
      <c r="J100" s="6"/>
      <c r="K100" s="6"/>
      <c r="L100" s="6"/>
      <c r="M100" s="6"/>
      <c r="N100" s="6"/>
      <c r="O100" s="6"/>
      <c r="P100" s="6"/>
      <c r="Q100" s="6"/>
      <c r="R100" s="6"/>
      <c r="S100" s="6"/>
      <c r="T100" s="6"/>
      <c r="U100" s="6"/>
      <c r="V100" s="6"/>
      <c r="W100" s="6"/>
      <c r="X100" s="6"/>
      <c r="Y100" s="6"/>
      <c r="Z100" s="6"/>
      <c r="AA100" s="6"/>
      <c r="AB100" s="6"/>
      <c r="AC100" s="6"/>
      <c r="AD100" s="6"/>
      <c r="AE100" s="83">
        <v>4</v>
      </c>
      <c r="AF100" s="5" t="s">
        <v>394</v>
      </c>
      <c r="AG100" s="4" t="s">
        <v>618</v>
      </c>
      <c r="AH100" s="2"/>
      <c r="AI100" s="34"/>
      <c r="AJ100" s="34"/>
      <c r="AK100" s="2" t="s">
        <v>2135</v>
      </c>
      <c r="AL100" s="179" t="s">
        <v>1691</v>
      </c>
      <c r="AM100" s="281"/>
      <c r="AN100" s="281"/>
      <c r="AO100" s="281"/>
      <c r="AP100" s="281"/>
    </row>
    <row r="101" spans="1:42" s="480" customFormat="1" ht="11.25" customHeight="1">
      <c r="A101" s="144" t="s">
        <v>1959</v>
      </c>
      <c r="B101" s="2" t="s">
        <v>464</v>
      </c>
      <c r="C101" s="2" t="s">
        <v>465</v>
      </c>
      <c r="D101" s="34" t="s">
        <v>387</v>
      </c>
      <c r="E101" s="34" t="s">
        <v>626</v>
      </c>
      <c r="F101" s="34"/>
      <c r="G101" s="83">
        <v>1</v>
      </c>
      <c r="H101" s="6"/>
      <c r="I101" s="6"/>
      <c r="J101" s="6"/>
      <c r="K101" s="6"/>
      <c r="L101" s="6"/>
      <c r="M101" s="6" t="s">
        <v>388</v>
      </c>
      <c r="N101" s="6"/>
      <c r="O101" s="6"/>
      <c r="P101" s="6"/>
      <c r="Q101" s="6"/>
      <c r="R101" s="6"/>
      <c r="S101" s="6"/>
      <c r="T101" s="6"/>
      <c r="U101" s="6"/>
      <c r="V101" s="6"/>
      <c r="W101" s="6"/>
      <c r="X101" s="6"/>
      <c r="Y101" s="6"/>
      <c r="Z101" s="6"/>
      <c r="AA101" s="6"/>
      <c r="AB101" s="6"/>
      <c r="AC101" s="6"/>
      <c r="AD101" s="6"/>
      <c r="AE101" s="83">
        <v>4</v>
      </c>
      <c r="AF101" s="5" t="s">
        <v>394</v>
      </c>
      <c r="AG101" s="4" t="s">
        <v>619</v>
      </c>
      <c r="AH101" s="2"/>
      <c r="AI101" s="34"/>
      <c r="AJ101" s="34"/>
      <c r="AK101" s="2" t="s">
        <v>2135</v>
      </c>
      <c r="AL101" s="179" t="s">
        <v>1691</v>
      </c>
      <c r="AM101" s="283"/>
      <c r="AN101" s="283"/>
      <c r="AO101" s="283"/>
      <c r="AP101" s="283"/>
    </row>
    <row r="102" spans="1:42" s="181" customFormat="1" ht="11.25" customHeight="1">
      <c r="A102" s="16" t="s">
        <v>285</v>
      </c>
      <c r="B102" s="2" t="s">
        <v>1451</v>
      </c>
      <c r="C102" s="1" t="s">
        <v>1452</v>
      </c>
      <c r="D102" s="4" t="s">
        <v>387</v>
      </c>
      <c r="E102" s="34" t="s">
        <v>625</v>
      </c>
      <c r="F102" s="34"/>
      <c r="G102" s="83">
        <v>1</v>
      </c>
      <c r="H102" s="6"/>
      <c r="I102" s="6"/>
      <c r="J102" s="6" t="s">
        <v>388</v>
      </c>
      <c r="K102" s="6"/>
      <c r="L102" s="6"/>
      <c r="M102" s="6" t="s">
        <v>388</v>
      </c>
      <c r="N102" s="6"/>
      <c r="O102" s="6"/>
      <c r="P102" s="6" t="s">
        <v>388</v>
      </c>
      <c r="Q102" s="6"/>
      <c r="R102" s="6"/>
      <c r="S102" s="6"/>
      <c r="T102" s="6"/>
      <c r="U102" s="6"/>
      <c r="V102" s="6"/>
      <c r="W102" s="6"/>
      <c r="X102" s="6"/>
      <c r="Y102" s="6"/>
      <c r="Z102" s="6"/>
      <c r="AA102" s="6"/>
      <c r="AB102" s="6"/>
      <c r="AC102" s="12"/>
      <c r="AD102" s="12"/>
      <c r="AE102" s="83" t="s">
        <v>648</v>
      </c>
      <c r="AF102" s="5" t="s">
        <v>1022</v>
      </c>
      <c r="AG102" s="4" t="s">
        <v>1453</v>
      </c>
      <c r="AH102" s="2"/>
      <c r="AI102" s="34"/>
      <c r="AJ102" s="4"/>
      <c r="AK102" s="2"/>
      <c r="AL102" s="179" t="s">
        <v>1702</v>
      </c>
      <c r="AM102" s="5" t="s">
        <v>388</v>
      </c>
      <c r="AN102" s="281"/>
      <c r="AO102" s="5" t="s">
        <v>388</v>
      </c>
      <c r="AP102" s="5" t="s">
        <v>388</v>
      </c>
    </row>
    <row r="103" spans="1:42" s="181" customFormat="1" ht="11.25" customHeight="1">
      <c r="A103" s="144" t="s">
        <v>803</v>
      </c>
      <c r="B103" s="2" t="s">
        <v>801</v>
      </c>
      <c r="C103" s="3" t="s">
        <v>802</v>
      </c>
      <c r="D103" s="13" t="s">
        <v>739</v>
      </c>
      <c r="E103" s="34" t="s">
        <v>625</v>
      </c>
      <c r="F103" s="13"/>
      <c r="G103" s="83">
        <v>1</v>
      </c>
      <c r="H103" s="6"/>
      <c r="I103" s="6"/>
      <c r="J103" s="6" t="s">
        <v>388</v>
      </c>
      <c r="K103" s="6"/>
      <c r="L103" s="6"/>
      <c r="M103" s="6"/>
      <c r="N103" s="6" t="s">
        <v>388</v>
      </c>
      <c r="O103" s="6"/>
      <c r="P103" s="6"/>
      <c r="Q103" s="6"/>
      <c r="R103" s="6"/>
      <c r="S103" s="6"/>
      <c r="T103" s="6"/>
      <c r="U103" s="6"/>
      <c r="V103" s="6"/>
      <c r="W103" s="6"/>
      <c r="X103" s="6"/>
      <c r="Y103" s="6"/>
      <c r="Z103" s="6"/>
      <c r="AA103" s="6"/>
      <c r="AB103" s="6"/>
      <c r="AC103" s="12"/>
      <c r="AD103" s="12"/>
      <c r="AE103" s="83">
        <v>3</v>
      </c>
      <c r="AF103" s="6" t="s">
        <v>389</v>
      </c>
      <c r="AG103" s="34" t="s">
        <v>804</v>
      </c>
      <c r="AH103" s="2"/>
      <c r="AI103" s="34"/>
      <c r="AJ103" s="34" t="s">
        <v>763</v>
      </c>
      <c r="AK103" s="2"/>
      <c r="AL103" s="178" t="s">
        <v>476</v>
      </c>
      <c r="AM103" s="5" t="s">
        <v>388</v>
      </c>
      <c r="AN103" s="281"/>
      <c r="AO103" s="281"/>
      <c r="AP103" s="5" t="s">
        <v>388</v>
      </c>
    </row>
    <row r="104" spans="1:42" s="480" customFormat="1" ht="11.25" customHeight="1">
      <c r="A104" s="16" t="s">
        <v>131</v>
      </c>
      <c r="B104" s="1" t="s">
        <v>1136</v>
      </c>
      <c r="C104" s="1" t="s">
        <v>1135</v>
      </c>
      <c r="D104" s="1" t="s">
        <v>739</v>
      </c>
      <c r="E104" s="34" t="s">
        <v>625</v>
      </c>
      <c r="F104" s="1"/>
      <c r="G104" s="83">
        <v>1</v>
      </c>
      <c r="H104" s="6"/>
      <c r="I104" s="6"/>
      <c r="J104" s="6"/>
      <c r="K104" s="6"/>
      <c r="L104" s="6"/>
      <c r="M104" s="6" t="s">
        <v>388</v>
      </c>
      <c r="N104" s="6"/>
      <c r="O104" s="6"/>
      <c r="P104" s="6" t="s">
        <v>388</v>
      </c>
      <c r="Q104" s="6"/>
      <c r="R104" s="6"/>
      <c r="S104" s="6"/>
      <c r="T104" s="6"/>
      <c r="U104" s="6"/>
      <c r="V104" s="6"/>
      <c r="W104" s="6"/>
      <c r="X104" s="6"/>
      <c r="Y104" s="6"/>
      <c r="Z104" s="6"/>
      <c r="AA104" s="6" t="s">
        <v>388</v>
      </c>
      <c r="AB104" s="151"/>
      <c r="AC104" s="151"/>
      <c r="AD104" s="12"/>
      <c r="AE104" s="251" t="s">
        <v>1139</v>
      </c>
      <c r="AF104" s="5" t="s">
        <v>389</v>
      </c>
      <c r="AG104" s="4" t="s">
        <v>1137</v>
      </c>
      <c r="AH104" s="1"/>
      <c r="AI104" s="143"/>
      <c r="AJ104" s="4" t="s">
        <v>1138</v>
      </c>
      <c r="AK104" s="1"/>
      <c r="AL104" s="179" t="s">
        <v>1698</v>
      </c>
      <c r="AM104" s="283"/>
      <c r="AN104" s="6" t="s">
        <v>388</v>
      </c>
      <c r="AO104" s="6" t="s">
        <v>388</v>
      </c>
      <c r="AP104" s="283"/>
    </row>
    <row r="105" spans="1:42" s="480" customFormat="1" ht="11.25" customHeight="1">
      <c r="A105" s="144" t="s">
        <v>769</v>
      </c>
      <c r="B105" s="2" t="s">
        <v>770</v>
      </c>
      <c r="C105" s="2" t="s">
        <v>771</v>
      </c>
      <c r="D105" s="34" t="s">
        <v>739</v>
      </c>
      <c r="E105" s="34" t="s">
        <v>625</v>
      </c>
      <c r="F105" s="34"/>
      <c r="G105" s="83">
        <v>1</v>
      </c>
      <c r="H105" s="6"/>
      <c r="I105" s="6"/>
      <c r="J105" s="6"/>
      <c r="K105" s="6"/>
      <c r="L105" s="6"/>
      <c r="M105" s="6"/>
      <c r="N105" s="6" t="s">
        <v>388</v>
      </c>
      <c r="O105" s="6"/>
      <c r="P105" s="6"/>
      <c r="Q105" s="6"/>
      <c r="R105" s="6"/>
      <c r="S105" s="6"/>
      <c r="T105" s="6"/>
      <c r="U105" s="6"/>
      <c r="V105" s="6"/>
      <c r="W105" s="6"/>
      <c r="X105" s="6"/>
      <c r="Y105" s="6"/>
      <c r="Z105" s="6"/>
      <c r="AA105" s="6"/>
      <c r="AB105" s="6"/>
      <c r="AC105" s="12" t="s">
        <v>388</v>
      </c>
      <c r="AD105" s="12"/>
      <c r="AE105" s="83">
        <v>3</v>
      </c>
      <c r="AF105" s="6" t="s">
        <v>389</v>
      </c>
      <c r="AG105" s="34" t="s">
        <v>772</v>
      </c>
      <c r="AH105" s="2"/>
      <c r="AI105" s="34"/>
      <c r="AJ105" s="34" t="s">
        <v>763</v>
      </c>
      <c r="AK105" s="2"/>
      <c r="AL105" s="178" t="s">
        <v>476</v>
      </c>
      <c r="AM105" s="6" t="s">
        <v>388</v>
      </c>
      <c r="AN105" s="283"/>
      <c r="AO105" s="283"/>
      <c r="AP105" s="6" t="s">
        <v>388</v>
      </c>
    </row>
    <row r="106" spans="1:42" s="480" customFormat="1" ht="11.25" customHeight="1">
      <c r="A106" s="144" t="s">
        <v>769</v>
      </c>
      <c r="B106" s="2" t="s">
        <v>864</v>
      </c>
      <c r="C106" s="2" t="s">
        <v>871</v>
      </c>
      <c r="D106" s="34" t="s">
        <v>739</v>
      </c>
      <c r="E106" s="34" t="s">
        <v>625</v>
      </c>
      <c r="F106" s="34"/>
      <c r="G106" s="83">
        <v>1</v>
      </c>
      <c r="H106" s="6"/>
      <c r="I106" s="6"/>
      <c r="J106" s="6"/>
      <c r="K106" s="6"/>
      <c r="L106" s="6"/>
      <c r="M106" s="6" t="s">
        <v>388</v>
      </c>
      <c r="N106" s="6" t="s">
        <v>388</v>
      </c>
      <c r="O106" s="6"/>
      <c r="P106" s="6"/>
      <c r="Q106" s="6"/>
      <c r="R106" s="6"/>
      <c r="S106" s="6"/>
      <c r="T106" s="6"/>
      <c r="U106" s="6" t="s">
        <v>388</v>
      </c>
      <c r="V106" s="6"/>
      <c r="W106" s="6"/>
      <c r="X106" s="6"/>
      <c r="Y106" s="6"/>
      <c r="Z106" s="6"/>
      <c r="AA106" s="6"/>
      <c r="AB106" s="6"/>
      <c r="AC106" s="12"/>
      <c r="AD106" s="12" t="s">
        <v>388</v>
      </c>
      <c r="AE106" s="83" t="s">
        <v>648</v>
      </c>
      <c r="AF106" s="6" t="s">
        <v>389</v>
      </c>
      <c r="AG106" s="34" t="s">
        <v>872</v>
      </c>
      <c r="AH106" s="2"/>
      <c r="AI106" s="34"/>
      <c r="AJ106" s="34" t="s">
        <v>831</v>
      </c>
      <c r="AK106" s="2"/>
      <c r="AL106" s="178" t="s">
        <v>476</v>
      </c>
      <c r="AM106" s="6" t="s">
        <v>388</v>
      </c>
      <c r="AN106" s="6" t="s">
        <v>388</v>
      </c>
      <c r="AO106" s="283"/>
      <c r="AP106" s="283"/>
    </row>
    <row r="107" spans="1:42" s="181" customFormat="1" ht="11.25" customHeight="1">
      <c r="A107" s="144" t="s">
        <v>1910</v>
      </c>
      <c r="B107" s="2" t="s">
        <v>486</v>
      </c>
      <c r="C107" s="2" t="s">
        <v>487</v>
      </c>
      <c r="D107" s="34" t="s">
        <v>387</v>
      </c>
      <c r="E107" s="34" t="s">
        <v>626</v>
      </c>
      <c r="F107" s="4"/>
      <c r="G107" s="83">
        <v>1</v>
      </c>
      <c r="H107" s="6"/>
      <c r="I107" s="6"/>
      <c r="J107" s="6"/>
      <c r="K107" s="6"/>
      <c r="L107" s="6"/>
      <c r="M107" s="6"/>
      <c r="N107" s="6"/>
      <c r="O107" s="6"/>
      <c r="P107" s="6"/>
      <c r="Q107" s="6"/>
      <c r="R107" s="6"/>
      <c r="S107" s="6"/>
      <c r="T107" s="6"/>
      <c r="U107" s="6"/>
      <c r="V107" s="6"/>
      <c r="W107" s="6"/>
      <c r="X107" s="6"/>
      <c r="Y107" s="6"/>
      <c r="Z107" s="6"/>
      <c r="AA107" s="6"/>
      <c r="AB107" s="6"/>
      <c r="AC107" s="12"/>
      <c r="AD107" s="12"/>
      <c r="AE107" s="83">
        <v>4</v>
      </c>
      <c r="AF107" s="5" t="s">
        <v>394</v>
      </c>
      <c r="AG107" s="4" t="s">
        <v>2392</v>
      </c>
      <c r="AH107" s="2"/>
      <c r="AI107" s="4"/>
      <c r="AJ107" s="4"/>
      <c r="AK107" s="2"/>
      <c r="AL107" s="179" t="s">
        <v>1691</v>
      </c>
      <c r="AM107" s="281"/>
      <c r="AN107" s="281"/>
      <c r="AO107" s="281"/>
      <c r="AP107" s="281"/>
    </row>
    <row r="108" spans="1:42" s="181" customFormat="1" ht="11.25" customHeight="1">
      <c r="A108" s="17" t="s">
        <v>1712</v>
      </c>
      <c r="B108" s="2" t="s">
        <v>1713</v>
      </c>
      <c r="C108" s="2" t="s">
        <v>1711</v>
      </c>
      <c r="D108" s="34" t="s">
        <v>387</v>
      </c>
      <c r="E108" s="34" t="s">
        <v>1869</v>
      </c>
      <c r="F108" s="34"/>
      <c r="G108" s="83">
        <v>1</v>
      </c>
      <c r="H108" s="6"/>
      <c r="I108" s="6"/>
      <c r="J108" s="6"/>
      <c r="K108" s="6"/>
      <c r="L108" s="6" t="s">
        <v>388</v>
      </c>
      <c r="M108" s="6"/>
      <c r="N108" s="6"/>
      <c r="O108" s="6"/>
      <c r="P108" s="6"/>
      <c r="Q108" s="6"/>
      <c r="R108" s="6"/>
      <c r="S108" s="6"/>
      <c r="T108" s="6"/>
      <c r="U108" s="6"/>
      <c r="V108" s="6"/>
      <c r="W108" s="6"/>
      <c r="X108" s="6"/>
      <c r="Y108" s="6"/>
      <c r="Z108" s="6"/>
      <c r="AA108" s="6"/>
      <c r="AB108" s="12"/>
      <c r="AC108" s="12"/>
      <c r="AD108" s="12"/>
      <c r="AE108" s="251">
        <v>3</v>
      </c>
      <c r="AF108" s="6" t="s">
        <v>389</v>
      </c>
      <c r="AG108" s="34" t="s">
        <v>1714</v>
      </c>
      <c r="AH108" s="2"/>
      <c r="AI108" s="252"/>
      <c r="AJ108" s="34"/>
      <c r="AK108" s="2"/>
      <c r="AL108" s="178" t="s">
        <v>1692</v>
      </c>
      <c r="AM108" s="281"/>
      <c r="AN108" s="5" t="s">
        <v>388</v>
      </c>
      <c r="AO108" s="281"/>
      <c r="AP108" s="281"/>
    </row>
    <row r="109" spans="1:42" s="181" customFormat="1" ht="11.25" customHeight="1">
      <c r="A109" s="16" t="s">
        <v>1141</v>
      </c>
      <c r="B109" s="1" t="s">
        <v>1142</v>
      </c>
      <c r="C109" s="1" t="s">
        <v>1140</v>
      </c>
      <c r="D109" s="1" t="s">
        <v>739</v>
      </c>
      <c r="E109" s="34" t="s">
        <v>625</v>
      </c>
      <c r="F109" s="1"/>
      <c r="G109" s="83">
        <v>1</v>
      </c>
      <c r="H109" s="6"/>
      <c r="I109" s="6"/>
      <c r="J109" s="6"/>
      <c r="K109" s="6" t="s">
        <v>388</v>
      </c>
      <c r="L109" s="6"/>
      <c r="M109" s="6"/>
      <c r="N109" s="6"/>
      <c r="O109" s="6"/>
      <c r="P109" s="6" t="s">
        <v>388</v>
      </c>
      <c r="Q109" s="6"/>
      <c r="R109" s="6" t="s">
        <v>388</v>
      </c>
      <c r="S109" s="6"/>
      <c r="T109" s="6"/>
      <c r="U109" s="6"/>
      <c r="V109" s="6"/>
      <c r="W109" s="6" t="s">
        <v>388</v>
      </c>
      <c r="X109" s="6"/>
      <c r="Y109" s="6"/>
      <c r="Z109" s="6"/>
      <c r="AA109" s="6"/>
      <c r="AB109" s="151"/>
      <c r="AC109" s="151"/>
      <c r="AD109" s="12"/>
      <c r="AE109" s="251">
        <v>3</v>
      </c>
      <c r="AF109" s="5" t="s">
        <v>389</v>
      </c>
      <c r="AG109" s="4" t="s">
        <v>1144</v>
      </c>
      <c r="AH109" s="1"/>
      <c r="AI109" s="143" t="s">
        <v>1143</v>
      </c>
      <c r="AJ109" s="4"/>
      <c r="AK109" s="1"/>
      <c r="AL109" s="179" t="s">
        <v>1698</v>
      </c>
      <c r="AM109" s="281"/>
      <c r="AN109" s="281"/>
      <c r="AO109" s="281"/>
      <c r="AP109" s="5" t="s">
        <v>388</v>
      </c>
    </row>
    <row r="110" spans="1:42" s="181" customFormat="1" ht="11.25" customHeight="1">
      <c r="A110" s="144" t="s">
        <v>604</v>
      </c>
      <c r="B110" s="2" t="s">
        <v>605</v>
      </c>
      <c r="C110" s="2" t="s">
        <v>606</v>
      </c>
      <c r="D110" s="34" t="s">
        <v>387</v>
      </c>
      <c r="E110" s="34" t="s">
        <v>626</v>
      </c>
      <c r="F110" s="34"/>
      <c r="G110" s="83">
        <v>1</v>
      </c>
      <c r="H110" s="6"/>
      <c r="I110" s="6"/>
      <c r="J110" s="6"/>
      <c r="K110" s="6"/>
      <c r="L110" s="6"/>
      <c r="M110" s="6"/>
      <c r="N110" s="6"/>
      <c r="O110" s="6"/>
      <c r="P110" s="6"/>
      <c r="Q110" s="6"/>
      <c r="R110" s="6"/>
      <c r="S110" s="6"/>
      <c r="T110" s="6"/>
      <c r="U110" s="6"/>
      <c r="V110" s="6"/>
      <c r="W110" s="6"/>
      <c r="X110" s="6"/>
      <c r="Y110" s="6"/>
      <c r="Z110" s="6"/>
      <c r="AA110" s="6"/>
      <c r="AB110" s="6"/>
      <c r="AC110" s="6"/>
      <c r="AD110" s="6"/>
      <c r="AE110" s="83">
        <v>2</v>
      </c>
      <c r="AF110" s="5" t="s">
        <v>394</v>
      </c>
      <c r="AG110" s="4" t="s">
        <v>607</v>
      </c>
      <c r="AH110" s="2"/>
      <c r="AI110" s="34"/>
      <c r="AJ110" s="34"/>
      <c r="AK110" s="2"/>
      <c r="AL110" s="179" t="s">
        <v>1691</v>
      </c>
      <c r="AM110" s="5" t="s">
        <v>388</v>
      </c>
      <c r="AN110" s="281"/>
      <c r="AO110" s="281"/>
      <c r="AP110" s="281"/>
    </row>
    <row r="111" spans="1:42" s="181" customFormat="1" ht="11.25" customHeight="1">
      <c r="A111" s="144" t="s">
        <v>142</v>
      </c>
      <c r="B111" s="1" t="s">
        <v>297</v>
      </c>
      <c r="C111" s="1" t="s">
        <v>298</v>
      </c>
      <c r="D111" s="4" t="s">
        <v>387</v>
      </c>
      <c r="E111" s="4" t="s">
        <v>625</v>
      </c>
      <c r="F111" s="4"/>
      <c r="G111" s="83">
        <v>1</v>
      </c>
      <c r="H111" s="6"/>
      <c r="I111" s="6"/>
      <c r="J111" s="6"/>
      <c r="K111" s="6"/>
      <c r="L111" s="6"/>
      <c r="M111" s="6"/>
      <c r="N111" s="6"/>
      <c r="O111" s="6"/>
      <c r="P111" s="6"/>
      <c r="Q111" s="6"/>
      <c r="R111" s="6"/>
      <c r="S111" s="6"/>
      <c r="T111" s="6" t="s">
        <v>388</v>
      </c>
      <c r="U111" s="6"/>
      <c r="V111" s="6"/>
      <c r="W111" s="6"/>
      <c r="X111" s="6"/>
      <c r="Y111" s="6"/>
      <c r="Z111" s="6"/>
      <c r="AA111" s="6"/>
      <c r="AB111" s="6" t="s">
        <v>388</v>
      </c>
      <c r="AC111" s="12" t="s">
        <v>388</v>
      </c>
      <c r="AD111" s="12"/>
      <c r="AE111" s="83">
        <v>3</v>
      </c>
      <c r="AF111" s="5" t="s">
        <v>389</v>
      </c>
      <c r="AG111" s="34" t="s">
        <v>1909</v>
      </c>
      <c r="AH111" s="1"/>
      <c r="AI111" s="4"/>
      <c r="AJ111" s="4"/>
      <c r="AK111" s="2"/>
      <c r="AL111" s="178" t="s">
        <v>1690</v>
      </c>
      <c r="AM111" s="5" t="s">
        <v>388</v>
      </c>
      <c r="AN111" s="281"/>
      <c r="AO111" s="281"/>
      <c r="AP111" s="281"/>
    </row>
    <row r="112" spans="1:42" s="181" customFormat="1" ht="11.25" customHeight="1">
      <c r="A112" s="144" t="s">
        <v>299</v>
      </c>
      <c r="B112" s="2" t="s">
        <v>300</v>
      </c>
      <c r="C112" s="2" t="s">
        <v>301</v>
      </c>
      <c r="D112" s="34" t="s">
        <v>1150</v>
      </c>
      <c r="E112" s="34" t="s">
        <v>625</v>
      </c>
      <c r="F112" s="34"/>
      <c r="G112" s="83">
        <v>1</v>
      </c>
      <c r="H112" s="6"/>
      <c r="I112" s="6"/>
      <c r="J112" s="6"/>
      <c r="K112" s="6"/>
      <c r="L112" s="6" t="s">
        <v>388</v>
      </c>
      <c r="M112" s="6"/>
      <c r="N112" s="6"/>
      <c r="O112" s="6"/>
      <c r="P112" s="6"/>
      <c r="Q112" s="6"/>
      <c r="R112" s="6"/>
      <c r="S112" s="6"/>
      <c r="T112" s="6"/>
      <c r="U112" s="6" t="s">
        <v>388</v>
      </c>
      <c r="V112" s="6"/>
      <c r="W112" s="6"/>
      <c r="X112" s="6"/>
      <c r="Y112" s="6"/>
      <c r="Z112" s="6"/>
      <c r="AA112" s="6" t="s">
        <v>388</v>
      </c>
      <c r="AB112" s="6"/>
      <c r="AC112" s="12"/>
      <c r="AD112" s="12"/>
      <c r="AE112" s="83">
        <v>3</v>
      </c>
      <c r="AF112" s="5" t="s">
        <v>389</v>
      </c>
      <c r="AG112" s="34" t="s">
        <v>1908</v>
      </c>
      <c r="AH112" s="1"/>
      <c r="AI112" s="4" t="s">
        <v>1151</v>
      </c>
      <c r="AJ112" s="4"/>
      <c r="AK112" s="2"/>
      <c r="AL112" s="178" t="s">
        <v>1690</v>
      </c>
      <c r="AM112" s="281"/>
      <c r="AN112" s="5" t="s">
        <v>388</v>
      </c>
      <c r="AO112" s="5" t="s">
        <v>388</v>
      </c>
      <c r="AP112" s="281"/>
    </row>
    <row r="113" spans="1:42" s="181" customFormat="1" ht="11.25" customHeight="1">
      <c r="A113" s="144" t="s">
        <v>145</v>
      </c>
      <c r="B113" s="2" t="s">
        <v>2297</v>
      </c>
      <c r="C113" s="2" t="s">
        <v>2298</v>
      </c>
      <c r="D113" s="34" t="s">
        <v>387</v>
      </c>
      <c r="E113" s="34" t="s">
        <v>1869</v>
      </c>
      <c r="F113" s="34"/>
      <c r="G113" s="83">
        <v>1</v>
      </c>
      <c r="H113" s="6"/>
      <c r="I113" s="6"/>
      <c r="J113" s="6"/>
      <c r="K113" s="6"/>
      <c r="L113" s="6" t="s">
        <v>388</v>
      </c>
      <c r="M113" s="6" t="s">
        <v>388</v>
      </c>
      <c r="N113" s="6"/>
      <c r="O113" s="6"/>
      <c r="P113" s="6"/>
      <c r="Q113" s="6"/>
      <c r="R113" s="6"/>
      <c r="S113" s="6"/>
      <c r="T113" s="6"/>
      <c r="U113" s="6"/>
      <c r="V113" s="6"/>
      <c r="W113" s="6"/>
      <c r="X113" s="6"/>
      <c r="Y113" s="6"/>
      <c r="Z113" s="6"/>
      <c r="AA113" s="6"/>
      <c r="AB113" s="12"/>
      <c r="AC113" s="12"/>
      <c r="AD113" s="12"/>
      <c r="AE113" s="251">
        <v>3</v>
      </c>
      <c r="AF113" s="5" t="s">
        <v>394</v>
      </c>
      <c r="AG113" s="34"/>
      <c r="AH113" s="1"/>
      <c r="AI113" s="143"/>
      <c r="AJ113" s="4"/>
      <c r="AK113" s="2"/>
      <c r="AL113" s="178" t="s">
        <v>1705</v>
      </c>
      <c r="AM113" s="5"/>
      <c r="AN113" s="5" t="s">
        <v>388</v>
      </c>
      <c r="AO113" s="5" t="s">
        <v>388</v>
      </c>
      <c r="AP113" s="5"/>
    </row>
    <row r="114" spans="1:42" s="181" customFormat="1" ht="11.25" customHeight="1">
      <c r="A114" s="144" t="s">
        <v>145</v>
      </c>
      <c r="B114" s="1" t="s">
        <v>146</v>
      </c>
      <c r="C114" s="1" t="s">
        <v>147</v>
      </c>
      <c r="D114" s="4" t="s">
        <v>387</v>
      </c>
      <c r="E114" s="4" t="s">
        <v>624</v>
      </c>
      <c r="F114" s="4" t="s">
        <v>625</v>
      </c>
      <c r="G114" s="83">
        <v>1</v>
      </c>
      <c r="H114" s="6"/>
      <c r="I114" s="6"/>
      <c r="J114" s="6"/>
      <c r="K114" s="6"/>
      <c r="L114" s="6" t="s">
        <v>388</v>
      </c>
      <c r="M114" s="6"/>
      <c r="N114" s="6"/>
      <c r="O114" s="6"/>
      <c r="P114" s="6"/>
      <c r="Q114" s="6"/>
      <c r="R114" s="6"/>
      <c r="S114" s="6"/>
      <c r="T114" s="6"/>
      <c r="U114" s="6" t="s">
        <v>388</v>
      </c>
      <c r="V114" s="6"/>
      <c r="W114" s="6"/>
      <c r="X114" s="6"/>
      <c r="Y114" s="6"/>
      <c r="Z114" s="6"/>
      <c r="AA114" s="6"/>
      <c r="AB114" s="6"/>
      <c r="AC114" s="12"/>
      <c r="AD114" s="12"/>
      <c r="AE114" s="83">
        <v>3</v>
      </c>
      <c r="AF114" s="5" t="s">
        <v>394</v>
      </c>
      <c r="AG114" s="34" t="s">
        <v>1907</v>
      </c>
      <c r="AH114" s="1"/>
      <c r="AI114" s="4" t="s">
        <v>1906</v>
      </c>
      <c r="AJ114" s="4"/>
      <c r="AK114" s="2"/>
      <c r="AL114" s="178" t="s">
        <v>1690</v>
      </c>
      <c r="AM114" s="281"/>
      <c r="AN114" s="5" t="s">
        <v>388</v>
      </c>
      <c r="AO114" s="5" t="s">
        <v>388</v>
      </c>
      <c r="AP114" s="281"/>
    </row>
    <row r="115" spans="1:42" s="181" customFormat="1" ht="11.25" customHeight="1">
      <c r="A115" s="16" t="s">
        <v>2045</v>
      </c>
      <c r="B115" s="1" t="s">
        <v>2046</v>
      </c>
      <c r="C115" s="1" t="s">
        <v>2047</v>
      </c>
      <c r="D115" s="1" t="s">
        <v>387</v>
      </c>
      <c r="E115" s="34" t="s">
        <v>1869</v>
      </c>
      <c r="F115" s="1"/>
      <c r="G115" s="83">
        <v>1</v>
      </c>
      <c r="H115" s="6"/>
      <c r="I115" s="6"/>
      <c r="J115" s="6"/>
      <c r="K115" s="6"/>
      <c r="L115" s="6"/>
      <c r="M115" s="6"/>
      <c r="N115" s="6"/>
      <c r="O115" s="6"/>
      <c r="P115" s="6"/>
      <c r="Q115" s="6"/>
      <c r="R115" s="6" t="s">
        <v>388</v>
      </c>
      <c r="S115" s="6"/>
      <c r="T115" s="6"/>
      <c r="U115" s="6" t="s">
        <v>388</v>
      </c>
      <c r="V115" s="6"/>
      <c r="W115" s="6"/>
      <c r="X115" s="6"/>
      <c r="Y115" s="6"/>
      <c r="Z115" s="6"/>
      <c r="AA115" s="6"/>
      <c r="AB115" s="151"/>
      <c r="AC115" s="151"/>
      <c r="AD115" s="12"/>
      <c r="AE115" s="251"/>
      <c r="AF115" s="5" t="s">
        <v>389</v>
      </c>
      <c r="AG115" s="247"/>
      <c r="AH115" s="1"/>
      <c r="AI115" s="143"/>
      <c r="AJ115" s="4"/>
      <c r="AK115" s="1"/>
      <c r="AL115" s="178" t="s">
        <v>1690</v>
      </c>
      <c r="AM115" s="281"/>
      <c r="AN115" s="5" t="s">
        <v>388</v>
      </c>
      <c r="AO115" s="5" t="s">
        <v>388</v>
      </c>
      <c r="AP115" s="5"/>
    </row>
    <row r="116" spans="1:42" s="181" customFormat="1" ht="11.25" customHeight="1">
      <c r="A116" s="144" t="s">
        <v>695</v>
      </c>
      <c r="B116" s="2" t="s">
        <v>694</v>
      </c>
      <c r="C116" s="2" t="s">
        <v>696</v>
      </c>
      <c r="D116" s="2" t="s">
        <v>387</v>
      </c>
      <c r="E116" s="34" t="s">
        <v>625</v>
      </c>
      <c r="F116" s="34"/>
      <c r="G116" s="83">
        <v>1</v>
      </c>
      <c r="H116" s="6"/>
      <c r="I116" s="6"/>
      <c r="J116" s="6"/>
      <c r="K116" s="6"/>
      <c r="L116" s="6"/>
      <c r="M116" s="6"/>
      <c r="N116" s="6"/>
      <c r="O116" s="6" t="s">
        <v>388</v>
      </c>
      <c r="P116" s="6"/>
      <c r="Q116" s="6"/>
      <c r="R116" s="6"/>
      <c r="S116" s="6"/>
      <c r="T116" s="6"/>
      <c r="U116" s="6" t="s">
        <v>388</v>
      </c>
      <c r="V116" s="6"/>
      <c r="W116" s="6"/>
      <c r="X116" s="6"/>
      <c r="Y116" s="6"/>
      <c r="Z116" s="6"/>
      <c r="AA116" s="6"/>
      <c r="AB116" s="6"/>
      <c r="AC116" s="12"/>
      <c r="AD116" s="12" t="s">
        <v>388</v>
      </c>
      <c r="AE116" s="83" t="s">
        <v>648</v>
      </c>
      <c r="AF116" s="6" t="s">
        <v>394</v>
      </c>
      <c r="AG116" s="34" t="s">
        <v>705</v>
      </c>
      <c r="AH116" s="2"/>
      <c r="AI116" s="34"/>
      <c r="AJ116" s="34"/>
      <c r="AK116" s="2"/>
      <c r="AL116" s="179" t="s">
        <v>1699</v>
      </c>
      <c r="AM116" s="281"/>
      <c r="AN116" s="281"/>
      <c r="AO116" s="281"/>
      <c r="AP116" s="5" t="s">
        <v>388</v>
      </c>
    </row>
    <row r="117" spans="1:42" s="181" customFormat="1" ht="11.25" customHeight="1">
      <c r="A117" s="144" t="s">
        <v>886</v>
      </c>
      <c r="B117" s="2" t="s">
        <v>885</v>
      </c>
      <c r="C117" s="2" t="s">
        <v>887</v>
      </c>
      <c r="D117" s="34" t="s">
        <v>739</v>
      </c>
      <c r="E117" s="34" t="s">
        <v>625</v>
      </c>
      <c r="F117" s="34"/>
      <c r="G117" s="83">
        <v>1</v>
      </c>
      <c r="H117" s="6"/>
      <c r="I117" s="6"/>
      <c r="J117" s="6"/>
      <c r="K117" s="6"/>
      <c r="L117" s="6"/>
      <c r="M117" s="6"/>
      <c r="N117" s="6" t="s">
        <v>388</v>
      </c>
      <c r="O117" s="6"/>
      <c r="P117" s="6"/>
      <c r="Q117" s="6"/>
      <c r="R117" s="6"/>
      <c r="S117" s="6"/>
      <c r="T117" s="6"/>
      <c r="U117" s="6" t="s">
        <v>388</v>
      </c>
      <c r="V117" s="6"/>
      <c r="W117" s="6"/>
      <c r="X117" s="6"/>
      <c r="Y117" s="6"/>
      <c r="Z117" s="6"/>
      <c r="AA117" s="6"/>
      <c r="AB117" s="6"/>
      <c r="AC117" s="12"/>
      <c r="AD117" s="12"/>
      <c r="AE117" s="83" t="s">
        <v>648</v>
      </c>
      <c r="AF117" s="6" t="s">
        <v>389</v>
      </c>
      <c r="AG117" s="34" t="s">
        <v>1725</v>
      </c>
      <c r="AH117" s="2"/>
      <c r="AI117" s="34"/>
      <c r="AJ117" s="34" t="s">
        <v>763</v>
      </c>
      <c r="AK117" s="2"/>
      <c r="AL117" s="178" t="s">
        <v>476</v>
      </c>
      <c r="AM117" s="281"/>
      <c r="AN117" s="5" t="s">
        <v>388</v>
      </c>
      <c r="AO117" s="281"/>
      <c r="AP117" s="5"/>
    </row>
    <row r="118" spans="1:42" s="181" customFormat="1" ht="11.25" customHeight="1">
      <c r="A118" s="16" t="s">
        <v>2048</v>
      </c>
      <c r="B118" s="1" t="s">
        <v>1459</v>
      </c>
      <c r="C118" s="1" t="s">
        <v>1460</v>
      </c>
      <c r="D118" s="1" t="s">
        <v>739</v>
      </c>
      <c r="E118" s="1" t="s">
        <v>625</v>
      </c>
      <c r="F118" s="1"/>
      <c r="G118" s="83">
        <v>1</v>
      </c>
      <c r="H118" s="6"/>
      <c r="I118" s="6"/>
      <c r="J118" s="6"/>
      <c r="K118" s="6" t="s">
        <v>388</v>
      </c>
      <c r="L118" s="6" t="s">
        <v>388</v>
      </c>
      <c r="M118" s="6" t="s">
        <v>388</v>
      </c>
      <c r="N118" s="6"/>
      <c r="O118" s="6"/>
      <c r="P118" s="6"/>
      <c r="Q118" s="6"/>
      <c r="R118" s="6"/>
      <c r="S118" s="6"/>
      <c r="T118" s="6"/>
      <c r="U118" s="6" t="s">
        <v>388</v>
      </c>
      <c r="V118" s="6"/>
      <c r="W118" s="6"/>
      <c r="X118" s="6"/>
      <c r="Y118" s="6"/>
      <c r="Z118" s="6"/>
      <c r="AA118" s="6" t="s">
        <v>388</v>
      </c>
      <c r="AB118" s="151"/>
      <c r="AC118" s="151"/>
      <c r="AD118" s="12"/>
      <c r="AE118" s="251">
        <v>3</v>
      </c>
      <c r="AF118" s="5" t="s">
        <v>389</v>
      </c>
      <c r="AG118" s="34" t="s">
        <v>1461</v>
      </c>
      <c r="AH118" s="1"/>
      <c r="AI118" s="143"/>
      <c r="AJ118" s="4"/>
      <c r="AK118" s="1"/>
      <c r="AL118" s="179" t="s">
        <v>1701</v>
      </c>
      <c r="AM118" s="281"/>
      <c r="AN118" s="5" t="s">
        <v>388</v>
      </c>
      <c r="AO118" s="281"/>
      <c r="AP118" s="281"/>
    </row>
    <row r="119" spans="1:42" s="181" customFormat="1" ht="11.25" customHeight="1">
      <c r="A119" s="16" t="s">
        <v>2049</v>
      </c>
      <c r="B119" s="1" t="s">
        <v>1242</v>
      </c>
      <c r="C119" s="1" t="s">
        <v>1241</v>
      </c>
      <c r="D119" s="1" t="s">
        <v>387</v>
      </c>
      <c r="E119" s="1" t="s">
        <v>625</v>
      </c>
      <c r="F119" s="1"/>
      <c r="G119" s="83">
        <v>1</v>
      </c>
      <c r="H119" s="6"/>
      <c r="I119" s="6"/>
      <c r="J119" s="6"/>
      <c r="K119" s="6"/>
      <c r="L119" s="6"/>
      <c r="M119" s="6" t="s">
        <v>388</v>
      </c>
      <c r="N119" s="6"/>
      <c r="O119" s="6"/>
      <c r="P119" s="6"/>
      <c r="Q119" s="6"/>
      <c r="R119" s="6"/>
      <c r="S119" s="6"/>
      <c r="T119" s="6" t="s">
        <v>388</v>
      </c>
      <c r="U119" s="6" t="s">
        <v>388</v>
      </c>
      <c r="V119" s="6"/>
      <c r="W119" s="6"/>
      <c r="X119" s="6"/>
      <c r="Y119" s="6" t="s">
        <v>388</v>
      </c>
      <c r="Z119" s="6"/>
      <c r="AA119" s="6" t="s">
        <v>388</v>
      </c>
      <c r="AB119" s="151"/>
      <c r="AC119" s="151"/>
      <c r="AD119" s="12"/>
      <c r="AE119" s="251" t="s">
        <v>648</v>
      </c>
      <c r="AF119" s="5" t="s">
        <v>389</v>
      </c>
      <c r="AG119" s="4" t="s">
        <v>1244</v>
      </c>
      <c r="AH119" s="1"/>
      <c r="AI119" s="143" t="s">
        <v>1245</v>
      </c>
      <c r="AJ119" s="4"/>
      <c r="AK119" s="1"/>
      <c r="AL119" s="179" t="s">
        <v>1700</v>
      </c>
      <c r="AM119" s="281"/>
      <c r="AN119" s="5" t="s">
        <v>388</v>
      </c>
      <c r="AO119" s="281"/>
      <c r="AP119" s="281"/>
    </row>
    <row r="120" spans="1:42" s="181" customFormat="1" ht="11.25" customHeight="1">
      <c r="A120" s="144" t="s">
        <v>1905</v>
      </c>
      <c r="B120" s="1" t="s">
        <v>598</v>
      </c>
      <c r="C120" s="1" t="s">
        <v>599</v>
      </c>
      <c r="D120" s="4" t="s">
        <v>387</v>
      </c>
      <c r="E120" s="4" t="s">
        <v>626</v>
      </c>
      <c r="F120" s="4"/>
      <c r="G120" s="83">
        <v>1</v>
      </c>
      <c r="H120" s="6"/>
      <c r="I120" s="6"/>
      <c r="J120" s="6"/>
      <c r="K120" s="6"/>
      <c r="L120" s="6"/>
      <c r="M120" s="6"/>
      <c r="N120" s="6"/>
      <c r="O120" s="6"/>
      <c r="P120" s="6"/>
      <c r="Q120" s="6"/>
      <c r="R120" s="6"/>
      <c r="S120" s="6"/>
      <c r="T120" s="6"/>
      <c r="U120" s="6"/>
      <c r="V120" s="6"/>
      <c r="W120" s="6"/>
      <c r="X120" s="6"/>
      <c r="Y120" s="6"/>
      <c r="Z120" s="6"/>
      <c r="AA120" s="6"/>
      <c r="AB120" s="6"/>
      <c r="AC120" s="12"/>
      <c r="AD120" s="12"/>
      <c r="AE120" s="83">
        <v>2</v>
      </c>
      <c r="AF120" s="5" t="s">
        <v>394</v>
      </c>
      <c r="AG120" s="34" t="s">
        <v>1904</v>
      </c>
      <c r="AH120" s="2"/>
      <c r="AI120" s="4"/>
      <c r="AJ120" s="4"/>
      <c r="AK120" s="2" t="s">
        <v>2135</v>
      </c>
      <c r="AL120" s="179" t="s">
        <v>1691</v>
      </c>
      <c r="AM120" s="281"/>
      <c r="AN120" s="5" t="s">
        <v>388</v>
      </c>
      <c r="AO120" s="281"/>
      <c r="AP120" s="281"/>
    </row>
    <row r="121" spans="1:42" s="181" customFormat="1" ht="11.25" customHeight="1">
      <c r="A121" s="16" t="s">
        <v>1030</v>
      </c>
      <c r="B121" s="1" t="s">
        <v>1436</v>
      </c>
      <c r="C121" s="1" t="s">
        <v>1435</v>
      </c>
      <c r="D121" s="1" t="s">
        <v>387</v>
      </c>
      <c r="E121" s="1" t="s">
        <v>625</v>
      </c>
      <c r="F121" s="1"/>
      <c r="G121" s="83">
        <v>1</v>
      </c>
      <c r="H121" s="6"/>
      <c r="I121" s="6"/>
      <c r="J121" s="6"/>
      <c r="K121" s="6"/>
      <c r="L121" s="6"/>
      <c r="M121" s="6"/>
      <c r="N121" s="6"/>
      <c r="O121" s="6"/>
      <c r="P121" s="6" t="s">
        <v>388</v>
      </c>
      <c r="Q121" s="6"/>
      <c r="R121" s="6"/>
      <c r="S121" s="6"/>
      <c r="T121" s="6"/>
      <c r="U121" s="6"/>
      <c r="V121" s="6"/>
      <c r="W121" s="6"/>
      <c r="X121" s="6"/>
      <c r="Y121" s="6"/>
      <c r="Z121" s="6"/>
      <c r="AA121" s="6"/>
      <c r="AB121" s="151"/>
      <c r="AC121" s="151"/>
      <c r="AD121" s="12"/>
      <c r="AE121" s="251" t="s">
        <v>648</v>
      </c>
      <c r="AF121" s="5" t="s">
        <v>394</v>
      </c>
      <c r="AG121" s="4" t="s">
        <v>1437</v>
      </c>
      <c r="AH121" s="1"/>
      <c r="AI121" s="143" t="s">
        <v>1438</v>
      </c>
      <c r="AJ121" s="4"/>
      <c r="AK121" s="1"/>
      <c r="AL121" s="179" t="s">
        <v>1700</v>
      </c>
      <c r="AM121" s="281"/>
      <c r="AN121" s="5" t="s">
        <v>388</v>
      </c>
      <c r="AO121" s="281"/>
      <c r="AP121" s="281"/>
    </row>
    <row r="122" spans="1:42" s="181" customFormat="1" ht="11.25" customHeight="1">
      <c r="A122" s="16" t="s">
        <v>1097</v>
      </c>
      <c r="B122" s="1" t="s">
        <v>1096</v>
      </c>
      <c r="C122" s="1" t="s">
        <v>1095</v>
      </c>
      <c r="D122" s="1" t="s">
        <v>739</v>
      </c>
      <c r="E122" s="34" t="s">
        <v>625</v>
      </c>
      <c r="F122" s="1"/>
      <c r="G122" s="83">
        <v>1</v>
      </c>
      <c r="H122" s="6"/>
      <c r="I122" s="6"/>
      <c r="J122" s="6"/>
      <c r="K122" s="6" t="s">
        <v>388</v>
      </c>
      <c r="L122" s="6" t="s">
        <v>388</v>
      </c>
      <c r="M122" s="6" t="s">
        <v>388</v>
      </c>
      <c r="N122" s="6"/>
      <c r="O122" s="6" t="s">
        <v>388</v>
      </c>
      <c r="P122" s="6"/>
      <c r="Q122" s="6"/>
      <c r="R122" s="6"/>
      <c r="S122" s="6"/>
      <c r="T122" s="6" t="s">
        <v>388</v>
      </c>
      <c r="U122" s="6" t="s">
        <v>388</v>
      </c>
      <c r="V122" s="6"/>
      <c r="W122" s="6"/>
      <c r="X122" s="6" t="s">
        <v>388</v>
      </c>
      <c r="Y122" s="6"/>
      <c r="Z122" s="6"/>
      <c r="AA122" s="6"/>
      <c r="AB122" s="151"/>
      <c r="AC122" s="151"/>
      <c r="AD122" s="12"/>
      <c r="AE122" s="251" t="s">
        <v>648</v>
      </c>
      <c r="AF122" s="5" t="s">
        <v>394</v>
      </c>
      <c r="AG122" s="4" t="s">
        <v>1098</v>
      </c>
      <c r="AH122" s="1"/>
      <c r="AI122" s="143" t="s">
        <v>1099</v>
      </c>
      <c r="AJ122" s="4"/>
      <c r="AK122" s="1"/>
      <c r="AL122" s="179" t="s">
        <v>1698</v>
      </c>
      <c r="AM122" s="281"/>
      <c r="AN122" s="5" t="s">
        <v>388</v>
      </c>
      <c r="AO122" s="5" t="s">
        <v>388</v>
      </c>
      <c r="AP122" s="281"/>
    </row>
    <row r="123" spans="1:42" s="181" customFormat="1" ht="11.25" customHeight="1">
      <c r="A123" s="17" t="s">
        <v>2026</v>
      </c>
      <c r="B123" s="2" t="s">
        <v>1646</v>
      </c>
      <c r="C123" s="2" t="s">
        <v>1006</v>
      </c>
      <c r="D123" s="2" t="s">
        <v>739</v>
      </c>
      <c r="E123" s="2" t="s">
        <v>625</v>
      </c>
      <c r="F123" s="1"/>
      <c r="G123" s="83">
        <v>1</v>
      </c>
      <c r="H123" s="6"/>
      <c r="I123" s="6"/>
      <c r="J123" s="6"/>
      <c r="K123" s="6"/>
      <c r="L123" s="6"/>
      <c r="M123" s="6"/>
      <c r="N123" s="6"/>
      <c r="O123" s="6"/>
      <c r="P123" s="6" t="s">
        <v>388</v>
      </c>
      <c r="Q123" s="6"/>
      <c r="R123" s="6" t="s">
        <v>388</v>
      </c>
      <c r="S123" s="6"/>
      <c r="T123" s="6"/>
      <c r="U123" s="6"/>
      <c r="V123" s="6"/>
      <c r="W123" s="6"/>
      <c r="X123" s="6"/>
      <c r="Y123" s="6"/>
      <c r="Z123" s="6"/>
      <c r="AA123" s="6"/>
      <c r="AB123" s="151"/>
      <c r="AC123" s="151"/>
      <c r="AD123" s="12"/>
      <c r="AE123" s="251"/>
      <c r="AF123" s="5" t="s">
        <v>394</v>
      </c>
      <c r="AG123" s="4" t="s">
        <v>2027</v>
      </c>
      <c r="AH123" s="1"/>
      <c r="AI123" s="143" t="s">
        <v>2028</v>
      </c>
      <c r="AJ123" s="4"/>
      <c r="AK123" s="1"/>
      <c r="AL123" s="179" t="s">
        <v>1693</v>
      </c>
      <c r="AM123" s="281"/>
      <c r="AN123" s="281"/>
      <c r="AO123" s="281"/>
      <c r="AP123" s="281"/>
    </row>
    <row r="124" spans="1:42" s="181" customFormat="1" ht="11.25" customHeight="1">
      <c r="A124" s="17" t="s">
        <v>2024</v>
      </c>
      <c r="B124" s="2" t="s">
        <v>1483</v>
      </c>
      <c r="C124" s="2" t="s">
        <v>1484</v>
      </c>
      <c r="D124" s="2" t="s">
        <v>387</v>
      </c>
      <c r="E124" s="1" t="s">
        <v>625</v>
      </c>
      <c r="F124" s="1"/>
      <c r="G124" s="83">
        <v>1</v>
      </c>
      <c r="H124" s="6"/>
      <c r="I124" s="6"/>
      <c r="J124" s="6"/>
      <c r="K124" s="6" t="s">
        <v>388</v>
      </c>
      <c r="L124" s="6" t="s">
        <v>388</v>
      </c>
      <c r="M124" s="6"/>
      <c r="N124" s="6"/>
      <c r="O124" s="6"/>
      <c r="P124" s="6"/>
      <c r="Q124" s="6"/>
      <c r="R124" s="6"/>
      <c r="S124" s="6"/>
      <c r="T124" s="6"/>
      <c r="U124" s="6"/>
      <c r="V124" s="6"/>
      <c r="W124" s="6"/>
      <c r="X124" s="6"/>
      <c r="Y124" s="6" t="s">
        <v>388</v>
      </c>
      <c r="Z124" s="6"/>
      <c r="AA124" s="6" t="s">
        <v>388</v>
      </c>
      <c r="AB124" s="151"/>
      <c r="AC124" s="151"/>
      <c r="AD124" s="12" t="s">
        <v>388</v>
      </c>
      <c r="AE124" s="251"/>
      <c r="AF124" s="5" t="s">
        <v>389</v>
      </c>
      <c r="AG124" s="4" t="s">
        <v>1485</v>
      </c>
      <c r="AH124" s="1"/>
      <c r="AI124" s="143"/>
      <c r="AJ124" s="4"/>
      <c r="AK124" s="1"/>
      <c r="AL124" s="179" t="s">
        <v>1701</v>
      </c>
      <c r="AM124" s="281"/>
      <c r="AN124" s="5" t="s">
        <v>388</v>
      </c>
      <c r="AO124" s="281"/>
      <c r="AP124" s="281"/>
    </row>
    <row r="125" spans="1:42" s="181" customFormat="1" ht="11.25" customHeight="1">
      <c r="A125" s="144" t="s">
        <v>868</v>
      </c>
      <c r="B125" s="2" t="s">
        <v>865</v>
      </c>
      <c r="C125" s="2" t="s">
        <v>867</v>
      </c>
      <c r="D125" s="34" t="s">
        <v>739</v>
      </c>
      <c r="E125" s="34" t="s">
        <v>625</v>
      </c>
      <c r="F125" s="34"/>
      <c r="G125" s="83">
        <v>1</v>
      </c>
      <c r="H125" s="6"/>
      <c r="I125" s="6"/>
      <c r="J125" s="6"/>
      <c r="K125" s="6"/>
      <c r="L125" s="6"/>
      <c r="M125" s="6"/>
      <c r="N125" s="6" t="s">
        <v>388</v>
      </c>
      <c r="O125" s="6"/>
      <c r="P125" s="6"/>
      <c r="Q125" s="6"/>
      <c r="R125" s="6"/>
      <c r="S125" s="6"/>
      <c r="T125" s="6"/>
      <c r="U125" s="6"/>
      <c r="V125" s="6"/>
      <c r="W125" s="6"/>
      <c r="X125" s="6"/>
      <c r="Y125" s="6"/>
      <c r="Z125" s="6"/>
      <c r="AA125" s="6"/>
      <c r="AB125" s="6"/>
      <c r="AC125" s="12" t="s">
        <v>388</v>
      </c>
      <c r="AD125" s="12" t="s">
        <v>388</v>
      </c>
      <c r="AE125" s="83" t="s">
        <v>648</v>
      </c>
      <c r="AF125" s="6" t="s">
        <v>394</v>
      </c>
      <c r="AG125" s="34" t="s">
        <v>869</v>
      </c>
      <c r="AH125" s="2"/>
      <c r="AI125" s="34"/>
      <c r="AJ125" s="34" t="s">
        <v>870</v>
      </c>
      <c r="AK125" s="2"/>
      <c r="AL125" s="178" t="s">
        <v>476</v>
      </c>
      <c r="AM125" s="5" t="s">
        <v>388</v>
      </c>
      <c r="AN125" s="281"/>
      <c r="AO125" s="281"/>
      <c r="AP125" s="281"/>
    </row>
    <row r="126" spans="1:42" s="181" customFormat="1" ht="11.25" customHeight="1">
      <c r="A126" s="144" t="s">
        <v>691</v>
      </c>
      <c r="B126" s="2" t="s">
        <v>690</v>
      </c>
      <c r="C126" s="2" t="s">
        <v>692</v>
      </c>
      <c r="D126" s="2" t="s">
        <v>387</v>
      </c>
      <c r="E126" s="34" t="s">
        <v>625</v>
      </c>
      <c r="F126" s="34"/>
      <c r="G126" s="83">
        <v>1</v>
      </c>
      <c r="H126" s="6"/>
      <c r="I126" s="6"/>
      <c r="J126" s="6"/>
      <c r="K126" s="6"/>
      <c r="L126" s="6"/>
      <c r="M126" s="6"/>
      <c r="N126" s="6"/>
      <c r="O126" s="6" t="s">
        <v>388</v>
      </c>
      <c r="P126" s="6"/>
      <c r="Q126" s="6"/>
      <c r="R126" s="6"/>
      <c r="S126" s="6"/>
      <c r="T126" s="6" t="s">
        <v>388</v>
      </c>
      <c r="U126" s="6" t="s">
        <v>388</v>
      </c>
      <c r="V126" s="6"/>
      <c r="W126" s="6"/>
      <c r="X126" s="6"/>
      <c r="Y126" s="6" t="s">
        <v>388</v>
      </c>
      <c r="Z126" s="6"/>
      <c r="AA126" s="6"/>
      <c r="AB126" s="6"/>
      <c r="AC126" s="12" t="s">
        <v>388</v>
      </c>
      <c r="AD126" s="12"/>
      <c r="AE126" s="83" t="s">
        <v>648</v>
      </c>
      <c r="AF126" s="6" t="s">
        <v>389</v>
      </c>
      <c r="AG126" s="34" t="s">
        <v>693</v>
      </c>
      <c r="AH126" s="2"/>
      <c r="AI126" s="34"/>
      <c r="AJ126" s="34"/>
      <c r="AK126" s="2"/>
      <c r="AL126" s="179" t="s">
        <v>1699</v>
      </c>
      <c r="AM126" s="281"/>
      <c r="AN126" s="5" t="s">
        <v>388</v>
      </c>
      <c r="AO126" s="5" t="s">
        <v>388</v>
      </c>
      <c r="AP126" s="281"/>
    </row>
    <row r="127" spans="1:42" s="181" customFormat="1" ht="11.25" customHeight="1">
      <c r="A127" s="16" t="s">
        <v>1981</v>
      </c>
      <c r="B127" s="1" t="s">
        <v>1562</v>
      </c>
      <c r="C127" s="1" t="s">
        <v>1563</v>
      </c>
      <c r="D127" s="1" t="s">
        <v>387</v>
      </c>
      <c r="E127" s="1" t="s">
        <v>625</v>
      </c>
      <c r="F127" s="1"/>
      <c r="G127" s="83">
        <v>1</v>
      </c>
      <c r="H127" s="6" t="s">
        <v>388</v>
      </c>
      <c r="I127" s="6" t="s">
        <v>388</v>
      </c>
      <c r="J127" s="6"/>
      <c r="K127" s="6"/>
      <c r="L127" s="6" t="s">
        <v>388</v>
      </c>
      <c r="M127" s="6" t="s">
        <v>388</v>
      </c>
      <c r="N127" s="6"/>
      <c r="O127" s="6"/>
      <c r="P127" s="6"/>
      <c r="Q127" s="6"/>
      <c r="R127" s="6"/>
      <c r="S127" s="6"/>
      <c r="T127" s="6"/>
      <c r="U127" s="6" t="s">
        <v>388</v>
      </c>
      <c r="V127" s="6"/>
      <c r="W127" s="6"/>
      <c r="X127" s="6"/>
      <c r="Y127" s="6"/>
      <c r="Z127" s="6"/>
      <c r="AA127" s="6"/>
      <c r="AB127" s="151"/>
      <c r="AC127" s="151"/>
      <c r="AD127" s="12"/>
      <c r="AE127" s="251" t="s">
        <v>648</v>
      </c>
      <c r="AF127" s="5" t="s">
        <v>394</v>
      </c>
      <c r="AG127" s="4" t="s">
        <v>1564</v>
      </c>
      <c r="AH127" s="1"/>
      <c r="AI127" s="143"/>
      <c r="AJ127" s="4"/>
      <c r="AK127" s="2"/>
      <c r="AL127" s="179" t="s">
        <v>1695</v>
      </c>
      <c r="AM127" s="281"/>
      <c r="AN127" s="5" t="s">
        <v>388</v>
      </c>
      <c r="AO127" s="5" t="s">
        <v>388</v>
      </c>
      <c r="AP127" s="281"/>
    </row>
    <row r="128" spans="1:42" s="181" customFormat="1" ht="11.25" customHeight="1">
      <c r="A128" s="144" t="s">
        <v>1955</v>
      </c>
      <c r="B128" s="2" t="s">
        <v>445</v>
      </c>
      <c r="C128" s="2" t="s">
        <v>446</v>
      </c>
      <c r="D128" s="34" t="s">
        <v>387</v>
      </c>
      <c r="E128" s="34" t="s">
        <v>626</v>
      </c>
      <c r="F128" s="34"/>
      <c r="G128" s="83">
        <v>1</v>
      </c>
      <c r="H128" s="6"/>
      <c r="I128" s="6"/>
      <c r="J128" s="6" t="s">
        <v>388</v>
      </c>
      <c r="K128" s="6"/>
      <c r="L128" s="6"/>
      <c r="M128" s="6"/>
      <c r="N128" s="6"/>
      <c r="O128" s="6"/>
      <c r="P128" s="6"/>
      <c r="Q128" s="6"/>
      <c r="R128" s="6"/>
      <c r="S128" s="6"/>
      <c r="T128" s="6"/>
      <c r="U128" s="6"/>
      <c r="V128" s="6"/>
      <c r="W128" s="6"/>
      <c r="X128" s="6"/>
      <c r="Y128" s="6"/>
      <c r="Z128" s="6"/>
      <c r="AA128" s="6"/>
      <c r="AB128" s="6"/>
      <c r="AC128" s="6"/>
      <c r="AD128" s="6"/>
      <c r="AE128" s="83">
        <v>4</v>
      </c>
      <c r="AF128" s="5" t="s">
        <v>394</v>
      </c>
      <c r="AG128" s="4" t="s">
        <v>1956</v>
      </c>
      <c r="AH128" s="2"/>
      <c r="AI128" s="34"/>
      <c r="AJ128" s="34"/>
      <c r="AK128" s="2"/>
      <c r="AL128" s="179" t="s">
        <v>1691</v>
      </c>
      <c r="AM128" s="5" t="s">
        <v>388</v>
      </c>
      <c r="AN128" s="281"/>
      <c r="AO128" s="281"/>
      <c r="AP128" s="281"/>
    </row>
    <row r="129" spans="1:42" s="181" customFormat="1" ht="11.25" customHeight="1">
      <c r="A129" s="144" t="s">
        <v>305</v>
      </c>
      <c r="B129" s="1" t="s">
        <v>308</v>
      </c>
      <c r="C129" s="1" t="s">
        <v>309</v>
      </c>
      <c r="D129" s="4" t="s">
        <v>387</v>
      </c>
      <c r="E129" s="4" t="s">
        <v>625</v>
      </c>
      <c r="F129" s="4"/>
      <c r="G129" s="83">
        <v>1</v>
      </c>
      <c r="H129" s="6" t="s">
        <v>388</v>
      </c>
      <c r="I129" s="6"/>
      <c r="J129" s="6"/>
      <c r="K129" s="6"/>
      <c r="L129" s="6" t="s">
        <v>388</v>
      </c>
      <c r="M129" s="6"/>
      <c r="N129" s="6"/>
      <c r="O129" s="6"/>
      <c r="P129" s="6"/>
      <c r="Q129" s="6" t="s">
        <v>388</v>
      </c>
      <c r="R129" s="6"/>
      <c r="S129" s="6"/>
      <c r="T129" s="6"/>
      <c r="U129" s="6"/>
      <c r="V129" s="6"/>
      <c r="W129" s="6"/>
      <c r="X129" s="6"/>
      <c r="Y129" s="6"/>
      <c r="Z129" s="6"/>
      <c r="AA129" s="6"/>
      <c r="AB129" s="6"/>
      <c r="AC129" s="12"/>
      <c r="AD129" s="12"/>
      <c r="AE129" s="83">
        <v>1</v>
      </c>
      <c r="AF129" s="5" t="s">
        <v>389</v>
      </c>
      <c r="AG129" s="34" t="s">
        <v>1833</v>
      </c>
      <c r="AH129" s="1"/>
      <c r="AI129" s="4"/>
      <c r="AJ129" s="4"/>
      <c r="AK129" s="2"/>
      <c r="AL129" s="178" t="s">
        <v>1690</v>
      </c>
      <c r="AM129" s="281"/>
      <c r="AN129" s="5" t="s">
        <v>388</v>
      </c>
      <c r="AO129" s="281"/>
      <c r="AP129" s="281"/>
    </row>
    <row r="130" spans="1:42" s="181" customFormat="1" ht="11.25" customHeight="1">
      <c r="A130" s="16" t="s">
        <v>2125</v>
      </c>
      <c r="B130" s="1" t="s">
        <v>1556</v>
      </c>
      <c r="C130" s="1" t="s">
        <v>1557</v>
      </c>
      <c r="D130" s="1" t="s">
        <v>387</v>
      </c>
      <c r="E130" s="1" t="s">
        <v>625</v>
      </c>
      <c r="F130" s="1"/>
      <c r="G130" s="83">
        <v>1</v>
      </c>
      <c r="H130" s="6"/>
      <c r="I130" s="6"/>
      <c r="J130" s="6"/>
      <c r="K130" s="6"/>
      <c r="L130" s="6" t="s">
        <v>388</v>
      </c>
      <c r="M130" s="6"/>
      <c r="N130" s="6"/>
      <c r="O130" s="6" t="s">
        <v>388</v>
      </c>
      <c r="P130" s="6"/>
      <c r="Q130" s="6"/>
      <c r="R130" s="6"/>
      <c r="S130" s="6"/>
      <c r="T130" s="6"/>
      <c r="U130" s="6" t="s">
        <v>388</v>
      </c>
      <c r="V130" s="6"/>
      <c r="W130" s="6"/>
      <c r="X130" s="6"/>
      <c r="Y130" s="6"/>
      <c r="Z130" s="6"/>
      <c r="AA130" s="6"/>
      <c r="AB130" s="151"/>
      <c r="AC130" s="151"/>
      <c r="AD130" s="12"/>
      <c r="AE130" s="251"/>
      <c r="AF130" s="5" t="s">
        <v>394</v>
      </c>
      <c r="AG130" s="4" t="s">
        <v>1558</v>
      </c>
      <c r="AH130" s="1"/>
      <c r="AI130" s="143"/>
      <c r="AJ130" s="4"/>
      <c r="AK130" s="1"/>
      <c r="AL130" s="179" t="s">
        <v>1695</v>
      </c>
      <c r="AM130" s="281"/>
      <c r="AN130" s="5" t="s">
        <v>388</v>
      </c>
      <c r="AO130" s="281"/>
      <c r="AP130" s="281"/>
    </row>
    <row r="131" spans="1:42" s="181" customFormat="1" ht="11.25" customHeight="1">
      <c r="A131" s="16" t="s">
        <v>1391</v>
      </c>
      <c r="B131" s="1" t="s">
        <v>1390</v>
      </c>
      <c r="C131" s="1" t="s">
        <v>1389</v>
      </c>
      <c r="D131" s="1" t="s">
        <v>387</v>
      </c>
      <c r="E131" s="1" t="s">
        <v>625</v>
      </c>
      <c r="F131" s="1"/>
      <c r="G131" s="83">
        <v>1</v>
      </c>
      <c r="H131" s="6"/>
      <c r="I131" s="6"/>
      <c r="J131" s="6"/>
      <c r="K131" s="6"/>
      <c r="L131" s="6" t="s">
        <v>388</v>
      </c>
      <c r="M131" s="6"/>
      <c r="N131" s="6"/>
      <c r="O131" s="6"/>
      <c r="P131" s="6"/>
      <c r="Q131" s="6"/>
      <c r="R131" s="6"/>
      <c r="S131" s="6"/>
      <c r="T131" s="6"/>
      <c r="U131" s="6"/>
      <c r="V131" s="6"/>
      <c r="W131" s="6"/>
      <c r="X131" s="6"/>
      <c r="Y131" s="6"/>
      <c r="Z131" s="6"/>
      <c r="AA131" s="6"/>
      <c r="AB131" s="151"/>
      <c r="AC131" s="151"/>
      <c r="AD131" s="12"/>
      <c r="AE131" s="251" t="s">
        <v>648</v>
      </c>
      <c r="AF131" s="5" t="s">
        <v>394</v>
      </c>
      <c r="AG131" s="34" t="s">
        <v>1896</v>
      </c>
      <c r="AH131" s="1"/>
      <c r="AI131" s="143" t="s">
        <v>1895</v>
      </c>
      <c r="AJ131" s="4"/>
      <c r="AK131" s="1"/>
      <c r="AL131" s="179" t="s">
        <v>1705</v>
      </c>
      <c r="AM131" s="281"/>
      <c r="AN131" s="5" t="s">
        <v>388</v>
      </c>
      <c r="AO131" s="281"/>
      <c r="AP131" s="281"/>
    </row>
    <row r="132" spans="1:42" s="181" customFormat="1" ht="11.25" customHeight="1">
      <c r="A132" s="16" t="s">
        <v>1391</v>
      </c>
      <c r="B132" s="1" t="s">
        <v>2258</v>
      </c>
      <c r="C132" s="1" t="s">
        <v>2259</v>
      </c>
      <c r="D132" s="1" t="s">
        <v>387</v>
      </c>
      <c r="E132" s="1" t="s">
        <v>1869</v>
      </c>
      <c r="F132" s="1"/>
      <c r="G132" s="83">
        <v>1</v>
      </c>
      <c r="H132" s="6"/>
      <c r="I132" s="6"/>
      <c r="J132" s="6"/>
      <c r="K132" s="6"/>
      <c r="L132" s="6" t="s">
        <v>388</v>
      </c>
      <c r="M132" s="6"/>
      <c r="N132" s="6"/>
      <c r="O132" s="6"/>
      <c r="P132" s="6"/>
      <c r="Q132" s="6"/>
      <c r="R132" s="6"/>
      <c r="S132" s="6"/>
      <c r="T132" s="6"/>
      <c r="U132" s="6"/>
      <c r="V132" s="6"/>
      <c r="W132" s="6"/>
      <c r="X132" s="6"/>
      <c r="Y132" s="6"/>
      <c r="Z132" s="6"/>
      <c r="AA132" s="6"/>
      <c r="AB132" s="151"/>
      <c r="AC132" s="151"/>
      <c r="AD132" s="12"/>
      <c r="AE132" s="251"/>
      <c r="AF132" s="5"/>
      <c r="AG132" s="34" t="s">
        <v>2260</v>
      </c>
      <c r="AH132" s="1"/>
      <c r="AI132" s="143" t="s">
        <v>2261</v>
      </c>
      <c r="AJ132" s="4"/>
      <c r="AK132" s="1"/>
      <c r="AL132" s="179" t="s">
        <v>1705</v>
      </c>
      <c r="AM132" s="281"/>
      <c r="AN132" s="5" t="s">
        <v>388</v>
      </c>
      <c r="AO132" s="281"/>
      <c r="AP132" s="281"/>
    </row>
    <row r="133" spans="1:42" s="181" customFormat="1" ht="11.25" customHeight="1">
      <c r="A133" s="16" t="s">
        <v>1293</v>
      </c>
      <c r="B133" s="1" t="s">
        <v>1292</v>
      </c>
      <c r="C133" s="1" t="s">
        <v>1291</v>
      </c>
      <c r="D133" s="1" t="s">
        <v>387</v>
      </c>
      <c r="E133" s="1" t="s">
        <v>625</v>
      </c>
      <c r="F133" s="1"/>
      <c r="G133" s="83">
        <v>1</v>
      </c>
      <c r="H133" s="6"/>
      <c r="I133" s="6"/>
      <c r="J133" s="6"/>
      <c r="K133" s="6"/>
      <c r="L133" s="6"/>
      <c r="M133" s="6"/>
      <c r="N133" s="6"/>
      <c r="O133" s="6"/>
      <c r="P133" s="6"/>
      <c r="Q133" s="6"/>
      <c r="R133" s="6"/>
      <c r="S133" s="6"/>
      <c r="T133" s="6" t="s">
        <v>388</v>
      </c>
      <c r="U133" s="6"/>
      <c r="V133" s="6"/>
      <c r="W133" s="6"/>
      <c r="X133" s="6"/>
      <c r="Y133" s="6"/>
      <c r="Z133" s="6"/>
      <c r="AA133" s="6" t="s">
        <v>388</v>
      </c>
      <c r="AB133" s="151"/>
      <c r="AC133" s="151" t="s">
        <v>388</v>
      </c>
      <c r="AD133" s="12"/>
      <c r="AE133" s="251" t="s">
        <v>648</v>
      </c>
      <c r="AF133" s="5" t="s">
        <v>394</v>
      </c>
      <c r="AG133" s="4" t="s">
        <v>1294</v>
      </c>
      <c r="AH133" s="1"/>
      <c r="AI133" s="143"/>
      <c r="AJ133" s="4"/>
      <c r="AK133" s="1"/>
      <c r="AL133" s="179" t="s">
        <v>1694</v>
      </c>
      <c r="AM133" s="5" t="s">
        <v>388</v>
      </c>
      <c r="AN133" s="281"/>
      <c r="AO133" s="281"/>
      <c r="AP133" s="5" t="s">
        <v>388</v>
      </c>
    </row>
    <row r="134" spans="1:42" s="181" customFormat="1" ht="11.25" customHeight="1">
      <c r="A134" s="144" t="s">
        <v>1901</v>
      </c>
      <c r="B134" s="2" t="s">
        <v>467</v>
      </c>
      <c r="C134" s="2" t="s">
        <v>468</v>
      </c>
      <c r="D134" s="34" t="s">
        <v>387</v>
      </c>
      <c r="E134" s="34" t="s">
        <v>626</v>
      </c>
      <c r="F134" s="34"/>
      <c r="G134" s="83">
        <v>1</v>
      </c>
      <c r="H134" s="6"/>
      <c r="I134" s="6" t="s">
        <v>388</v>
      </c>
      <c r="J134" s="6"/>
      <c r="K134" s="6"/>
      <c r="L134" s="6"/>
      <c r="M134" s="6"/>
      <c r="N134" s="6"/>
      <c r="O134" s="6"/>
      <c r="P134" s="6"/>
      <c r="Q134" s="6"/>
      <c r="R134" s="6"/>
      <c r="S134" s="6"/>
      <c r="T134" s="6"/>
      <c r="U134" s="6"/>
      <c r="V134" s="6"/>
      <c r="W134" s="6"/>
      <c r="X134" s="6"/>
      <c r="Y134" s="6"/>
      <c r="Z134" s="6"/>
      <c r="AA134" s="6"/>
      <c r="AB134" s="6"/>
      <c r="AC134" s="6"/>
      <c r="AD134" s="6"/>
      <c r="AE134" s="83">
        <v>4</v>
      </c>
      <c r="AF134" s="5" t="s">
        <v>394</v>
      </c>
      <c r="AG134" s="4" t="s">
        <v>469</v>
      </c>
      <c r="AH134" s="2"/>
      <c r="AI134" s="34"/>
      <c r="AJ134" s="34"/>
      <c r="AK134" s="2"/>
      <c r="AL134" s="179" t="s">
        <v>1691</v>
      </c>
      <c r="AM134" s="5" t="s">
        <v>388</v>
      </c>
      <c r="AN134" s="281"/>
      <c r="AO134" s="281"/>
      <c r="AP134" s="281"/>
    </row>
    <row r="135" spans="1:42" s="181" customFormat="1" ht="11.25" customHeight="1">
      <c r="A135" s="144" t="s">
        <v>1665</v>
      </c>
      <c r="B135" s="2" t="s">
        <v>405</v>
      </c>
      <c r="C135" s="2" t="s">
        <v>406</v>
      </c>
      <c r="D135" s="34" t="s">
        <v>387</v>
      </c>
      <c r="E135" s="34" t="s">
        <v>626</v>
      </c>
      <c r="F135" s="34"/>
      <c r="G135" s="83">
        <v>1</v>
      </c>
      <c r="H135" s="6"/>
      <c r="I135" s="6"/>
      <c r="J135" s="6"/>
      <c r="K135" s="6"/>
      <c r="L135" s="6"/>
      <c r="M135" s="6"/>
      <c r="N135" s="6"/>
      <c r="O135" s="6"/>
      <c r="P135" s="6"/>
      <c r="Q135" s="6"/>
      <c r="R135" s="6"/>
      <c r="S135" s="6"/>
      <c r="T135" s="6"/>
      <c r="U135" s="6"/>
      <c r="V135" s="6"/>
      <c r="W135" s="6"/>
      <c r="X135" s="6"/>
      <c r="Y135" s="6"/>
      <c r="Z135" s="6"/>
      <c r="AA135" s="6"/>
      <c r="AB135" s="6"/>
      <c r="AC135" s="12"/>
      <c r="AD135" s="12"/>
      <c r="AE135" s="83"/>
      <c r="AF135" s="6" t="s">
        <v>389</v>
      </c>
      <c r="AG135" s="34" t="s">
        <v>1892</v>
      </c>
      <c r="AH135" s="2"/>
      <c r="AI135" s="34"/>
      <c r="AJ135" s="34"/>
      <c r="AK135" s="2" t="s">
        <v>2138</v>
      </c>
      <c r="AL135" s="178" t="s">
        <v>1691</v>
      </c>
      <c r="AM135" s="283"/>
      <c r="AN135" s="283"/>
      <c r="AO135" s="283"/>
      <c r="AP135" s="283"/>
    </row>
    <row r="136" spans="1:42" s="480" customFormat="1" ht="11.25" customHeight="1">
      <c r="A136" s="144" t="s">
        <v>473</v>
      </c>
      <c r="B136" s="2" t="s">
        <v>474</v>
      </c>
      <c r="C136" s="3" t="s">
        <v>475</v>
      </c>
      <c r="D136" s="13" t="s">
        <v>387</v>
      </c>
      <c r="E136" s="13" t="s">
        <v>626</v>
      </c>
      <c r="F136" s="13"/>
      <c r="G136" s="83">
        <v>1</v>
      </c>
      <c r="H136" s="6" t="s">
        <v>388</v>
      </c>
      <c r="I136" s="6"/>
      <c r="J136" s="6"/>
      <c r="K136" s="6"/>
      <c r="L136" s="6"/>
      <c r="M136" s="6"/>
      <c r="N136" s="6"/>
      <c r="O136" s="6"/>
      <c r="P136" s="6"/>
      <c r="Q136" s="6"/>
      <c r="R136" s="6"/>
      <c r="S136" s="6"/>
      <c r="T136" s="6"/>
      <c r="U136" s="6"/>
      <c r="V136" s="6"/>
      <c r="W136" s="6"/>
      <c r="X136" s="6"/>
      <c r="Y136" s="6"/>
      <c r="Z136" s="6"/>
      <c r="AA136" s="6"/>
      <c r="AB136" s="6"/>
      <c r="AC136" s="12"/>
      <c r="AD136" s="12"/>
      <c r="AE136" s="83">
        <v>4</v>
      </c>
      <c r="AF136" s="5" t="s">
        <v>394</v>
      </c>
      <c r="AG136" s="4" t="s">
        <v>1957</v>
      </c>
      <c r="AH136" s="2"/>
      <c r="AI136" s="4"/>
      <c r="AJ136" s="4"/>
      <c r="AK136" s="2" t="s">
        <v>2136</v>
      </c>
      <c r="AL136" s="179" t="s">
        <v>1691</v>
      </c>
      <c r="AM136" s="281"/>
      <c r="AN136" s="281"/>
      <c r="AO136" s="281"/>
      <c r="AP136" s="281"/>
    </row>
    <row r="137" spans="1:42" s="181" customFormat="1" ht="11.25" customHeight="1">
      <c r="A137" s="17" t="s">
        <v>2057</v>
      </c>
      <c r="B137" s="2" t="s">
        <v>2058</v>
      </c>
      <c r="C137" s="2" t="s">
        <v>2059</v>
      </c>
      <c r="D137" s="34" t="s">
        <v>387</v>
      </c>
      <c r="E137" s="34" t="s">
        <v>1869</v>
      </c>
      <c r="F137" s="34"/>
      <c r="G137" s="83">
        <v>1</v>
      </c>
      <c r="H137" s="6"/>
      <c r="I137" s="6"/>
      <c r="J137" s="6"/>
      <c r="K137" s="6"/>
      <c r="L137" s="6"/>
      <c r="M137" s="6" t="s">
        <v>388</v>
      </c>
      <c r="N137" s="6"/>
      <c r="O137" s="6"/>
      <c r="P137" s="6"/>
      <c r="Q137" s="6"/>
      <c r="R137" s="6"/>
      <c r="S137" s="6"/>
      <c r="T137" s="6"/>
      <c r="U137" s="6" t="s">
        <v>388</v>
      </c>
      <c r="V137" s="6"/>
      <c r="W137" s="6"/>
      <c r="X137" s="6"/>
      <c r="Y137" s="6"/>
      <c r="Z137" s="6"/>
      <c r="AA137" s="6"/>
      <c r="AB137" s="12"/>
      <c r="AC137" s="12"/>
      <c r="AD137" s="12"/>
      <c r="AE137" s="251"/>
      <c r="AF137" s="6" t="s">
        <v>389</v>
      </c>
      <c r="AG137" s="34" t="s">
        <v>2060</v>
      </c>
      <c r="AH137" s="2"/>
      <c r="AI137" s="252" t="s">
        <v>2061</v>
      </c>
      <c r="AJ137" s="34"/>
      <c r="AK137" s="2"/>
      <c r="AL137" s="178" t="s">
        <v>1703</v>
      </c>
      <c r="AM137" s="281"/>
      <c r="AN137" s="5" t="s">
        <v>388</v>
      </c>
      <c r="AO137" s="281"/>
      <c r="AP137" s="281"/>
    </row>
    <row r="138" spans="1:42" s="181" customFormat="1" ht="11.25" customHeight="1">
      <c r="A138" s="16" t="s">
        <v>1913</v>
      </c>
      <c r="B138" s="1" t="s">
        <v>1610</v>
      </c>
      <c r="C138" s="1" t="s">
        <v>932</v>
      </c>
      <c r="D138" s="1" t="s">
        <v>387</v>
      </c>
      <c r="E138" s="34" t="s">
        <v>625</v>
      </c>
      <c r="F138" s="1"/>
      <c r="G138" s="83">
        <v>1</v>
      </c>
      <c r="H138" s="6"/>
      <c r="I138" s="6"/>
      <c r="J138" s="6"/>
      <c r="K138" s="6"/>
      <c r="L138" s="6"/>
      <c r="M138" s="6" t="s">
        <v>388</v>
      </c>
      <c r="N138" s="6"/>
      <c r="O138" s="6"/>
      <c r="P138" s="6"/>
      <c r="Q138" s="6"/>
      <c r="R138" s="6"/>
      <c r="S138" s="6"/>
      <c r="T138" s="6"/>
      <c r="U138" s="6"/>
      <c r="V138" s="6"/>
      <c r="W138" s="6"/>
      <c r="X138" s="6"/>
      <c r="Y138" s="6"/>
      <c r="Z138" s="6"/>
      <c r="AA138" s="6"/>
      <c r="AB138" s="151"/>
      <c r="AC138" s="151"/>
      <c r="AD138" s="12"/>
      <c r="AE138" s="251"/>
      <c r="AF138" s="5" t="s">
        <v>389</v>
      </c>
      <c r="AG138" s="34" t="s">
        <v>1914</v>
      </c>
      <c r="AH138" s="1"/>
      <c r="AI138" s="143"/>
      <c r="AJ138" s="4"/>
      <c r="AK138" s="1"/>
      <c r="AL138" s="179" t="s">
        <v>1693</v>
      </c>
      <c r="AM138" s="5" t="s">
        <v>388</v>
      </c>
      <c r="AN138" s="5" t="s">
        <v>388</v>
      </c>
      <c r="AO138" s="281"/>
      <c r="AP138" s="281"/>
    </row>
    <row r="139" spans="1:42" s="181" customFormat="1" ht="11.25" customHeight="1">
      <c r="A139" s="144" t="s">
        <v>154</v>
      </c>
      <c r="B139" s="1" t="s">
        <v>155</v>
      </c>
      <c r="C139" s="1" t="s">
        <v>156</v>
      </c>
      <c r="D139" s="4" t="s">
        <v>387</v>
      </c>
      <c r="E139" s="4" t="s">
        <v>624</v>
      </c>
      <c r="F139" s="4" t="s">
        <v>625</v>
      </c>
      <c r="G139" s="83">
        <v>1</v>
      </c>
      <c r="H139" s="6"/>
      <c r="I139" s="6"/>
      <c r="J139" s="6"/>
      <c r="K139" s="6"/>
      <c r="L139" s="6"/>
      <c r="M139" s="6"/>
      <c r="N139" s="6"/>
      <c r="O139" s="6"/>
      <c r="P139" s="6"/>
      <c r="Q139" s="6"/>
      <c r="R139" s="6"/>
      <c r="S139" s="6"/>
      <c r="T139" s="6"/>
      <c r="U139" s="6"/>
      <c r="V139" s="6"/>
      <c r="W139" s="6"/>
      <c r="X139" s="6"/>
      <c r="Y139" s="6" t="s">
        <v>388</v>
      </c>
      <c r="Z139" s="6"/>
      <c r="AA139" s="6" t="s">
        <v>388</v>
      </c>
      <c r="AB139" s="6" t="s">
        <v>388</v>
      </c>
      <c r="AC139" s="12"/>
      <c r="AD139" s="12"/>
      <c r="AE139" s="83">
        <v>3</v>
      </c>
      <c r="AF139" s="5" t="s">
        <v>394</v>
      </c>
      <c r="AG139" s="34" t="s">
        <v>1889</v>
      </c>
      <c r="AH139" s="1"/>
      <c r="AI139" s="4"/>
      <c r="AJ139" s="4"/>
      <c r="AK139" s="2"/>
      <c r="AL139" s="178" t="s">
        <v>1690</v>
      </c>
      <c r="AM139" s="281"/>
      <c r="AN139" s="281"/>
      <c r="AO139" s="281"/>
      <c r="AP139" s="5" t="s">
        <v>388</v>
      </c>
    </row>
    <row r="140" spans="1:42" s="181" customFormat="1" ht="11.25" customHeight="1">
      <c r="A140" s="144" t="s">
        <v>587</v>
      </c>
      <c r="B140" s="2" t="s">
        <v>588</v>
      </c>
      <c r="C140" s="2" t="s">
        <v>589</v>
      </c>
      <c r="D140" s="34" t="s">
        <v>387</v>
      </c>
      <c r="E140" s="34" t="s">
        <v>626</v>
      </c>
      <c r="F140" s="34"/>
      <c r="G140" s="83">
        <v>1</v>
      </c>
      <c r="H140" s="6"/>
      <c r="I140" s="6"/>
      <c r="J140" s="6"/>
      <c r="K140" s="6"/>
      <c r="L140" s="6"/>
      <c r="M140" s="6"/>
      <c r="N140" s="6"/>
      <c r="O140" s="6"/>
      <c r="P140" s="6"/>
      <c r="Q140" s="6"/>
      <c r="R140" s="6"/>
      <c r="S140" s="6" t="s">
        <v>388</v>
      </c>
      <c r="T140" s="6"/>
      <c r="U140" s="6"/>
      <c r="V140" s="6"/>
      <c r="W140" s="6"/>
      <c r="X140" s="6"/>
      <c r="Y140" s="6"/>
      <c r="Z140" s="6"/>
      <c r="AA140" s="6"/>
      <c r="AB140" s="6"/>
      <c r="AC140" s="6"/>
      <c r="AD140" s="6"/>
      <c r="AE140" s="83">
        <v>2</v>
      </c>
      <c r="AF140" s="5" t="s">
        <v>394</v>
      </c>
      <c r="AG140" s="34" t="s">
        <v>1888</v>
      </c>
      <c r="AH140" s="2"/>
      <c r="AI140" s="34"/>
      <c r="AJ140" s="34"/>
      <c r="AK140" s="2"/>
      <c r="AL140" s="179" t="s">
        <v>1691</v>
      </c>
      <c r="AM140" s="5" t="s">
        <v>388</v>
      </c>
      <c r="AN140" s="281"/>
      <c r="AO140" s="281"/>
      <c r="AP140" s="281"/>
    </row>
    <row r="141" spans="1:42" s="181" customFormat="1" ht="11.25" customHeight="1">
      <c r="A141" s="17" t="s">
        <v>2068</v>
      </c>
      <c r="B141" s="1" t="s">
        <v>2067</v>
      </c>
      <c r="C141" s="1" t="s">
        <v>2066</v>
      </c>
      <c r="D141" s="4" t="s">
        <v>387</v>
      </c>
      <c r="E141" s="4" t="s">
        <v>1869</v>
      </c>
      <c r="F141" s="4"/>
      <c r="G141" s="83">
        <v>1</v>
      </c>
      <c r="H141" s="6" t="s">
        <v>388</v>
      </c>
      <c r="I141" s="6" t="s">
        <v>388</v>
      </c>
      <c r="J141" s="6"/>
      <c r="K141" s="6"/>
      <c r="L141" s="6"/>
      <c r="M141" s="6"/>
      <c r="N141" s="6"/>
      <c r="O141" s="6"/>
      <c r="P141" s="6"/>
      <c r="Q141" s="6"/>
      <c r="R141" s="6"/>
      <c r="S141" s="6"/>
      <c r="T141" s="6"/>
      <c r="U141" s="6"/>
      <c r="V141" s="6"/>
      <c r="W141" s="6"/>
      <c r="X141" s="6"/>
      <c r="Y141" s="6"/>
      <c r="Z141" s="6"/>
      <c r="AA141" s="6"/>
      <c r="AB141" s="12"/>
      <c r="AC141" s="12"/>
      <c r="AD141" s="12"/>
      <c r="AE141" s="251">
        <v>2</v>
      </c>
      <c r="AF141" s="5" t="s">
        <v>394</v>
      </c>
      <c r="AG141" s="4"/>
      <c r="AH141" s="2"/>
      <c r="AI141" s="252"/>
      <c r="AJ141" s="4"/>
      <c r="AK141" s="2"/>
      <c r="AL141" s="179" t="s">
        <v>1691</v>
      </c>
      <c r="AM141" s="281"/>
      <c r="AN141" s="281"/>
      <c r="AO141" s="281"/>
      <c r="AP141" s="281"/>
    </row>
    <row r="142" spans="1:42" s="181" customFormat="1" ht="11.25" customHeight="1">
      <c r="A142" s="16" t="s">
        <v>2299</v>
      </c>
      <c r="B142" s="1" t="s">
        <v>1591</v>
      </c>
      <c r="C142" s="1" t="s">
        <v>1584</v>
      </c>
      <c r="D142" s="1" t="s">
        <v>739</v>
      </c>
      <c r="E142" s="1" t="s">
        <v>625</v>
      </c>
      <c r="F142" s="1"/>
      <c r="G142" s="83">
        <v>1</v>
      </c>
      <c r="H142" s="6"/>
      <c r="I142" s="6"/>
      <c r="J142" s="6"/>
      <c r="K142" s="6"/>
      <c r="L142" s="6"/>
      <c r="M142" s="6" t="s">
        <v>388</v>
      </c>
      <c r="N142" s="6"/>
      <c r="O142" s="6"/>
      <c r="P142" s="6"/>
      <c r="Q142" s="6"/>
      <c r="R142" s="6"/>
      <c r="S142" s="6"/>
      <c r="T142" s="6"/>
      <c r="U142" s="6" t="s">
        <v>388</v>
      </c>
      <c r="V142" s="6"/>
      <c r="W142" s="6"/>
      <c r="X142" s="6"/>
      <c r="Y142" s="6"/>
      <c r="Z142" s="6"/>
      <c r="AA142" s="6"/>
      <c r="AB142" s="151"/>
      <c r="AC142" s="151"/>
      <c r="AD142" s="12"/>
      <c r="AE142" s="251"/>
      <c r="AF142" s="5" t="s">
        <v>641</v>
      </c>
      <c r="AG142" s="34" t="s">
        <v>1585</v>
      </c>
      <c r="AH142" s="1"/>
      <c r="AI142" s="143"/>
      <c r="AJ142" s="4"/>
      <c r="AK142" s="1"/>
      <c r="AL142" s="179" t="s">
        <v>1703</v>
      </c>
      <c r="AM142" s="281"/>
      <c r="AN142" s="5" t="s">
        <v>388</v>
      </c>
      <c r="AO142" s="281"/>
      <c r="AP142" s="281"/>
    </row>
    <row r="143" spans="1:42" s="181" customFormat="1" ht="11.25" customHeight="1">
      <c r="A143" s="16" t="s">
        <v>1943</v>
      </c>
      <c r="B143" s="1" t="s">
        <v>1580</v>
      </c>
      <c r="C143" s="1" t="s">
        <v>1581</v>
      </c>
      <c r="D143" s="1" t="s">
        <v>387</v>
      </c>
      <c r="E143" s="1" t="s">
        <v>625</v>
      </c>
      <c r="F143" s="1"/>
      <c r="G143" s="83">
        <v>1</v>
      </c>
      <c r="H143" s="6" t="s">
        <v>388</v>
      </c>
      <c r="I143" s="6" t="s">
        <v>388</v>
      </c>
      <c r="J143" s="6" t="s">
        <v>388</v>
      </c>
      <c r="K143" s="6"/>
      <c r="L143" s="6"/>
      <c r="M143" s="6" t="s">
        <v>388</v>
      </c>
      <c r="N143" s="6"/>
      <c r="O143" s="6"/>
      <c r="P143" s="6"/>
      <c r="Q143" s="6"/>
      <c r="R143" s="6"/>
      <c r="S143" s="6"/>
      <c r="T143" s="6"/>
      <c r="U143" s="6" t="s">
        <v>388</v>
      </c>
      <c r="V143" s="6"/>
      <c r="W143" s="6"/>
      <c r="X143" s="6"/>
      <c r="Y143" s="6"/>
      <c r="Z143" s="6"/>
      <c r="AA143" s="6"/>
      <c r="AB143" s="151"/>
      <c r="AC143" s="151"/>
      <c r="AD143" s="12"/>
      <c r="AE143" s="251">
        <v>3</v>
      </c>
      <c r="AF143" s="5" t="s">
        <v>389</v>
      </c>
      <c r="AG143" s="34" t="s">
        <v>1582</v>
      </c>
      <c r="AH143" s="1"/>
      <c r="AI143" s="143" t="s">
        <v>1583</v>
      </c>
      <c r="AJ143" s="4"/>
      <c r="AK143" s="1"/>
      <c r="AL143" s="179" t="s">
        <v>1695</v>
      </c>
      <c r="AM143" s="281"/>
      <c r="AN143" s="5" t="s">
        <v>388</v>
      </c>
      <c r="AO143" s="281"/>
      <c r="AP143" s="281"/>
    </row>
    <row r="144" spans="1:42" s="181" customFormat="1" ht="11.25" customHeight="1">
      <c r="A144" s="144" t="s">
        <v>737</v>
      </c>
      <c r="B144" s="2" t="s">
        <v>1661</v>
      </c>
      <c r="C144" s="2" t="s">
        <v>736</v>
      </c>
      <c r="D144" s="2" t="s">
        <v>739</v>
      </c>
      <c r="E144" s="34" t="s">
        <v>625</v>
      </c>
      <c r="F144" s="34"/>
      <c r="G144" s="83">
        <v>1</v>
      </c>
      <c r="H144" s="6"/>
      <c r="I144" s="6"/>
      <c r="J144" s="6"/>
      <c r="K144" s="6"/>
      <c r="L144" s="6"/>
      <c r="M144" s="6"/>
      <c r="N144" s="6" t="s">
        <v>388</v>
      </c>
      <c r="O144" s="6"/>
      <c r="P144" s="6"/>
      <c r="Q144" s="6"/>
      <c r="R144" s="6"/>
      <c r="S144" s="6"/>
      <c r="T144" s="6"/>
      <c r="U144" s="6"/>
      <c r="V144" s="6"/>
      <c r="W144" s="6"/>
      <c r="X144" s="6"/>
      <c r="Y144" s="6"/>
      <c r="Z144" s="6"/>
      <c r="AA144" s="6"/>
      <c r="AB144" s="6"/>
      <c r="AC144" s="12" t="s">
        <v>388</v>
      </c>
      <c r="AD144" s="12"/>
      <c r="AE144" s="83">
        <v>3</v>
      </c>
      <c r="AF144" s="6" t="s">
        <v>641</v>
      </c>
      <c r="AG144" s="34" t="s">
        <v>1729</v>
      </c>
      <c r="AH144" s="2"/>
      <c r="AI144" s="34"/>
      <c r="AJ144" s="34"/>
      <c r="AK144" s="2"/>
      <c r="AL144" s="178" t="s">
        <v>476</v>
      </c>
      <c r="AM144" s="5" t="s">
        <v>388</v>
      </c>
      <c r="AN144" s="281"/>
      <c r="AO144" s="281"/>
      <c r="AP144" s="281"/>
    </row>
    <row r="145" spans="1:42" s="181" customFormat="1" ht="11.25" customHeight="1">
      <c r="A145" s="144" t="s">
        <v>742</v>
      </c>
      <c r="B145" s="2" t="s">
        <v>745</v>
      </c>
      <c r="C145" s="2" t="s">
        <v>741</v>
      </c>
      <c r="D145" s="2" t="s">
        <v>739</v>
      </c>
      <c r="E145" s="34" t="s">
        <v>625</v>
      </c>
      <c r="F145" s="34"/>
      <c r="G145" s="83">
        <v>1</v>
      </c>
      <c r="H145" s="6"/>
      <c r="I145" s="6"/>
      <c r="J145" s="6"/>
      <c r="K145" s="6"/>
      <c r="L145" s="6"/>
      <c r="M145" s="6"/>
      <c r="N145" s="6" t="s">
        <v>388</v>
      </c>
      <c r="O145" s="6"/>
      <c r="P145" s="6"/>
      <c r="Q145" s="6"/>
      <c r="R145" s="6"/>
      <c r="S145" s="6"/>
      <c r="T145" s="6"/>
      <c r="U145" s="6"/>
      <c r="V145" s="6"/>
      <c r="W145" s="6"/>
      <c r="X145" s="6"/>
      <c r="Y145" s="6"/>
      <c r="Z145" s="6"/>
      <c r="AA145" s="6"/>
      <c r="AB145" s="6"/>
      <c r="AC145" s="12" t="s">
        <v>388</v>
      </c>
      <c r="AD145" s="12"/>
      <c r="AE145" s="83">
        <v>3</v>
      </c>
      <c r="AF145" s="6" t="s">
        <v>746</v>
      </c>
      <c r="AG145" s="34" t="s">
        <v>754</v>
      </c>
      <c r="AH145" s="2"/>
      <c r="AI145" s="34"/>
      <c r="AJ145" s="34"/>
      <c r="AK145" s="2"/>
      <c r="AL145" s="178" t="s">
        <v>476</v>
      </c>
      <c r="AM145" s="5" t="s">
        <v>388</v>
      </c>
      <c r="AN145" s="5" t="s">
        <v>388</v>
      </c>
      <c r="AO145" s="281"/>
      <c r="AP145" s="281"/>
    </row>
    <row r="146" spans="1:42" s="181" customFormat="1" ht="11.25" customHeight="1">
      <c r="A146" s="144" t="s">
        <v>310</v>
      </c>
      <c r="B146" s="1" t="s">
        <v>311</v>
      </c>
      <c r="C146" s="1" t="s">
        <v>312</v>
      </c>
      <c r="D146" s="4" t="s">
        <v>387</v>
      </c>
      <c r="E146" s="4" t="s">
        <v>625</v>
      </c>
      <c r="F146" s="4"/>
      <c r="G146" s="83">
        <v>1</v>
      </c>
      <c r="H146" s="6" t="s">
        <v>388</v>
      </c>
      <c r="I146" s="6"/>
      <c r="J146" s="6" t="s">
        <v>388</v>
      </c>
      <c r="K146" s="6" t="s">
        <v>388</v>
      </c>
      <c r="L146" s="6"/>
      <c r="M146" s="6"/>
      <c r="N146" s="6" t="s">
        <v>388</v>
      </c>
      <c r="O146" s="6"/>
      <c r="P146" s="6"/>
      <c r="Q146" s="6"/>
      <c r="R146" s="6" t="s">
        <v>388</v>
      </c>
      <c r="S146" s="6"/>
      <c r="T146" s="6"/>
      <c r="U146" s="6"/>
      <c r="V146" s="6"/>
      <c r="W146" s="6"/>
      <c r="X146" s="6"/>
      <c r="Y146" s="6"/>
      <c r="Z146" s="6"/>
      <c r="AA146" s="6"/>
      <c r="AB146" s="6"/>
      <c r="AC146" s="12"/>
      <c r="AD146" s="12"/>
      <c r="AE146" s="83">
        <v>3</v>
      </c>
      <c r="AF146" s="5" t="s">
        <v>389</v>
      </c>
      <c r="AG146" s="4" t="s">
        <v>1800</v>
      </c>
      <c r="AH146" s="1"/>
      <c r="AI146" s="4"/>
      <c r="AJ146" s="4"/>
      <c r="AK146" s="2"/>
      <c r="AL146" s="178" t="s">
        <v>1690</v>
      </c>
      <c r="AM146" s="5" t="s">
        <v>388</v>
      </c>
      <c r="AN146" s="281"/>
      <c r="AO146" s="281"/>
      <c r="AP146" s="281"/>
    </row>
    <row r="147" spans="1:42" s="181" customFormat="1" ht="11.25" customHeight="1">
      <c r="A147" s="16" t="s">
        <v>1898</v>
      </c>
      <c r="B147" s="1" t="s">
        <v>1619</v>
      </c>
      <c r="C147" s="1" t="s">
        <v>951</v>
      </c>
      <c r="D147" s="1" t="s">
        <v>739</v>
      </c>
      <c r="E147" s="1" t="s">
        <v>625</v>
      </c>
      <c r="F147" s="1"/>
      <c r="G147" s="83">
        <v>1</v>
      </c>
      <c r="H147" s="6"/>
      <c r="I147" s="6"/>
      <c r="J147" s="6"/>
      <c r="K147" s="6"/>
      <c r="L147" s="6"/>
      <c r="M147" s="6" t="s">
        <v>388</v>
      </c>
      <c r="N147" s="6"/>
      <c r="O147" s="6"/>
      <c r="P147" s="6"/>
      <c r="Q147" s="6"/>
      <c r="R147" s="6"/>
      <c r="S147" s="6"/>
      <c r="T147" s="6"/>
      <c r="U147" s="6" t="s">
        <v>388</v>
      </c>
      <c r="V147" s="6"/>
      <c r="W147" s="6"/>
      <c r="X147" s="6"/>
      <c r="Y147" s="6"/>
      <c r="Z147" s="6"/>
      <c r="AA147" s="6"/>
      <c r="AB147" s="151"/>
      <c r="AC147" s="151"/>
      <c r="AD147" s="12"/>
      <c r="AE147" s="251"/>
      <c r="AF147" s="5" t="s">
        <v>389</v>
      </c>
      <c r="AG147" s="34" t="s">
        <v>1897</v>
      </c>
      <c r="AH147" s="1"/>
      <c r="AI147" s="143"/>
      <c r="AJ147" s="4"/>
      <c r="AK147" s="1"/>
      <c r="AL147" s="179" t="s">
        <v>1703</v>
      </c>
      <c r="AM147" s="283"/>
      <c r="AN147" s="283"/>
      <c r="AO147" s="283"/>
      <c r="AP147" s="283"/>
    </row>
    <row r="148" spans="1:42" s="480" customFormat="1" ht="11.25" customHeight="1">
      <c r="A148" s="16" t="s">
        <v>1371</v>
      </c>
      <c r="B148" s="1" t="s">
        <v>1370</v>
      </c>
      <c r="C148" s="1" t="s">
        <v>1369</v>
      </c>
      <c r="D148" s="1" t="s">
        <v>739</v>
      </c>
      <c r="E148" s="1" t="s">
        <v>625</v>
      </c>
      <c r="F148" s="1"/>
      <c r="G148" s="83">
        <v>1</v>
      </c>
      <c r="H148" s="6"/>
      <c r="I148" s="6"/>
      <c r="J148" s="6"/>
      <c r="K148" s="6"/>
      <c r="L148" s="6"/>
      <c r="M148" s="6" t="s">
        <v>388</v>
      </c>
      <c r="N148" s="6"/>
      <c r="O148" s="6" t="s">
        <v>388</v>
      </c>
      <c r="P148" s="6"/>
      <c r="Q148" s="6"/>
      <c r="R148" s="6"/>
      <c r="S148" s="6"/>
      <c r="T148" s="6"/>
      <c r="U148" s="6" t="s">
        <v>388</v>
      </c>
      <c r="V148" s="6"/>
      <c r="W148" s="6"/>
      <c r="X148" s="6"/>
      <c r="Y148" s="6"/>
      <c r="Z148" s="6"/>
      <c r="AA148" s="6"/>
      <c r="AB148" s="151"/>
      <c r="AC148" s="151"/>
      <c r="AD148" s="12"/>
      <c r="AE148" s="251" t="s">
        <v>648</v>
      </c>
      <c r="AF148" s="5" t="s">
        <v>394</v>
      </c>
      <c r="AG148" s="4" t="s">
        <v>1372</v>
      </c>
      <c r="AH148" s="1"/>
      <c r="AI148" s="143" t="s">
        <v>1373</v>
      </c>
      <c r="AJ148" s="4"/>
      <c r="AK148" s="1"/>
      <c r="AL148" s="179" t="s">
        <v>1706</v>
      </c>
      <c r="AM148" s="281"/>
      <c r="AN148" s="5" t="s">
        <v>388</v>
      </c>
      <c r="AO148" s="281"/>
      <c r="AP148" s="281"/>
    </row>
    <row r="149" spans="1:42" s="181" customFormat="1" ht="11.25" customHeight="1">
      <c r="A149" s="16" t="s">
        <v>1041</v>
      </c>
      <c r="B149" s="1" t="s">
        <v>1042</v>
      </c>
      <c r="C149" s="4" t="s">
        <v>1040</v>
      </c>
      <c r="D149" s="4" t="s">
        <v>739</v>
      </c>
      <c r="E149" s="1" t="s">
        <v>625</v>
      </c>
      <c r="F149" s="4"/>
      <c r="G149" s="83">
        <v>1</v>
      </c>
      <c r="H149" s="6"/>
      <c r="I149" s="6"/>
      <c r="J149" s="6"/>
      <c r="K149" s="6"/>
      <c r="L149" s="6"/>
      <c r="M149" s="6"/>
      <c r="N149" s="6"/>
      <c r="O149" s="6"/>
      <c r="P149" s="6"/>
      <c r="Q149" s="6"/>
      <c r="R149" s="6"/>
      <c r="S149" s="6"/>
      <c r="T149" s="6"/>
      <c r="U149" s="6" t="s">
        <v>388</v>
      </c>
      <c r="V149" s="6"/>
      <c r="W149" s="6"/>
      <c r="X149" s="6"/>
      <c r="Y149" s="6"/>
      <c r="Z149" s="6"/>
      <c r="AA149" s="6"/>
      <c r="AB149" s="6"/>
      <c r="AC149" s="12"/>
      <c r="AD149" s="12"/>
      <c r="AE149" s="83" t="s">
        <v>648</v>
      </c>
      <c r="AF149" s="8" t="s">
        <v>394</v>
      </c>
      <c r="AG149" s="34" t="s">
        <v>1043</v>
      </c>
      <c r="AH149" s="2"/>
      <c r="AI149" s="4"/>
      <c r="AJ149" s="4"/>
      <c r="AK149" s="2"/>
      <c r="AL149" s="179" t="s">
        <v>1704</v>
      </c>
      <c r="AM149" s="281"/>
      <c r="AN149" s="5" t="s">
        <v>388</v>
      </c>
      <c r="AO149" s="281"/>
      <c r="AP149" s="281"/>
    </row>
    <row r="150" spans="1:42" s="181" customFormat="1" ht="11.25" customHeight="1">
      <c r="A150" s="16" t="s">
        <v>2265</v>
      </c>
      <c r="B150" s="1" t="s">
        <v>2266</v>
      </c>
      <c r="C150" s="4" t="s">
        <v>2267</v>
      </c>
      <c r="D150" s="4" t="s">
        <v>739</v>
      </c>
      <c r="E150" s="1" t="s">
        <v>1869</v>
      </c>
      <c r="F150" s="4"/>
      <c r="G150" s="83">
        <v>1</v>
      </c>
      <c r="H150" s="6"/>
      <c r="I150" s="6"/>
      <c r="J150" s="6"/>
      <c r="K150" s="6" t="s">
        <v>388</v>
      </c>
      <c r="L150" s="6"/>
      <c r="M150" s="6"/>
      <c r="N150" s="6"/>
      <c r="O150" s="6"/>
      <c r="P150" s="6"/>
      <c r="Q150" s="6"/>
      <c r="R150" s="6"/>
      <c r="S150" s="6"/>
      <c r="T150" s="6"/>
      <c r="U150" s="6"/>
      <c r="V150" s="6"/>
      <c r="W150" s="6" t="s">
        <v>388</v>
      </c>
      <c r="X150" s="6" t="s">
        <v>388</v>
      </c>
      <c r="Y150" s="6"/>
      <c r="Z150" s="6" t="s">
        <v>388</v>
      </c>
      <c r="AA150" s="6"/>
      <c r="AB150" s="6"/>
      <c r="AC150" s="12"/>
      <c r="AD150" s="12"/>
      <c r="AE150" s="83">
        <v>2</v>
      </c>
      <c r="AF150" s="8" t="s">
        <v>389</v>
      </c>
      <c r="AG150" s="34" t="s">
        <v>2268</v>
      </c>
      <c r="AH150" s="2"/>
      <c r="AI150" s="4" t="s">
        <v>2269</v>
      </c>
      <c r="AJ150" s="4"/>
      <c r="AK150" s="2"/>
      <c r="AL150" s="179" t="s">
        <v>1696</v>
      </c>
      <c r="AM150" s="281"/>
      <c r="AN150" s="281"/>
      <c r="AO150" s="5" t="s">
        <v>388</v>
      </c>
      <c r="AP150" s="5" t="s">
        <v>388</v>
      </c>
    </row>
    <row r="151" spans="1:42" s="181" customFormat="1" ht="11.25" customHeight="1">
      <c r="A151" s="16" t="s">
        <v>1858</v>
      </c>
      <c r="B151" s="1" t="s">
        <v>1639</v>
      </c>
      <c r="C151" s="1" t="s">
        <v>993</v>
      </c>
      <c r="D151" s="1" t="s">
        <v>739</v>
      </c>
      <c r="E151" s="1" t="s">
        <v>625</v>
      </c>
      <c r="F151" s="1"/>
      <c r="G151" s="83">
        <v>1</v>
      </c>
      <c r="H151" s="6"/>
      <c r="I151" s="6"/>
      <c r="J151" s="6"/>
      <c r="K151" s="6"/>
      <c r="L151" s="6" t="s">
        <v>388</v>
      </c>
      <c r="M151" s="6"/>
      <c r="N151" s="6"/>
      <c r="O151" s="6"/>
      <c r="P151" s="6"/>
      <c r="Q151" s="6"/>
      <c r="R151" s="6"/>
      <c r="S151" s="6"/>
      <c r="T151" s="6"/>
      <c r="U151" s="6"/>
      <c r="V151" s="6"/>
      <c r="W151" s="6"/>
      <c r="X151" s="6"/>
      <c r="Y151" s="6"/>
      <c r="Z151" s="6"/>
      <c r="AA151" s="6"/>
      <c r="AB151" s="151"/>
      <c r="AC151" s="151"/>
      <c r="AD151" s="12"/>
      <c r="AE151" s="251"/>
      <c r="AF151" s="5" t="s">
        <v>389</v>
      </c>
      <c r="AG151" s="34" t="s">
        <v>2393</v>
      </c>
      <c r="AH151" s="1"/>
      <c r="AI151" s="143" t="s">
        <v>1860</v>
      </c>
      <c r="AJ151" s="4"/>
      <c r="AK151" s="1"/>
      <c r="AL151" s="179" t="s">
        <v>1703</v>
      </c>
      <c r="AM151" s="281"/>
      <c r="AN151" s="5" t="s">
        <v>388</v>
      </c>
      <c r="AO151" s="281"/>
      <c r="AP151" s="281"/>
    </row>
    <row r="152" spans="1:42" s="181" customFormat="1" ht="11.25" customHeight="1">
      <c r="A152" s="144" t="s">
        <v>160</v>
      </c>
      <c r="B152" s="2" t="s">
        <v>161</v>
      </c>
      <c r="C152" s="2" t="s">
        <v>162</v>
      </c>
      <c r="D152" s="34" t="s">
        <v>387</v>
      </c>
      <c r="E152" s="34" t="s">
        <v>624</v>
      </c>
      <c r="F152" s="34" t="s">
        <v>625</v>
      </c>
      <c r="G152" s="83">
        <v>1</v>
      </c>
      <c r="H152" s="6"/>
      <c r="I152" s="6"/>
      <c r="J152" s="6"/>
      <c r="K152" s="6"/>
      <c r="L152" s="6"/>
      <c r="M152" s="6" t="s">
        <v>388</v>
      </c>
      <c r="N152" s="6"/>
      <c r="O152" s="6" t="s">
        <v>388</v>
      </c>
      <c r="P152" s="6"/>
      <c r="Q152" s="6"/>
      <c r="R152" s="6"/>
      <c r="S152" s="6"/>
      <c r="T152" s="6"/>
      <c r="U152" s="6"/>
      <c r="V152" s="6"/>
      <c r="W152" s="6" t="s">
        <v>388</v>
      </c>
      <c r="X152" s="6"/>
      <c r="Y152" s="6"/>
      <c r="Z152" s="6"/>
      <c r="AA152" s="6"/>
      <c r="AB152" s="6"/>
      <c r="AC152" s="12"/>
      <c r="AD152" s="12"/>
      <c r="AE152" s="83">
        <v>3</v>
      </c>
      <c r="AF152" s="6" t="s">
        <v>394</v>
      </c>
      <c r="AG152" s="34" t="s">
        <v>1730</v>
      </c>
      <c r="AH152" s="2"/>
      <c r="AI152" s="34" t="s">
        <v>163</v>
      </c>
      <c r="AJ152" s="34"/>
      <c r="AK152" s="2"/>
      <c r="AL152" s="178" t="s">
        <v>1690</v>
      </c>
      <c r="AM152" s="5" t="s">
        <v>388</v>
      </c>
      <c r="AN152" s="281"/>
      <c r="AO152" s="281"/>
      <c r="AP152" s="5" t="s">
        <v>388</v>
      </c>
    </row>
    <row r="153" spans="1:42" s="181" customFormat="1" ht="11.25" customHeight="1">
      <c r="A153" s="16" t="s">
        <v>1985</v>
      </c>
      <c r="B153" s="1" t="s">
        <v>1634</v>
      </c>
      <c r="C153" s="1" t="s">
        <v>982</v>
      </c>
      <c r="D153" s="1" t="s">
        <v>739</v>
      </c>
      <c r="E153" s="1"/>
      <c r="F153" s="1"/>
      <c r="G153" s="83">
        <v>1</v>
      </c>
      <c r="H153" s="6"/>
      <c r="I153" s="6"/>
      <c r="J153" s="6"/>
      <c r="K153" s="6"/>
      <c r="L153" s="6"/>
      <c r="M153" s="6"/>
      <c r="N153" s="6"/>
      <c r="O153" s="6"/>
      <c r="P153" s="6"/>
      <c r="Q153" s="6"/>
      <c r="R153" s="6" t="s">
        <v>388</v>
      </c>
      <c r="S153" s="6"/>
      <c r="T153" s="6"/>
      <c r="U153" s="6"/>
      <c r="V153" s="6"/>
      <c r="W153" s="6"/>
      <c r="X153" s="6"/>
      <c r="Y153" s="6"/>
      <c r="Z153" s="6"/>
      <c r="AA153" s="6"/>
      <c r="AB153" s="151"/>
      <c r="AC153" s="151"/>
      <c r="AD153" s="12"/>
      <c r="AE153" s="251" t="s">
        <v>623</v>
      </c>
      <c r="AF153" s="5" t="s">
        <v>394</v>
      </c>
      <c r="AG153" s="34" t="s">
        <v>2394</v>
      </c>
      <c r="AH153" s="1"/>
      <c r="AI153" s="143"/>
      <c r="AJ153" s="4"/>
      <c r="AK153" s="1"/>
      <c r="AL153" s="179" t="s">
        <v>1693</v>
      </c>
      <c r="AM153" s="281"/>
      <c r="AN153" s="281"/>
      <c r="AO153" s="281"/>
      <c r="AP153" s="281"/>
    </row>
    <row r="154" spans="1:42" s="181" customFormat="1" ht="11.25" customHeight="1">
      <c r="A154" s="16" t="s">
        <v>1398</v>
      </c>
      <c r="B154" s="2" t="s">
        <v>1397</v>
      </c>
      <c r="C154" s="1" t="s">
        <v>1396</v>
      </c>
      <c r="D154" s="4" t="s">
        <v>739</v>
      </c>
      <c r="E154" s="1" t="s">
        <v>625</v>
      </c>
      <c r="F154" s="4"/>
      <c r="G154" s="83">
        <v>1</v>
      </c>
      <c r="H154" s="6"/>
      <c r="I154" s="6"/>
      <c r="J154" s="6"/>
      <c r="K154" s="6"/>
      <c r="L154" s="6"/>
      <c r="M154" s="6"/>
      <c r="N154" s="6"/>
      <c r="O154" s="6"/>
      <c r="P154" s="6"/>
      <c r="Q154" s="6"/>
      <c r="R154" s="6"/>
      <c r="S154" s="6"/>
      <c r="T154" s="6" t="s">
        <v>388</v>
      </c>
      <c r="U154" s="6"/>
      <c r="V154" s="6"/>
      <c r="W154" s="6" t="s">
        <v>388</v>
      </c>
      <c r="X154" s="6"/>
      <c r="Y154" s="6"/>
      <c r="Z154" s="6" t="s">
        <v>388</v>
      </c>
      <c r="AA154" s="6"/>
      <c r="AB154" s="6"/>
      <c r="AC154" s="12"/>
      <c r="AD154" s="12"/>
      <c r="AE154" s="83" t="s">
        <v>648</v>
      </c>
      <c r="AF154" s="5" t="s">
        <v>394</v>
      </c>
      <c r="AG154" s="4" t="s">
        <v>1399</v>
      </c>
      <c r="AH154" s="1"/>
      <c r="AI154" s="4"/>
      <c r="AJ154" s="4"/>
      <c r="AK154" s="2"/>
      <c r="AL154" s="178" t="s">
        <v>1696</v>
      </c>
      <c r="AM154" s="281"/>
      <c r="AN154" s="281"/>
      <c r="AO154" s="5" t="s">
        <v>388</v>
      </c>
      <c r="AP154" s="5" t="s">
        <v>388</v>
      </c>
    </row>
    <row r="155" spans="1:42" s="181" customFormat="1" ht="11.25" customHeight="1">
      <c r="A155" s="16" t="s">
        <v>2159</v>
      </c>
      <c r="B155" s="1" t="s">
        <v>1592</v>
      </c>
      <c r="C155" s="1" t="s">
        <v>1734</v>
      </c>
      <c r="D155" s="1" t="s">
        <v>387</v>
      </c>
      <c r="E155" s="34" t="s">
        <v>625</v>
      </c>
      <c r="F155" s="1"/>
      <c r="G155" s="83">
        <v>1</v>
      </c>
      <c r="H155" s="6"/>
      <c r="I155" s="6"/>
      <c r="J155" s="6"/>
      <c r="K155" s="6"/>
      <c r="L155" s="6"/>
      <c r="M155" s="6"/>
      <c r="N155" s="6"/>
      <c r="O155" s="6"/>
      <c r="P155" s="6"/>
      <c r="Q155" s="6"/>
      <c r="R155" s="6" t="s">
        <v>388</v>
      </c>
      <c r="S155" s="6" t="s">
        <v>388</v>
      </c>
      <c r="T155" s="6"/>
      <c r="U155" s="6"/>
      <c r="V155" s="6"/>
      <c r="W155" s="6"/>
      <c r="X155" s="6"/>
      <c r="Y155" s="6"/>
      <c r="Z155" s="6"/>
      <c r="AA155" s="6"/>
      <c r="AB155" s="151"/>
      <c r="AC155" s="151"/>
      <c r="AD155" s="12" t="s">
        <v>388</v>
      </c>
      <c r="AE155" s="251"/>
      <c r="AF155" s="5" t="s">
        <v>394</v>
      </c>
      <c r="AG155" s="34"/>
      <c r="AH155" s="1"/>
      <c r="AI155" s="143"/>
      <c r="AJ155" s="4"/>
      <c r="AK155" s="1"/>
      <c r="AL155" s="179" t="s">
        <v>1693</v>
      </c>
      <c r="AM155" s="5" t="s">
        <v>388</v>
      </c>
      <c r="AN155" s="281"/>
      <c r="AO155" s="281"/>
      <c r="AP155" s="281"/>
    </row>
    <row r="156" spans="1:42" s="181" customFormat="1" ht="11.25" customHeight="1">
      <c r="A156" s="144" t="s">
        <v>166</v>
      </c>
      <c r="B156" s="2" t="s">
        <v>167</v>
      </c>
      <c r="C156" s="2" t="s">
        <v>168</v>
      </c>
      <c r="D156" s="34" t="s">
        <v>387</v>
      </c>
      <c r="E156" s="34" t="s">
        <v>624</v>
      </c>
      <c r="F156" s="34" t="s">
        <v>625</v>
      </c>
      <c r="G156" s="83">
        <v>1</v>
      </c>
      <c r="H156" s="6"/>
      <c r="I156" s="6"/>
      <c r="J156" s="6"/>
      <c r="K156" s="6" t="s">
        <v>388</v>
      </c>
      <c r="L156" s="6"/>
      <c r="M156" s="6"/>
      <c r="N156" s="6"/>
      <c r="O156" s="6"/>
      <c r="P156" s="6"/>
      <c r="Q156" s="6"/>
      <c r="R156" s="6"/>
      <c r="S156" s="6"/>
      <c r="T156" s="6"/>
      <c r="U156" s="6"/>
      <c r="V156" s="6"/>
      <c r="W156" s="6"/>
      <c r="X156" s="6" t="s">
        <v>388</v>
      </c>
      <c r="Y156" s="6"/>
      <c r="Z156" s="6" t="s">
        <v>388</v>
      </c>
      <c r="AA156" s="6"/>
      <c r="AB156" s="6"/>
      <c r="AC156" s="12" t="s">
        <v>388</v>
      </c>
      <c r="AD156" s="12"/>
      <c r="AE156" s="83">
        <v>3</v>
      </c>
      <c r="AF156" s="6" t="s">
        <v>394</v>
      </c>
      <c r="AG156" s="34" t="s">
        <v>1731</v>
      </c>
      <c r="AH156" s="2"/>
      <c r="AI156" s="34"/>
      <c r="AJ156" s="34"/>
      <c r="AK156" s="2"/>
      <c r="AL156" s="178" t="s">
        <v>1690</v>
      </c>
      <c r="AM156" s="5" t="s">
        <v>388</v>
      </c>
      <c r="AN156" s="281"/>
      <c r="AO156" s="281"/>
      <c r="AP156" s="5" t="s">
        <v>388</v>
      </c>
    </row>
    <row r="157" spans="1:42" s="181" customFormat="1" ht="11.25" customHeight="1">
      <c r="A157" s="144" t="s">
        <v>166</v>
      </c>
      <c r="B157" s="1" t="s">
        <v>169</v>
      </c>
      <c r="C157" s="1" t="s">
        <v>170</v>
      </c>
      <c r="D157" s="4" t="s">
        <v>387</v>
      </c>
      <c r="E157" s="4" t="s">
        <v>624</v>
      </c>
      <c r="F157" s="4" t="s">
        <v>625</v>
      </c>
      <c r="G157" s="83">
        <v>1</v>
      </c>
      <c r="H157" s="6"/>
      <c r="I157" s="6"/>
      <c r="J157" s="6"/>
      <c r="K157" s="6" t="s">
        <v>388</v>
      </c>
      <c r="L157" s="6"/>
      <c r="M157" s="6"/>
      <c r="N157" s="6"/>
      <c r="O157" s="6"/>
      <c r="P157" s="6"/>
      <c r="Q157" s="6"/>
      <c r="R157" s="6" t="s">
        <v>388</v>
      </c>
      <c r="S157" s="6"/>
      <c r="T157" s="6" t="s">
        <v>388</v>
      </c>
      <c r="U157" s="6"/>
      <c r="V157" s="6"/>
      <c r="W157" s="6" t="s">
        <v>388</v>
      </c>
      <c r="X157" s="6" t="s">
        <v>388</v>
      </c>
      <c r="Y157" s="6" t="s">
        <v>388</v>
      </c>
      <c r="Z157" s="6" t="s">
        <v>388</v>
      </c>
      <c r="AA157" s="6" t="s">
        <v>388</v>
      </c>
      <c r="AB157" s="6"/>
      <c r="AC157" s="12" t="s">
        <v>388</v>
      </c>
      <c r="AD157" s="12"/>
      <c r="AE157" s="83">
        <v>3</v>
      </c>
      <c r="AF157" s="5" t="s">
        <v>394</v>
      </c>
      <c r="AG157" s="34" t="s">
        <v>1887</v>
      </c>
      <c r="AH157" s="1"/>
      <c r="AI157" s="4"/>
      <c r="AJ157" s="4"/>
      <c r="AK157" s="2"/>
      <c r="AL157" s="178" t="s">
        <v>1690</v>
      </c>
      <c r="AM157" s="281"/>
      <c r="AN157" s="281"/>
      <c r="AO157" s="5" t="s">
        <v>388</v>
      </c>
      <c r="AP157" s="5" t="s">
        <v>388</v>
      </c>
    </row>
    <row r="158" spans="1:42" s="480" customFormat="1" ht="11.25" customHeight="1">
      <c r="A158" s="144" t="s">
        <v>166</v>
      </c>
      <c r="B158" s="1" t="s">
        <v>316</v>
      </c>
      <c r="C158" s="1" t="s">
        <v>317</v>
      </c>
      <c r="D158" s="4" t="s">
        <v>387</v>
      </c>
      <c r="E158" s="4" t="s">
        <v>625</v>
      </c>
      <c r="F158" s="4"/>
      <c r="G158" s="83">
        <v>1</v>
      </c>
      <c r="H158" s="6"/>
      <c r="I158" s="6"/>
      <c r="J158" s="6"/>
      <c r="K158" s="6"/>
      <c r="L158" s="6"/>
      <c r="M158" s="6"/>
      <c r="N158" s="6"/>
      <c r="O158" s="6"/>
      <c r="P158" s="6"/>
      <c r="Q158" s="6"/>
      <c r="R158" s="6"/>
      <c r="S158" s="6"/>
      <c r="T158" s="6"/>
      <c r="U158" s="6"/>
      <c r="V158" s="6"/>
      <c r="W158" s="6"/>
      <c r="X158" s="6"/>
      <c r="Y158" s="6"/>
      <c r="Z158" s="6"/>
      <c r="AA158" s="6"/>
      <c r="AB158" s="6"/>
      <c r="AC158" s="12"/>
      <c r="AD158" s="12"/>
      <c r="AE158" s="83">
        <v>3</v>
      </c>
      <c r="AF158" s="5" t="s">
        <v>389</v>
      </c>
      <c r="AG158" s="34" t="s">
        <v>1886</v>
      </c>
      <c r="AH158" s="1"/>
      <c r="AI158" s="4"/>
      <c r="AJ158" s="4"/>
      <c r="AK158" s="2"/>
      <c r="AL158" s="178" t="s">
        <v>1690</v>
      </c>
      <c r="AM158" s="283"/>
      <c r="AN158" s="6" t="s">
        <v>388</v>
      </c>
      <c r="AO158" s="283"/>
      <c r="AP158" s="283"/>
    </row>
    <row r="159" spans="1:42" s="181" customFormat="1" ht="11.25" customHeight="1">
      <c r="A159" s="364" t="s">
        <v>2273</v>
      </c>
      <c r="B159" s="373" t="s">
        <v>2274</v>
      </c>
      <c r="C159" s="373" t="s">
        <v>2275</v>
      </c>
      <c r="D159" s="374" t="s">
        <v>739</v>
      </c>
      <c r="E159" s="374" t="s">
        <v>1869</v>
      </c>
      <c r="F159" s="374"/>
      <c r="G159" s="367">
        <v>1</v>
      </c>
      <c r="H159" s="368"/>
      <c r="I159" s="368"/>
      <c r="J159" s="368"/>
      <c r="K159" s="368"/>
      <c r="L159" s="368"/>
      <c r="M159" s="368"/>
      <c r="N159" s="368"/>
      <c r="O159" s="368"/>
      <c r="P159" s="368"/>
      <c r="Q159" s="368"/>
      <c r="R159" s="368" t="s">
        <v>388</v>
      </c>
      <c r="S159" s="368"/>
      <c r="T159" s="368" t="s">
        <v>388</v>
      </c>
      <c r="U159" s="368" t="s">
        <v>388</v>
      </c>
      <c r="V159" s="368"/>
      <c r="W159" s="368"/>
      <c r="X159" s="368"/>
      <c r="Y159" s="368"/>
      <c r="Z159" s="368"/>
      <c r="AA159" s="368"/>
      <c r="AB159" s="369"/>
      <c r="AC159" s="369"/>
      <c r="AD159" s="369"/>
      <c r="AE159" s="370">
        <v>2</v>
      </c>
      <c r="AF159" s="372" t="s">
        <v>389</v>
      </c>
      <c r="AG159" s="374" t="s">
        <v>2276</v>
      </c>
      <c r="AH159" s="373"/>
      <c r="AI159" s="375"/>
      <c r="AJ159" s="374"/>
      <c r="AK159" s="365"/>
      <c r="AL159" s="178" t="s">
        <v>1695</v>
      </c>
      <c r="AM159" s="372"/>
      <c r="AN159" s="5" t="s">
        <v>388</v>
      </c>
      <c r="AO159" s="372"/>
      <c r="AP159" s="372"/>
    </row>
    <row r="160" spans="1:42" s="181" customFormat="1" ht="11.25" customHeight="1">
      <c r="A160" s="144" t="s">
        <v>1958</v>
      </c>
      <c r="B160" s="1" t="s">
        <v>512</v>
      </c>
      <c r="C160" s="1" t="s">
        <v>513</v>
      </c>
      <c r="D160" s="4" t="s">
        <v>387</v>
      </c>
      <c r="E160" s="4" t="s">
        <v>626</v>
      </c>
      <c r="F160" s="4"/>
      <c r="G160" s="83">
        <v>1</v>
      </c>
      <c r="H160" s="6"/>
      <c r="I160" s="6"/>
      <c r="J160" s="6" t="s">
        <v>388</v>
      </c>
      <c r="K160" s="6"/>
      <c r="L160" s="6"/>
      <c r="M160" s="6"/>
      <c r="N160" s="6"/>
      <c r="O160" s="6"/>
      <c r="P160" s="6"/>
      <c r="Q160" s="6"/>
      <c r="R160" s="6"/>
      <c r="S160" s="6"/>
      <c r="T160" s="6"/>
      <c r="U160" s="6"/>
      <c r="V160" s="6"/>
      <c r="W160" s="6"/>
      <c r="X160" s="6"/>
      <c r="Y160" s="6"/>
      <c r="Z160" s="6"/>
      <c r="AA160" s="6"/>
      <c r="AB160" s="6"/>
      <c r="AC160" s="12" t="s">
        <v>388</v>
      </c>
      <c r="AD160" s="12"/>
      <c r="AE160" s="83">
        <v>4</v>
      </c>
      <c r="AF160" s="5" t="s">
        <v>394</v>
      </c>
      <c r="AG160" s="4" t="s">
        <v>2395</v>
      </c>
      <c r="AH160" s="2"/>
      <c r="AI160" s="34"/>
      <c r="AJ160" s="4"/>
      <c r="AK160" s="2"/>
      <c r="AL160" s="179" t="s">
        <v>1691</v>
      </c>
      <c r="AM160" s="5" t="s">
        <v>388</v>
      </c>
      <c r="AN160" s="281"/>
      <c r="AO160" s="281"/>
      <c r="AP160" s="281"/>
    </row>
    <row r="161" spans="1:42" s="181" customFormat="1" ht="11.25" customHeight="1">
      <c r="A161" s="144" t="s">
        <v>1958</v>
      </c>
      <c r="B161" s="1" t="s">
        <v>591</v>
      </c>
      <c r="C161" s="1" t="s">
        <v>592</v>
      </c>
      <c r="D161" s="4" t="s">
        <v>387</v>
      </c>
      <c r="E161" s="4" t="s">
        <v>626</v>
      </c>
      <c r="F161" s="4"/>
      <c r="G161" s="83">
        <v>1</v>
      </c>
      <c r="H161" s="6"/>
      <c r="I161" s="6"/>
      <c r="J161" s="6"/>
      <c r="K161" s="6"/>
      <c r="L161" s="6"/>
      <c r="M161" s="6"/>
      <c r="N161" s="6"/>
      <c r="O161" s="6"/>
      <c r="P161" s="6"/>
      <c r="Q161" s="6"/>
      <c r="R161" s="6"/>
      <c r="S161" s="6" t="s">
        <v>388</v>
      </c>
      <c r="T161" s="6"/>
      <c r="U161" s="6"/>
      <c r="V161" s="6"/>
      <c r="W161" s="6"/>
      <c r="X161" s="6"/>
      <c r="Y161" s="6"/>
      <c r="Z161" s="6"/>
      <c r="AA161" s="6"/>
      <c r="AB161" s="6"/>
      <c r="AC161" s="12" t="s">
        <v>388</v>
      </c>
      <c r="AD161" s="12"/>
      <c r="AE161" s="83">
        <v>2</v>
      </c>
      <c r="AF161" s="5" t="s">
        <v>394</v>
      </c>
      <c r="AG161" s="34" t="s">
        <v>1885</v>
      </c>
      <c r="AH161" s="2"/>
      <c r="AI161" s="34"/>
      <c r="AJ161" s="4"/>
      <c r="AK161" s="2"/>
      <c r="AL161" s="179" t="s">
        <v>1691</v>
      </c>
      <c r="AM161" s="5" t="s">
        <v>388</v>
      </c>
      <c r="AN161" s="281"/>
      <c r="AO161" s="281"/>
      <c r="AP161" s="281"/>
    </row>
    <row r="162" spans="1:42" s="181" customFormat="1" ht="11.25" customHeight="1">
      <c r="A162" s="144" t="s">
        <v>2122</v>
      </c>
      <c r="B162" s="2" t="s">
        <v>594</v>
      </c>
      <c r="C162" s="2" t="s">
        <v>595</v>
      </c>
      <c r="D162" s="34" t="s">
        <v>387</v>
      </c>
      <c r="E162" s="4" t="s">
        <v>626</v>
      </c>
      <c r="F162" s="4"/>
      <c r="G162" s="83">
        <v>1</v>
      </c>
      <c r="H162" s="6"/>
      <c r="I162" s="6"/>
      <c r="J162" s="6"/>
      <c r="K162" s="6"/>
      <c r="L162" s="6"/>
      <c r="M162" s="6"/>
      <c r="N162" s="6"/>
      <c r="O162" s="6"/>
      <c r="P162" s="6"/>
      <c r="Q162" s="6"/>
      <c r="R162" s="6"/>
      <c r="S162" s="6" t="s">
        <v>388</v>
      </c>
      <c r="T162" s="6"/>
      <c r="U162" s="6"/>
      <c r="V162" s="6"/>
      <c r="W162" s="6"/>
      <c r="X162" s="6"/>
      <c r="Y162" s="6"/>
      <c r="Z162" s="6"/>
      <c r="AA162" s="6"/>
      <c r="AB162" s="6"/>
      <c r="AC162" s="12"/>
      <c r="AD162" s="12"/>
      <c r="AE162" s="83">
        <v>2</v>
      </c>
      <c r="AF162" s="5" t="s">
        <v>394</v>
      </c>
      <c r="AG162" s="34" t="s">
        <v>1884</v>
      </c>
      <c r="AH162" s="2"/>
      <c r="AI162" s="34"/>
      <c r="AJ162" s="4"/>
      <c r="AK162" s="2"/>
      <c r="AL162" s="179" t="s">
        <v>1691</v>
      </c>
      <c r="AM162" s="5" t="s">
        <v>388</v>
      </c>
      <c r="AN162" s="281"/>
      <c r="AO162" s="281"/>
      <c r="AP162" s="281"/>
    </row>
    <row r="163" spans="1:42" s="181" customFormat="1" ht="11.25" customHeight="1">
      <c r="A163" s="16" t="s">
        <v>2158</v>
      </c>
      <c r="B163" s="1" t="s">
        <v>1529</v>
      </c>
      <c r="C163" s="1" t="s">
        <v>1530</v>
      </c>
      <c r="D163" s="1" t="s">
        <v>387</v>
      </c>
      <c r="E163" s="34" t="s">
        <v>625</v>
      </c>
      <c r="F163" s="1"/>
      <c r="G163" s="83">
        <v>1</v>
      </c>
      <c r="H163" s="6"/>
      <c r="I163" s="6"/>
      <c r="J163" s="6"/>
      <c r="K163" s="6"/>
      <c r="L163" s="6"/>
      <c r="M163" s="6" t="s">
        <v>388</v>
      </c>
      <c r="N163" s="6" t="s">
        <v>388</v>
      </c>
      <c r="O163" s="6"/>
      <c r="P163" s="6"/>
      <c r="Q163" s="6"/>
      <c r="R163" s="6"/>
      <c r="S163" s="6"/>
      <c r="T163" s="6"/>
      <c r="U163" s="6" t="s">
        <v>388</v>
      </c>
      <c r="V163" s="6"/>
      <c r="W163" s="6"/>
      <c r="X163" s="6"/>
      <c r="Y163" s="6"/>
      <c r="Z163" s="6"/>
      <c r="AA163" s="6"/>
      <c r="AB163" s="151"/>
      <c r="AC163" s="151"/>
      <c r="AD163" s="12" t="s">
        <v>388</v>
      </c>
      <c r="AE163" s="251" t="s">
        <v>648</v>
      </c>
      <c r="AF163" s="5" t="s">
        <v>389</v>
      </c>
      <c r="AG163" s="4" t="s">
        <v>1531</v>
      </c>
      <c r="AH163" s="1"/>
      <c r="AI163" s="143"/>
      <c r="AJ163" s="4"/>
      <c r="AK163" s="1"/>
      <c r="AL163" s="178" t="s">
        <v>476</v>
      </c>
      <c r="AM163" s="5" t="s">
        <v>388</v>
      </c>
      <c r="AN163" s="5" t="s">
        <v>388</v>
      </c>
      <c r="AO163" s="281"/>
      <c r="AP163" s="281"/>
    </row>
    <row r="164" spans="1:42" s="181" customFormat="1" ht="11.25" customHeight="1">
      <c r="A164" s="16" t="s">
        <v>1262</v>
      </c>
      <c r="B164" s="1" t="s">
        <v>1261</v>
      </c>
      <c r="C164" s="1" t="s">
        <v>1260</v>
      </c>
      <c r="D164" s="1" t="s">
        <v>739</v>
      </c>
      <c r="E164" s="1" t="s">
        <v>625</v>
      </c>
      <c r="F164" s="1"/>
      <c r="G164" s="83">
        <v>1</v>
      </c>
      <c r="H164" s="6"/>
      <c r="I164" s="6"/>
      <c r="J164" s="6"/>
      <c r="K164" s="6"/>
      <c r="L164" s="6"/>
      <c r="M164" s="6" t="s">
        <v>388</v>
      </c>
      <c r="N164" s="6"/>
      <c r="O164" s="6"/>
      <c r="P164" s="6"/>
      <c r="Q164" s="6"/>
      <c r="R164" s="6"/>
      <c r="S164" s="6"/>
      <c r="T164" s="6"/>
      <c r="U164" s="6" t="s">
        <v>388</v>
      </c>
      <c r="V164" s="6"/>
      <c r="W164" s="6"/>
      <c r="X164" s="6"/>
      <c r="Y164" s="6"/>
      <c r="Z164" s="6"/>
      <c r="AA164" s="6"/>
      <c r="AB164" s="151"/>
      <c r="AC164" s="151"/>
      <c r="AD164" s="12"/>
      <c r="AE164" s="251" t="s">
        <v>648</v>
      </c>
      <c r="AF164" s="5" t="s">
        <v>394</v>
      </c>
      <c r="AG164" s="4" t="s">
        <v>1263</v>
      </c>
      <c r="AH164" s="1"/>
      <c r="AI164" s="143"/>
      <c r="AJ164" s="4"/>
      <c r="AK164" s="1"/>
      <c r="AL164" s="179" t="s">
        <v>1700</v>
      </c>
      <c r="AM164" s="281"/>
      <c r="AN164" s="5" t="s">
        <v>388</v>
      </c>
      <c r="AO164" s="281"/>
      <c r="AP164" s="281"/>
    </row>
    <row r="165" spans="1:42" s="181" customFormat="1" ht="11.25" customHeight="1">
      <c r="A165" s="144" t="s">
        <v>1979</v>
      </c>
      <c r="B165" s="2" t="s">
        <v>548</v>
      </c>
      <c r="C165" s="2" t="s">
        <v>549</v>
      </c>
      <c r="D165" s="34" t="s">
        <v>387</v>
      </c>
      <c r="E165" s="34" t="s">
        <v>626</v>
      </c>
      <c r="F165" s="34"/>
      <c r="G165" s="83">
        <v>1</v>
      </c>
      <c r="H165" s="6" t="s">
        <v>388</v>
      </c>
      <c r="I165" s="6"/>
      <c r="J165" s="6"/>
      <c r="K165" s="6"/>
      <c r="L165" s="6"/>
      <c r="M165" s="6"/>
      <c r="N165" s="6"/>
      <c r="O165" s="6"/>
      <c r="P165" s="6"/>
      <c r="Q165" s="6"/>
      <c r="R165" s="6"/>
      <c r="S165" s="6"/>
      <c r="T165" s="6"/>
      <c r="U165" s="6"/>
      <c r="V165" s="6"/>
      <c r="W165" s="6"/>
      <c r="X165" s="6"/>
      <c r="Y165" s="6"/>
      <c r="Z165" s="6"/>
      <c r="AA165" s="6"/>
      <c r="AB165" s="6"/>
      <c r="AC165" s="12"/>
      <c r="AD165" s="12"/>
      <c r="AE165" s="83">
        <v>2</v>
      </c>
      <c r="AF165" s="5" t="s">
        <v>394</v>
      </c>
      <c r="AG165" s="4" t="s">
        <v>1732</v>
      </c>
      <c r="AH165" s="2"/>
      <c r="AI165" s="34"/>
      <c r="AJ165" s="34"/>
      <c r="AK165" s="2" t="s">
        <v>2138</v>
      </c>
      <c r="AL165" s="179" t="s">
        <v>1691</v>
      </c>
      <c r="AM165" s="283"/>
      <c r="AN165" s="6" t="s">
        <v>388</v>
      </c>
      <c r="AO165" s="283"/>
      <c r="AP165" s="283"/>
    </row>
    <row r="166" spans="1:42" s="181" customFormat="1" ht="11.25" customHeight="1">
      <c r="A166" s="16" t="s">
        <v>2052</v>
      </c>
      <c r="B166" s="1" t="s">
        <v>2053</v>
      </c>
      <c r="C166" s="1" t="s">
        <v>2056</v>
      </c>
      <c r="D166" s="1" t="s">
        <v>387</v>
      </c>
      <c r="E166" s="34" t="s">
        <v>1869</v>
      </c>
      <c r="F166" s="1"/>
      <c r="G166" s="83">
        <v>1</v>
      </c>
      <c r="H166" s="6"/>
      <c r="I166" s="6"/>
      <c r="J166" s="6"/>
      <c r="K166" s="6"/>
      <c r="L166" s="6"/>
      <c r="M166" s="6" t="s">
        <v>388</v>
      </c>
      <c r="N166" s="6"/>
      <c r="O166" s="6"/>
      <c r="P166" s="6"/>
      <c r="Q166" s="6"/>
      <c r="R166" s="6"/>
      <c r="S166" s="6"/>
      <c r="T166" s="6"/>
      <c r="U166" s="6" t="s">
        <v>388</v>
      </c>
      <c r="V166" s="6"/>
      <c r="W166" s="6"/>
      <c r="X166" s="6"/>
      <c r="Y166" s="6"/>
      <c r="Z166" s="6"/>
      <c r="AA166" s="6"/>
      <c r="AB166" s="151"/>
      <c r="AC166" s="151"/>
      <c r="AD166" s="12" t="s">
        <v>388</v>
      </c>
      <c r="AE166" s="251">
        <v>3</v>
      </c>
      <c r="AF166" s="5" t="s">
        <v>389</v>
      </c>
      <c r="AG166" s="4" t="s">
        <v>2055</v>
      </c>
      <c r="AH166" s="1"/>
      <c r="AI166" s="143" t="s">
        <v>2054</v>
      </c>
      <c r="AJ166" s="4"/>
      <c r="AK166" s="1"/>
      <c r="AL166" s="179" t="s">
        <v>1703</v>
      </c>
      <c r="AM166" s="283"/>
      <c r="AN166" s="6" t="s">
        <v>388</v>
      </c>
      <c r="AO166" s="283"/>
      <c r="AP166" s="283"/>
    </row>
    <row r="167" spans="1:42" s="480" customFormat="1" ht="11.25" customHeight="1">
      <c r="A167" s="144" t="s">
        <v>1882</v>
      </c>
      <c r="B167" s="1" t="s">
        <v>335</v>
      </c>
      <c r="C167" s="1" t="s">
        <v>336</v>
      </c>
      <c r="D167" s="4" t="s">
        <v>387</v>
      </c>
      <c r="E167" s="4" t="s">
        <v>625</v>
      </c>
      <c r="F167" s="4"/>
      <c r="G167" s="83">
        <v>1</v>
      </c>
      <c r="H167" s="6"/>
      <c r="I167" s="6"/>
      <c r="J167" s="6"/>
      <c r="K167" s="6"/>
      <c r="L167" s="6"/>
      <c r="M167" s="6"/>
      <c r="N167" s="6"/>
      <c r="O167" s="6"/>
      <c r="P167" s="6"/>
      <c r="Q167" s="6"/>
      <c r="R167" s="6"/>
      <c r="S167" s="6"/>
      <c r="T167" s="6" t="s">
        <v>388</v>
      </c>
      <c r="U167" s="6"/>
      <c r="V167" s="6"/>
      <c r="W167" s="6"/>
      <c r="X167" s="6"/>
      <c r="Y167" s="6"/>
      <c r="Z167" s="6"/>
      <c r="AA167" s="6"/>
      <c r="AB167" s="6" t="s">
        <v>388</v>
      </c>
      <c r="AC167" s="12" t="s">
        <v>388</v>
      </c>
      <c r="AD167" s="12"/>
      <c r="AE167" s="83">
        <v>3</v>
      </c>
      <c r="AF167" s="5" t="s">
        <v>389</v>
      </c>
      <c r="AG167" s="34"/>
      <c r="AH167" s="1"/>
      <c r="AI167" s="4"/>
      <c r="AJ167" s="4"/>
      <c r="AK167" s="2"/>
      <c r="AL167" s="178" t="s">
        <v>1690</v>
      </c>
      <c r="AM167" s="283"/>
      <c r="AN167" s="283"/>
      <c r="AO167" s="283"/>
      <c r="AP167" s="6" t="s">
        <v>388</v>
      </c>
    </row>
    <row r="168" spans="1:42" s="480" customFormat="1" ht="11.25" customHeight="1">
      <c r="A168" s="16" t="s">
        <v>2079</v>
      </c>
      <c r="B168" s="1" t="s">
        <v>2078</v>
      </c>
      <c r="C168" s="1" t="s">
        <v>2077</v>
      </c>
      <c r="D168" s="1" t="s">
        <v>387</v>
      </c>
      <c r="E168" s="1" t="s">
        <v>1869</v>
      </c>
      <c r="F168" s="1"/>
      <c r="G168" s="83">
        <v>1</v>
      </c>
      <c r="H168" s="6"/>
      <c r="I168" s="6"/>
      <c r="J168" s="6"/>
      <c r="K168" s="6"/>
      <c r="L168" s="6"/>
      <c r="M168" s="6"/>
      <c r="N168" s="6"/>
      <c r="O168" s="6"/>
      <c r="P168" s="6"/>
      <c r="Q168" s="6"/>
      <c r="R168" s="6"/>
      <c r="S168" s="6"/>
      <c r="T168" s="6"/>
      <c r="U168" s="6"/>
      <c r="V168" s="6"/>
      <c r="W168" s="6"/>
      <c r="X168" s="6"/>
      <c r="Y168" s="6"/>
      <c r="Z168" s="6"/>
      <c r="AA168" s="6"/>
      <c r="AB168" s="151"/>
      <c r="AC168" s="151"/>
      <c r="AD168" s="12"/>
      <c r="AE168" s="251">
        <v>2</v>
      </c>
      <c r="AF168" s="5" t="s">
        <v>394</v>
      </c>
      <c r="AG168" s="4"/>
      <c r="AH168" s="1"/>
      <c r="AI168" s="143"/>
      <c r="AJ168" s="4"/>
      <c r="AK168" s="2" t="s">
        <v>2138</v>
      </c>
      <c r="AL168" s="179" t="s">
        <v>1691</v>
      </c>
      <c r="AM168" s="281"/>
      <c r="AN168" s="281"/>
      <c r="AO168" s="281"/>
      <c r="AP168" s="281"/>
    </row>
    <row r="169" spans="1:42" s="480" customFormat="1" ht="11.25" customHeight="1">
      <c r="A169" s="144" t="s">
        <v>687</v>
      </c>
      <c r="B169" s="2" t="s">
        <v>685</v>
      </c>
      <c r="C169" s="2" t="s">
        <v>686</v>
      </c>
      <c r="D169" s="2" t="s">
        <v>688</v>
      </c>
      <c r="E169" s="34" t="s">
        <v>625</v>
      </c>
      <c r="F169" s="34"/>
      <c r="G169" s="83">
        <v>1</v>
      </c>
      <c r="H169" s="6"/>
      <c r="I169" s="6"/>
      <c r="J169" s="6"/>
      <c r="K169" s="6"/>
      <c r="L169" s="6"/>
      <c r="M169" s="6"/>
      <c r="N169" s="6"/>
      <c r="O169" s="6" t="s">
        <v>388</v>
      </c>
      <c r="P169" s="6"/>
      <c r="Q169" s="6"/>
      <c r="R169" s="6"/>
      <c r="S169" s="6"/>
      <c r="T169" s="6"/>
      <c r="U169" s="6"/>
      <c r="V169" s="6"/>
      <c r="W169" s="6"/>
      <c r="X169" s="6"/>
      <c r="Y169" s="6"/>
      <c r="Z169" s="6"/>
      <c r="AA169" s="6"/>
      <c r="AB169" s="6"/>
      <c r="AC169" s="12"/>
      <c r="AD169" s="12" t="s">
        <v>388</v>
      </c>
      <c r="AE169" s="83" t="s">
        <v>648</v>
      </c>
      <c r="AF169" s="6" t="s">
        <v>394</v>
      </c>
      <c r="AG169" s="34" t="s">
        <v>689</v>
      </c>
      <c r="AH169" s="2"/>
      <c r="AI169" s="34"/>
      <c r="AJ169" s="34"/>
      <c r="AK169" s="2"/>
      <c r="AL169" s="179" t="s">
        <v>1699</v>
      </c>
      <c r="AM169" s="6" t="s">
        <v>388</v>
      </c>
      <c r="AN169" s="6" t="s">
        <v>388</v>
      </c>
      <c r="AO169" s="283"/>
      <c r="AP169" s="283"/>
    </row>
    <row r="170" spans="1:42" s="181" customFormat="1" ht="11.25" customHeight="1">
      <c r="A170" s="144" t="s">
        <v>2075</v>
      </c>
      <c r="B170" s="2" t="s">
        <v>451</v>
      </c>
      <c r="C170" s="2" t="s">
        <v>452</v>
      </c>
      <c r="D170" s="34" t="s">
        <v>387</v>
      </c>
      <c r="E170" s="34" t="s">
        <v>626</v>
      </c>
      <c r="F170" s="34"/>
      <c r="G170" s="83">
        <v>1</v>
      </c>
      <c r="H170" s="6"/>
      <c r="I170" s="6"/>
      <c r="J170" s="6"/>
      <c r="K170" s="6"/>
      <c r="L170" s="6"/>
      <c r="M170" s="6"/>
      <c r="N170" s="6"/>
      <c r="O170" s="6"/>
      <c r="P170" s="6"/>
      <c r="Q170" s="6"/>
      <c r="R170" s="6"/>
      <c r="S170" s="6"/>
      <c r="T170" s="6"/>
      <c r="U170" s="6"/>
      <c r="V170" s="6"/>
      <c r="W170" s="6"/>
      <c r="X170" s="6"/>
      <c r="Y170" s="6"/>
      <c r="Z170" s="6"/>
      <c r="AA170" s="6"/>
      <c r="AB170" s="6"/>
      <c r="AC170" s="6"/>
      <c r="AD170" s="6"/>
      <c r="AE170" s="83">
        <v>4</v>
      </c>
      <c r="AF170" s="5" t="s">
        <v>394</v>
      </c>
      <c r="AG170" s="4" t="s">
        <v>616</v>
      </c>
      <c r="AH170" s="2"/>
      <c r="AI170" s="34"/>
      <c r="AJ170" s="34"/>
      <c r="AK170" s="2"/>
      <c r="AL170" s="179" t="s">
        <v>1691</v>
      </c>
      <c r="AM170" s="283"/>
      <c r="AN170" s="283"/>
      <c r="AO170" s="283"/>
      <c r="AP170" s="283"/>
    </row>
    <row r="171" spans="1:42" s="480" customFormat="1" ht="11.25" customHeight="1">
      <c r="A171" s="144" t="s">
        <v>2075</v>
      </c>
      <c r="B171" s="2" t="s">
        <v>453</v>
      </c>
      <c r="C171" s="2" t="s">
        <v>454</v>
      </c>
      <c r="D171" s="34" t="s">
        <v>387</v>
      </c>
      <c r="E171" s="34" t="s">
        <v>626</v>
      </c>
      <c r="F171" s="34"/>
      <c r="G171" s="83">
        <v>1</v>
      </c>
      <c r="H171" s="6"/>
      <c r="I171" s="6" t="s">
        <v>388</v>
      </c>
      <c r="J171" s="6"/>
      <c r="K171" s="6"/>
      <c r="L171" s="6"/>
      <c r="M171" s="6"/>
      <c r="N171" s="6"/>
      <c r="O171" s="6"/>
      <c r="P171" s="6"/>
      <c r="Q171" s="6"/>
      <c r="R171" s="6"/>
      <c r="S171" s="6"/>
      <c r="T171" s="6"/>
      <c r="U171" s="6"/>
      <c r="V171" s="6"/>
      <c r="W171" s="6"/>
      <c r="X171" s="6"/>
      <c r="Y171" s="6"/>
      <c r="Z171" s="6"/>
      <c r="AA171" s="6"/>
      <c r="AB171" s="6"/>
      <c r="AC171" s="6"/>
      <c r="AD171" s="6"/>
      <c r="AE171" s="83">
        <v>4</v>
      </c>
      <c r="AF171" s="5" t="s">
        <v>394</v>
      </c>
      <c r="AG171" s="4" t="s">
        <v>2074</v>
      </c>
      <c r="AH171" s="2"/>
      <c r="AI171" s="34"/>
      <c r="AJ171" s="34"/>
      <c r="AK171" s="2"/>
      <c r="AL171" s="179" t="s">
        <v>1691</v>
      </c>
      <c r="AM171" s="283"/>
      <c r="AN171" s="283"/>
      <c r="AO171" s="283"/>
      <c r="AP171" s="283"/>
    </row>
    <row r="172" spans="1:42" s="480" customFormat="1" ht="11.25" customHeight="1">
      <c r="A172" s="16" t="s">
        <v>1250</v>
      </c>
      <c r="B172" s="1" t="s">
        <v>1252</v>
      </c>
      <c r="C172" s="1" t="s">
        <v>1251</v>
      </c>
      <c r="D172" s="1" t="s">
        <v>739</v>
      </c>
      <c r="E172" s="1" t="s">
        <v>625</v>
      </c>
      <c r="F172" s="1"/>
      <c r="G172" s="83">
        <v>1</v>
      </c>
      <c r="H172" s="6"/>
      <c r="I172" s="6"/>
      <c r="J172" s="6"/>
      <c r="K172" s="6"/>
      <c r="L172" s="6"/>
      <c r="M172" s="6" t="s">
        <v>388</v>
      </c>
      <c r="N172" s="6"/>
      <c r="O172" s="6"/>
      <c r="P172" s="6"/>
      <c r="Q172" s="6"/>
      <c r="R172" s="6"/>
      <c r="S172" s="6"/>
      <c r="T172" s="6"/>
      <c r="U172" s="6" t="s">
        <v>388</v>
      </c>
      <c r="V172" s="6"/>
      <c r="W172" s="6"/>
      <c r="X172" s="6"/>
      <c r="Y172" s="6"/>
      <c r="Z172" s="6"/>
      <c r="AA172" s="6"/>
      <c r="AB172" s="151"/>
      <c r="AC172" s="151"/>
      <c r="AD172" s="12"/>
      <c r="AE172" s="251" t="s">
        <v>648</v>
      </c>
      <c r="AF172" s="5" t="s">
        <v>389</v>
      </c>
      <c r="AG172" s="4" t="s">
        <v>1253</v>
      </c>
      <c r="AH172" s="1"/>
      <c r="AI172" s="143" t="s">
        <v>1254</v>
      </c>
      <c r="AJ172" s="4"/>
      <c r="AK172" s="1"/>
      <c r="AL172" s="179" t="s">
        <v>1700</v>
      </c>
      <c r="AM172" s="281"/>
      <c r="AN172" s="5" t="s">
        <v>388</v>
      </c>
      <c r="AO172" s="281"/>
      <c r="AP172" s="281"/>
    </row>
    <row r="173" spans="1:42" s="480" customFormat="1" ht="11.25" customHeight="1">
      <c r="A173" s="144" t="s">
        <v>851</v>
      </c>
      <c r="B173" s="2" t="s">
        <v>849</v>
      </c>
      <c r="C173" s="2" t="s">
        <v>850</v>
      </c>
      <c r="D173" s="34" t="s">
        <v>739</v>
      </c>
      <c r="E173" s="34" t="s">
        <v>625</v>
      </c>
      <c r="F173" s="34"/>
      <c r="G173" s="83">
        <v>1</v>
      </c>
      <c r="H173" s="6"/>
      <c r="I173" s="6"/>
      <c r="J173" s="6"/>
      <c r="K173" s="6"/>
      <c r="L173" s="6"/>
      <c r="M173" s="6"/>
      <c r="N173" s="6" t="s">
        <v>388</v>
      </c>
      <c r="O173" s="6"/>
      <c r="P173" s="6"/>
      <c r="Q173" s="6"/>
      <c r="R173" s="6"/>
      <c r="S173" s="6"/>
      <c r="T173" s="6"/>
      <c r="U173" s="6" t="s">
        <v>388</v>
      </c>
      <c r="V173" s="6"/>
      <c r="W173" s="6"/>
      <c r="X173" s="6"/>
      <c r="Y173" s="6"/>
      <c r="Z173" s="6"/>
      <c r="AA173" s="6"/>
      <c r="AB173" s="6"/>
      <c r="AC173" s="12"/>
      <c r="AD173" s="12" t="s">
        <v>388</v>
      </c>
      <c r="AE173" s="83" t="s">
        <v>648</v>
      </c>
      <c r="AF173" s="6" t="s">
        <v>394</v>
      </c>
      <c r="AG173" s="34" t="s">
        <v>852</v>
      </c>
      <c r="AH173" s="2"/>
      <c r="AI173" s="34"/>
      <c r="AJ173" s="34" t="s">
        <v>832</v>
      </c>
      <c r="AK173" s="2"/>
      <c r="AL173" s="178" t="s">
        <v>476</v>
      </c>
      <c r="AM173" s="283"/>
      <c r="AN173" s="6" t="s">
        <v>388</v>
      </c>
      <c r="AO173" s="283"/>
      <c r="AP173" s="283"/>
    </row>
    <row r="174" spans="1:42" s="181" customFormat="1" ht="11.25" customHeight="1">
      <c r="A174" s="144" t="s">
        <v>2089</v>
      </c>
      <c r="B174" s="1" t="s">
        <v>574</v>
      </c>
      <c r="C174" s="1" t="s">
        <v>575</v>
      </c>
      <c r="D174" s="4" t="s">
        <v>387</v>
      </c>
      <c r="E174" s="4" t="s">
        <v>626</v>
      </c>
      <c r="F174" s="4"/>
      <c r="G174" s="83">
        <v>1</v>
      </c>
      <c r="H174" s="6"/>
      <c r="I174" s="6" t="s">
        <v>388</v>
      </c>
      <c r="J174" s="6"/>
      <c r="K174" s="6"/>
      <c r="L174" s="6"/>
      <c r="M174" s="6"/>
      <c r="N174" s="6"/>
      <c r="O174" s="6"/>
      <c r="P174" s="6"/>
      <c r="Q174" s="6" t="s">
        <v>388</v>
      </c>
      <c r="R174" s="6"/>
      <c r="S174" s="6"/>
      <c r="T174" s="6"/>
      <c r="U174" s="6"/>
      <c r="V174" s="6"/>
      <c r="W174" s="6"/>
      <c r="X174" s="6"/>
      <c r="Y174" s="6"/>
      <c r="Z174" s="6"/>
      <c r="AA174" s="6"/>
      <c r="AB174" s="6"/>
      <c r="AC174" s="12"/>
      <c r="AD174" s="12"/>
      <c r="AE174" s="83">
        <v>2</v>
      </c>
      <c r="AF174" s="5" t="s">
        <v>394</v>
      </c>
      <c r="AG174" s="4" t="s">
        <v>576</v>
      </c>
      <c r="AH174" s="2"/>
      <c r="AI174" s="34"/>
      <c r="AJ174" s="4"/>
      <c r="AK174" s="2"/>
      <c r="AL174" s="179" t="s">
        <v>1691</v>
      </c>
      <c r="AM174" s="283"/>
      <c r="AN174" s="283"/>
      <c r="AO174" s="283"/>
      <c r="AP174" s="283"/>
    </row>
    <row r="175" spans="1:42" s="480" customFormat="1" ht="11.25" customHeight="1">
      <c r="A175" s="17" t="s">
        <v>2042</v>
      </c>
      <c r="B175" s="1" t="s">
        <v>2041</v>
      </c>
      <c r="C175" s="1" t="s">
        <v>2040</v>
      </c>
      <c r="D175" s="4" t="s">
        <v>739</v>
      </c>
      <c r="E175" s="4" t="s">
        <v>1869</v>
      </c>
      <c r="F175" s="4"/>
      <c r="G175" s="83">
        <v>1</v>
      </c>
      <c r="H175" s="6"/>
      <c r="I175" s="6"/>
      <c r="J175" s="6"/>
      <c r="K175" s="6"/>
      <c r="L175" s="6"/>
      <c r="M175" s="6"/>
      <c r="N175" s="6"/>
      <c r="O175" s="6"/>
      <c r="P175" s="6"/>
      <c r="Q175" s="6"/>
      <c r="R175" s="6"/>
      <c r="S175" s="6"/>
      <c r="T175" s="6"/>
      <c r="U175" s="6" t="s">
        <v>388</v>
      </c>
      <c r="V175" s="6"/>
      <c r="W175" s="6"/>
      <c r="X175" s="6"/>
      <c r="Y175" s="6" t="s">
        <v>388</v>
      </c>
      <c r="Z175" s="6" t="s">
        <v>388</v>
      </c>
      <c r="AA175" s="6"/>
      <c r="AB175" s="12"/>
      <c r="AC175" s="12"/>
      <c r="AD175" s="12"/>
      <c r="AE175" s="251">
        <v>2</v>
      </c>
      <c r="AF175" s="5" t="s">
        <v>389</v>
      </c>
      <c r="AG175" s="4" t="s">
        <v>2396</v>
      </c>
      <c r="AH175" s="2"/>
      <c r="AI175" s="252" t="s">
        <v>2043</v>
      </c>
      <c r="AJ175" s="4"/>
      <c r="AK175" s="2"/>
      <c r="AL175" s="179" t="s">
        <v>2044</v>
      </c>
      <c r="AM175" s="281"/>
      <c r="AN175" s="5" t="s">
        <v>388</v>
      </c>
      <c r="AO175" s="281"/>
      <c r="AP175" s="281"/>
    </row>
    <row r="176" spans="1:42" s="480" customFormat="1" ht="11.25" customHeight="1">
      <c r="A176" s="144" t="s">
        <v>861</v>
      </c>
      <c r="B176" s="2" t="s">
        <v>860</v>
      </c>
      <c r="C176" s="2" t="s">
        <v>862</v>
      </c>
      <c r="D176" s="34" t="s">
        <v>739</v>
      </c>
      <c r="E176" s="34" t="s">
        <v>625</v>
      </c>
      <c r="F176" s="34"/>
      <c r="G176" s="83">
        <v>1</v>
      </c>
      <c r="H176" s="6"/>
      <c r="I176" s="6"/>
      <c r="J176" s="6" t="s">
        <v>388</v>
      </c>
      <c r="K176" s="6"/>
      <c r="L176" s="6"/>
      <c r="M176" s="6"/>
      <c r="N176" s="6"/>
      <c r="O176" s="6"/>
      <c r="P176" s="6"/>
      <c r="Q176" s="6"/>
      <c r="R176" s="6"/>
      <c r="S176" s="6"/>
      <c r="T176" s="6"/>
      <c r="U176" s="6"/>
      <c r="V176" s="6"/>
      <c r="W176" s="6"/>
      <c r="X176" s="6"/>
      <c r="Y176" s="6"/>
      <c r="Z176" s="6"/>
      <c r="AA176" s="6"/>
      <c r="AB176" s="6"/>
      <c r="AC176" s="12"/>
      <c r="AD176" s="12" t="s">
        <v>388</v>
      </c>
      <c r="AE176" s="83" t="s">
        <v>648</v>
      </c>
      <c r="AF176" s="6" t="s">
        <v>394</v>
      </c>
      <c r="AG176" s="34" t="s">
        <v>863</v>
      </c>
      <c r="AH176" s="2"/>
      <c r="AI176" s="34"/>
      <c r="AJ176" s="34" t="s">
        <v>866</v>
      </c>
      <c r="AK176" s="2" t="s">
        <v>2139</v>
      </c>
      <c r="AL176" s="178" t="s">
        <v>476</v>
      </c>
      <c r="AM176" s="281"/>
      <c r="AN176" s="5" t="s">
        <v>388</v>
      </c>
      <c r="AO176" s="281"/>
      <c r="AP176" s="281"/>
    </row>
    <row r="177" spans="1:42" s="181" customFormat="1" ht="11.25" customHeight="1">
      <c r="A177" s="144" t="s">
        <v>2088</v>
      </c>
      <c r="B177" s="2" t="s">
        <v>563</v>
      </c>
      <c r="C177" s="3" t="s">
        <v>564</v>
      </c>
      <c r="D177" s="13" t="s">
        <v>387</v>
      </c>
      <c r="E177" s="13" t="s">
        <v>626</v>
      </c>
      <c r="F177" s="13"/>
      <c r="G177" s="83">
        <v>1</v>
      </c>
      <c r="H177" s="6"/>
      <c r="I177" s="6"/>
      <c r="J177" s="6"/>
      <c r="K177" s="6"/>
      <c r="L177" s="6" t="s">
        <v>388</v>
      </c>
      <c r="M177" s="6"/>
      <c r="N177" s="6"/>
      <c r="O177" s="6"/>
      <c r="P177" s="6"/>
      <c r="Q177" s="6" t="s">
        <v>388</v>
      </c>
      <c r="R177" s="6"/>
      <c r="S177" s="6"/>
      <c r="T177" s="6"/>
      <c r="U177" s="6"/>
      <c r="V177" s="6"/>
      <c r="W177" s="6"/>
      <c r="X177" s="6"/>
      <c r="Y177" s="6"/>
      <c r="Z177" s="6"/>
      <c r="AA177" s="6"/>
      <c r="AB177" s="6"/>
      <c r="AC177" s="12"/>
      <c r="AD177" s="12"/>
      <c r="AE177" s="83">
        <v>2</v>
      </c>
      <c r="AF177" s="5" t="s">
        <v>394</v>
      </c>
      <c r="AG177" s="4" t="s">
        <v>565</v>
      </c>
      <c r="AH177" s="2"/>
      <c r="AI177" s="4"/>
      <c r="AJ177" s="4"/>
      <c r="AK177" s="2"/>
      <c r="AL177" s="179" t="s">
        <v>1691</v>
      </c>
      <c r="AM177" s="281"/>
      <c r="AN177" s="281"/>
      <c r="AO177" s="5" t="s">
        <v>388</v>
      </c>
      <c r="AP177" s="281"/>
    </row>
    <row r="178" spans="1:42" s="181" customFormat="1" ht="11.25" customHeight="1">
      <c r="A178" s="144" t="s">
        <v>346</v>
      </c>
      <c r="B178" s="1" t="s">
        <v>347</v>
      </c>
      <c r="C178" s="1" t="s">
        <v>348</v>
      </c>
      <c r="D178" s="4" t="s">
        <v>387</v>
      </c>
      <c r="E178" s="4" t="s">
        <v>625</v>
      </c>
      <c r="F178" s="4"/>
      <c r="G178" s="83">
        <v>1</v>
      </c>
      <c r="H178" s="6"/>
      <c r="I178" s="6"/>
      <c r="J178" s="6"/>
      <c r="K178" s="6"/>
      <c r="L178" s="6"/>
      <c r="M178" s="6"/>
      <c r="N178" s="6"/>
      <c r="O178" s="6"/>
      <c r="P178" s="6"/>
      <c r="Q178" s="6"/>
      <c r="R178" s="6"/>
      <c r="S178" s="6"/>
      <c r="T178" s="6" t="s">
        <v>388</v>
      </c>
      <c r="U178" s="6"/>
      <c r="V178" s="6" t="s">
        <v>388</v>
      </c>
      <c r="W178" s="6"/>
      <c r="X178" s="6"/>
      <c r="Y178" s="6" t="s">
        <v>388</v>
      </c>
      <c r="Z178" s="6"/>
      <c r="AA178" s="6"/>
      <c r="AB178" s="6"/>
      <c r="AC178" s="12" t="s">
        <v>388</v>
      </c>
      <c r="AD178" s="12"/>
      <c r="AE178" s="83">
        <v>3</v>
      </c>
      <c r="AF178" s="5" t="s">
        <v>389</v>
      </c>
      <c r="AG178" s="34" t="s">
        <v>1879</v>
      </c>
      <c r="AH178" s="1"/>
      <c r="AI178" s="4"/>
      <c r="AJ178" s="4"/>
      <c r="AK178" s="2"/>
      <c r="AL178" s="178" t="s">
        <v>1690</v>
      </c>
      <c r="AM178" s="281"/>
      <c r="AN178" s="281"/>
      <c r="AO178" s="5" t="s">
        <v>388</v>
      </c>
      <c r="AP178" s="5" t="s">
        <v>388</v>
      </c>
    </row>
    <row r="179" spans="1:42" s="181" customFormat="1" ht="11.25" customHeight="1">
      <c r="A179" s="144" t="s">
        <v>775</v>
      </c>
      <c r="B179" s="2" t="s">
        <v>773</v>
      </c>
      <c r="C179" s="2" t="s">
        <v>774</v>
      </c>
      <c r="D179" s="34" t="s">
        <v>739</v>
      </c>
      <c r="E179" s="34" t="s">
        <v>625</v>
      </c>
      <c r="F179" s="34"/>
      <c r="G179" s="83">
        <v>1</v>
      </c>
      <c r="H179" s="6"/>
      <c r="I179" s="6"/>
      <c r="J179" s="6"/>
      <c r="K179" s="6"/>
      <c r="L179" s="6"/>
      <c r="M179" s="6"/>
      <c r="N179" s="6" t="s">
        <v>388</v>
      </c>
      <c r="O179" s="6"/>
      <c r="P179" s="6"/>
      <c r="Q179" s="6"/>
      <c r="R179" s="6"/>
      <c r="S179" s="6"/>
      <c r="T179" s="6"/>
      <c r="U179" s="6"/>
      <c r="V179" s="6"/>
      <c r="W179" s="6"/>
      <c r="X179" s="6"/>
      <c r="Y179" s="6"/>
      <c r="Z179" s="6"/>
      <c r="AA179" s="6"/>
      <c r="AB179" s="6"/>
      <c r="AC179" s="12" t="s">
        <v>388</v>
      </c>
      <c r="AD179" s="12" t="s">
        <v>388</v>
      </c>
      <c r="AE179" s="83">
        <v>3</v>
      </c>
      <c r="AF179" s="6" t="s">
        <v>394</v>
      </c>
      <c r="AG179" s="34" t="s">
        <v>776</v>
      </c>
      <c r="AH179" s="2"/>
      <c r="AI179" s="34"/>
      <c r="AJ179" s="34" t="s">
        <v>763</v>
      </c>
      <c r="AK179" s="2"/>
      <c r="AL179" s="178" t="s">
        <v>476</v>
      </c>
      <c r="AM179" s="6" t="s">
        <v>388</v>
      </c>
      <c r="AN179" s="283"/>
      <c r="AO179" s="283"/>
      <c r="AP179" s="283"/>
    </row>
    <row r="180" spans="1:42" s="181" customFormat="1" ht="11.25" customHeight="1">
      <c r="A180" s="16" t="s">
        <v>2070</v>
      </c>
      <c r="B180" s="1" t="s">
        <v>2071</v>
      </c>
      <c r="C180" s="1" t="s">
        <v>2069</v>
      </c>
      <c r="D180" s="1" t="s">
        <v>387</v>
      </c>
      <c r="E180" s="34" t="s">
        <v>1869</v>
      </c>
      <c r="F180" s="1"/>
      <c r="G180" s="83">
        <v>1</v>
      </c>
      <c r="H180" s="6"/>
      <c r="I180" s="6"/>
      <c r="J180" s="6" t="s">
        <v>388</v>
      </c>
      <c r="K180" s="6"/>
      <c r="L180" s="6"/>
      <c r="M180" s="6"/>
      <c r="N180" s="6"/>
      <c r="O180" s="6"/>
      <c r="P180" s="6"/>
      <c r="Q180" s="6"/>
      <c r="R180" s="6"/>
      <c r="S180" s="6"/>
      <c r="T180" s="6"/>
      <c r="U180" s="6"/>
      <c r="V180" s="6"/>
      <c r="W180" s="6"/>
      <c r="X180" s="6"/>
      <c r="Y180" s="6"/>
      <c r="Z180" s="6"/>
      <c r="AA180" s="6"/>
      <c r="AB180" s="151"/>
      <c r="AC180" s="151"/>
      <c r="AD180" s="12"/>
      <c r="AE180" s="251">
        <v>4</v>
      </c>
      <c r="AF180" s="5" t="s">
        <v>394</v>
      </c>
      <c r="AG180" s="4" t="s">
        <v>2072</v>
      </c>
      <c r="AH180" s="1"/>
      <c r="AI180" s="143"/>
      <c r="AJ180" s="4" t="s">
        <v>2073</v>
      </c>
      <c r="AK180" s="1"/>
      <c r="AL180" s="179" t="s">
        <v>1691</v>
      </c>
      <c r="AM180" s="5" t="s">
        <v>388</v>
      </c>
      <c r="AN180" s="281"/>
      <c r="AO180" s="281"/>
      <c r="AP180" s="281"/>
    </row>
    <row r="181" spans="1:42" s="480" customFormat="1" ht="11.25" customHeight="1">
      <c r="A181" s="144" t="s">
        <v>1670</v>
      </c>
      <c r="B181" s="2" t="s">
        <v>408</v>
      </c>
      <c r="C181" s="2" t="s">
        <v>409</v>
      </c>
      <c r="D181" s="34" t="s">
        <v>387</v>
      </c>
      <c r="E181" s="34" t="s">
        <v>626</v>
      </c>
      <c r="F181" s="34"/>
      <c r="G181" s="83">
        <v>1</v>
      </c>
      <c r="H181" s="6"/>
      <c r="I181" s="6" t="s">
        <v>388</v>
      </c>
      <c r="J181" s="6"/>
      <c r="K181" s="6"/>
      <c r="L181" s="6"/>
      <c r="M181" s="6"/>
      <c r="N181" s="6"/>
      <c r="O181" s="6"/>
      <c r="P181" s="6"/>
      <c r="Q181" s="6"/>
      <c r="R181" s="6"/>
      <c r="S181" s="6"/>
      <c r="T181" s="6"/>
      <c r="U181" s="6"/>
      <c r="V181" s="6"/>
      <c r="W181" s="6"/>
      <c r="X181" s="6"/>
      <c r="Y181" s="6"/>
      <c r="Z181" s="6"/>
      <c r="AA181" s="6"/>
      <c r="AB181" s="6"/>
      <c r="AC181" s="12"/>
      <c r="AD181" s="12"/>
      <c r="AE181" s="83">
        <v>2</v>
      </c>
      <c r="AF181" s="6" t="s">
        <v>389</v>
      </c>
      <c r="AG181" s="34" t="s">
        <v>1878</v>
      </c>
      <c r="AH181" s="2"/>
      <c r="AI181" s="34"/>
      <c r="AJ181" s="34"/>
      <c r="AK181" s="2" t="s">
        <v>2129</v>
      </c>
      <c r="AL181" s="178" t="s">
        <v>1691</v>
      </c>
      <c r="AM181" s="281"/>
      <c r="AN181" s="281"/>
      <c r="AO181" s="281"/>
      <c r="AP181" s="281"/>
    </row>
    <row r="182" spans="1:42" s="181" customFormat="1" ht="11.25" customHeight="1">
      <c r="A182" s="17" t="s">
        <v>349</v>
      </c>
      <c r="B182" s="2" t="s">
        <v>1233</v>
      </c>
      <c r="C182" s="2" t="s">
        <v>1232</v>
      </c>
      <c r="D182" s="2" t="s">
        <v>739</v>
      </c>
      <c r="E182" s="2" t="s">
        <v>625</v>
      </c>
      <c r="F182" s="2"/>
      <c r="G182" s="83">
        <v>1</v>
      </c>
      <c r="H182" s="6"/>
      <c r="I182" s="6"/>
      <c r="J182" s="6"/>
      <c r="K182" s="6"/>
      <c r="L182" s="6" t="s">
        <v>388</v>
      </c>
      <c r="M182" s="6"/>
      <c r="N182" s="6"/>
      <c r="O182" s="6" t="s">
        <v>388</v>
      </c>
      <c r="P182" s="6"/>
      <c r="Q182" s="6"/>
      <c r="R182" s="6"/>
      <c r="S182" s="6"/>
      <c r="T182" s="6"/>
      <c r="U182" s="6"/>
      <c r="V182" s="6"/>
      <c r="W182" s="6"/>
      <c r="X182" s="6"/>
      <c r="Y182" s="6"/>
      <c r="Z182" s="6"/>
      <c r="AA182" s="6"/>
      <c r="AB182" s="151"/>
      <c r="AC182" s="151"/>
      <c r="AD182" s="12"/>
      <c r="AE182" s="251" t="s">
        <v>648</v>
      </c>
      <c r="AF182" s="6" t="s">
        <v>394</v>
      </c>
      <c r="AG182" s="34" t="s">
        <v>1234</v>
      </c>
      <c r="AH182" s="2"/>
      <c r="AI182" s="252" t="s">
        <v>1235</v>
      </c>
      <c r="AJ182" s="34"/>
      <c r="AK182" s="2"/>
      <c r="AL182" s="178" t="s">
        <v>1700</v>
      </c>
      <c r="AM182" s="281"/>
      <c r="AN182" s="5" t="s">
        <v>388</v>
      </c>
      <c r="AO182" s="5" t="s">
        <v>388</v>
      </c>
      <c r="AP182" s="281"/>
    </row>
    <row r="183" spans="1:42" s="181" customFormat="1" ht="11.25" customHeight="1">
      <c r="A183" s="144" t="s">
        <v>349</v>
      </c>
      <c r="B183" s="2" t="s">
        <v>350</v>
      </c>
      <c r="C183" s="2" t="s">
        <v>351</v>
      </c>
      <c r="D183" s="4" t="s">
        <v>387</v>
      </c>
      <c r="E183" s="4" t="s">
        <v>625</v>
      </c>
      <c r="F183" s="4"/>
      <c r="G183" s="83">
        <v>1</v>
      </c>
      <c r="H183" s="6"/>
      <c r="I183" s="6"/>
      <c r="J183" s="6"/>
      <c r="K183" s="6"/>
      <c r="L183" s="6" t="s">
        <v>388</v>
      </c>
      <c r="M183" s="6" t="s">
        <v>388</v>
      </c>
      <c r="N183" s="6"/>
      <c r="O183" s="6"/>
      <c r="P183" s="6"/>
      <c r="Q183" s="6"/>
      <c r="R183" s="6"/>
      <c r="S183" s="6"/>
      <c r="T183" s="6" t="s">
        <v>388</v>
      </c>
      <c r="U183" s="6"/>
      <c r="V183" s="6"/>
      <c r="W183" s="6"/>
      <c r="X183" s="6"/>
      <c r="Y183" s="6"/>
      <c r="Z183" s="6"/>
      <c r="AA183" s="6" t="s">
        <v>388</v>
      </c>
      <c r="AB183" s="6"/>
      <c r="AC183" s="12"/>
      <c r="AD183" s="12"/>
      <c r="AE183" s="83">
        <v>3</v>
      </c>
      <c r="AF183" s="5" t="s">
        <v>389</v>
      </c>
      <c r="AG183" s="34" t="s">
        <v>1877</v>
      </c>
      <c r="AH183" s="1"/>
      <c r="AI183" s="4"/>
      <c r="AJ183" s="4"/>
      <c r="AK183" s="2" t="s">
        <v>2140</v>
      </c>
      <c r="AL183" s="178" t="s">
        <v>1690</v>
      </c>
      <c r="AM183" s="281"/>
      <c r="AN183" s="5" t="s">
        <v>388</v>
      </c>
      <c r="AO183" s="5" t="s">
        <v>388</v>
      </c>
      <c r="AP183" s="281"/>
    </row>
    <row r="184" spans="1:42" s="181" customFormat="1" ht="11.25" customHeight="1">
      <c r="A184" s="144" t="s">
        <v>1656</v>
      </c>
      <c r="B184" s="2" t="s">
        <v>1657</v>
      </c>
      <c r="C184" s="2" t="s">
        <v>766</v>
      </c>
      <c r="D184" s="34" t="s">
        <v>739</v>
      </c>
      <c r="E184" s="34" t="s">
        <v>625</v>
      </c>
      <c r="F184" s="34"/>
      <c r="G184" s="83">
        <v>1</v>
      </c>
      <c r="H184" s="6"/>
      <c r="I184" s="6"/>
      <c r="J184" s="6"/>
      <c r="K184" s="6"/>
      <c r="L184" s="6"/>
      <c r="M184" s="6"/>
      <c r="N184" s="6" t="s">
        <v>388</v>
      </c>
      <c r="O184" s="6"/>
      <c r="P184" s="6"/>
      <c r="Q184" s="6"/>
      <c r="R184" s="6"/>
      <c r="S184" s="6"/>
      <c r="T184" s="6"/>
      <c r="U184" s="6" t="s">
        <v>388</v>
      </c>
      <c r="V184" s="6"/>
      <c r="W184" s="6"/>
      <c r="X184" s="6"/>
      <c r="Y184" s="6"/>
      <c r="Z184" s="6"/>
      <c r="AA184" s="6"/>
      <c r="AB184" s="6"/>
      <c r="AC184" s="6"/>
      <c r="AD184" s="6"/>
      <c r="AE184" s="83">
        <v>3</v>
      </c>
      <c r="AF184" s="6" t="s">
        <v>641</v>
      </c>
      <c r="AG184" s="34" t="s">
        <v>767</v>
      </c>
      <c r="AH184" s="2"/>
      <c r="AI184" s="34"/>
      <c r="AJ184" s="34" t="s">
        <v>763</v>
      </c>
      <c r="AK184" s="2"/>
      <c r="AL184" s="178" t="s">
        <v>476</v>
      </c>
      <c r="AM184" s="5" t="s">
        <v>388</v>
      </c>
      <c r="AN184" s="281"/>
      <c r="AO184" s="281"/>
      <c r="AP184" s="281"/>
    </row>
    <row r="185" spans="1:42" s="181" customFormat="1" ht="11.25" customHeight="1">
      <c r="A185" s="16" t="s">
        <v>1405</v>
      </c>
      <c r="B185" s="2" t="s">
        <v>1407</v>
      </c>
      <c r="C185" s="3" t="s">
        <v>1406</v>
      </c>
      <c r="D185" s="13" t="s">
        <v>739</v>
      </c>
      <c r="E185" s="1" t="s">
        <v>625</v>
      </c>
      <c r="F185" s="13"/>
      <c r="G185" s="83">
        <v>1</v>
      </c>
      <c r="H185" s="6"/>
      <c r="I185" s="6"/>
      <c r="J185" s="6"/>
      <c r="K185" s="6" t="s">
        <v>388</v>
      </c>
      <c r="L185" s="6"/>
      <c r="M185" s="6"/>
      <c r="N185" s="6"/>
      <c r="O185" s="6"/>
      <c r="P185" s="6"/>
      <c r="Q185" s="6"/>
      <c r="R185" s="6"/>
      <c r="S185" s="6"/>
      <c r="T185" s="6"/>
      <c r="U185" s="6"/>
      <c r="V185" s="6"/>
      <c r="W185" s="6"/>
      <c r="X185" s="6"/>
      <c r="Y185" s="6"/>
      <c r="Z185" s="6"/>
      <c r="AA185" s="6"/>
      <c r="AB185" s="6"/>
      <c r="AC185" s="12"/>
      <c r="AD185" s="12" t="s">
        <v>388</v>
      </c>
      <c r="AE185" s="83" t="s">
        <v>648</v>
      </c>
      <c r="AF185" s="5" t="s">
        <v>394</v>
      </c>
      <c r="AG185" s="4" t="s">
        <v>1408</v>
      </c>
      <c r="AH185" s="1"/>
      <c r="AI185" s="4"/>
      <c r="AJ185" s="4" t="s">
        <v>1409</v>
      </c>
      <c r="AK185" s="2"/>
      <c r="AL185" s="178" t="s">
        <v>1696</v>
      </c>
      <c r="AM185" s="283"/>
      <c r="AN185" s="283"/>
      <c r="AO185" s="283"/>
      <c r="AP185" s="6" t="s">
        <v>388</v>
      </c>
    </row>
    <row r="186" spans="1:42" s="181" customFormat="1" ht="11.25" customHeight="1">
      <c r="A186" s="17" t="s">
        <v>2103</v>
      </c>
      <c r="B186" s="2" t="s">
        <v>2104</v>
      </c>
      <c r="C186" s="2" t="s">
        <v>2102</v>
      </c>
      <c r="D186" s="4" t="s">
        <v>1150</v>
      </c>
      <c r="E186" s="4" t="s">
        <v>1869</v>
      </c>
      <c r="F186" s="4"/>
      <c r="G186" s="83">
        <v>1</v>
      </c>
      <c r="H186" s="6"/>
      <c r="I186" s="6"/>
      <c r="J186" s="6"/>
      <c r="K186" s="6" t="s">
        <v>388</v>
      </c>
      <c r="L186" s="6"/>
      <c r="M186" s="6"/>
      <c r="N186" s="6"/>
      <c r="O186" s="6"/>
      <c r="P186" s="6"/>
      <c r="Q186" s="6"/>
      <c r="R186" s="6"/>
      <c r="S186" s="6"/>
      <c r="T186" s="6"/>
      <c r="U186" s="6"/>
      <c r="V186" s="6"/>
      <c r="W186" s="6"/>
      <c r="X186" s="6"/>
      <c r="Y186" s="6"/>
      <c r="Z186" s="6"/>
      <c r="AA186" s="6"/>
      <c r="AB186" s="12"/>
      <c r="AC186" s="12"/>
      <c r="AD186" s="12"/>
      <c r="AE186" s="251">
        <v>3</v>
      </c>
      <c r="AF186" s="5" t="s">
        <v>389</v>
      </c>
      <c r="AG186" s="4" t="s">
        <v>2105</v>
      </c>
      <c r="AH186" s="1"/>
      <c r="AI186" s="143"/>
      <c r="AJ186" s="4" t="s">
        <v>2106</v>
      </c>
      <c r="AK186" s="2"/>
      <c r="AL186" s="178" t="s">
        <v>1696</v>
      </c>
      <c r="AM186" s="283"/>
      <c r="AN186" s="283"/>
      <c r="AO186" s="283"/>
      <c r="AP186" s="6" t="s">
        <v>388</v>
      </c>
    </row>
    <row r="187" spans="1:42" s="480" customFormat="1" ht="11.25" customHeight="1">
      <c r="A187" s="16" t="s">
        <v>1091</v>
      </c>
      <c r="B187" s="1" t="s">
        <v>1093</v>
      </c>
      <c r="C187" s="1" t="s">
        <v>1092</v>
      </c>
      <c r="D187" s="1" t="s">
        <v>739</v>
      </c>
      <c r="E187" s="34" t="s">
        <v>625</v>
      </c>
      <c r="F187" s="1"/>
      <c r="G187" s="83">
        <v>1</v>
      </c>
      <c r="H187" s="6"/>
      <c r="I187" s="6"/>
      <c r="J187" s="6"/>
      <c r="K187" s="6" t="s">
        <v>388</v>
      </c>
      <c r="L187" s="6"/>
      <c r="M187" s="6"/>
      <c r="N187" s="6"/>
      <c r="O187" s="6"/>
      <c r="P187" s="6"/>
      <c r="Q187" s="6"/>
      <c r="R187" s="6" t="s">
        <v>388</v>
      </c>
      <c r="S187" s="6"/>
      <c r="T187" s="6" t="s">
        <v>388</v>
      </c>
      <c r="U187" s="6"/>
      <c r="V187" s="6" t="s">
        <v>388</v>
      </c>
      <c r="W187" s="6" t="s">
        <v>388</v>
      </c>
      <c r="X187" s="6" t="s">
        <v>388</v>
      </c>
      <c r="Y187" s="6" t="s">
        <v>388</v>
      </c>
      <c r="Z187" s="6" t="s">
        <v>388</v>
      </c>
      <c r="AA187" s="6"/>
      <c r="AB187" s="151"/>
      <c r="AC187" s="151"/>
      <c r="AD187" s="12"/>
      <c r="AE187" s="251" t="s">
        <v>648</v>
      </c>
      <c r="AF187" s="5" t="s">
        <v>394</v>
      </c>
      <c r="AG187" s="4" t="s">
        <v>1765</v>
      </c>
      <c r="AH187" s="1"/>
      <c r="AI187" s="143"/>
      <c r="AJ187" s="4"/>
      <c r="AK187" s="1"/>
      <c r="AL187" s="179" t="s">
        <v>1698</v>
      </c>
      <c r="AM187" s="281"/>
      <c r="AN187" s="281"/>
      <c r="AO187" s="5" t="s">
        <v>388</v>
      </c>
      <c r="AP187" s="5" t="s">
        <v>388</v>
      </c>
    </row>
    <row r="188" spans="1:42" s="480" customFormat="1" ht="11.25" customHeight="1">
      <c r="A188" s="16" t="s">
        <v>1188</v>
      </c>
      <c r="B188" s="1" t="s">
        <v>1189</v>
      </c>
      <c r="C188" s="1" t="s">
        <v>1187</v>
      </c>
      <c r="D188" s="1" t="s">
        <v>739</v>
      </c>
      <c r="E188" s="1" t="s">
        <v>625</v>
      </c>
      <c r="F188" s="1"/>
      <c r="G188" s="83">
        <v>1</v>
      </c>
      <c r="H188" s="6"/>
      <c r="I188" s="6"/>
      <c r="J188" s="6"/>
      <c r="K188" s="6"/>
      <c r="L188" s="6" t="s">
        <v>388</v>
      </c>
      <c r="M188" s="6" t="s">
        <v>388</v>
      </c>
      <c r="N188" s="6"/>
      <c r="O188" s="6"/>
      <c r="P188" s="6"/>
      <c r="Q188" s="6"/>
      <c r="R188" s="6"/>
      <c r="S188" s="6"/>
      <c r="T188" s="6" t="s">
        <v>388</v>
      </c>
      <c r="U188" s="6" t="s">
        <v>388</v>
      </c>
      <c r="V188" s="6"/>
      <c r="W188" s="6"/>
      <c r="X188" s="6"/>
      <c r="Y188" s="6"/>
      <c r="Z188" s="6"/>
      <c r="AA188" s="6"/>
      <c r="AB188" s="151"/>
      <c r="AC188" s="151"/>
      <c r="AD188" s="12"/>
      <c r="AE188" s="251" t="s">
        <v>648</v>
      </c>
      <c r="AF188" s="5" t="s">
        <v>389</v>
      </c>
      <c r="AG188" s="4" t="s">
        <v>1190</v>
      </c>
      <c r="AH188" s="1"/>
      <c r="AI188" s="143" t="s">
        <v>1191</v>
      </c>
      <c r="AJ188" s="4"/>
      <c r="AK188" s="1"/>
      <c r="AL188" s="179" t="s">
        <v>1698</v>
      </c>
      <c r="AM188" s="281"/>
      <c r="AN188" s="5" t="s">
        <v>388</v>
      </c>
      <c r="AO188" s="281"/>
      <c r="AP188" s="281"/>
    </row>
    <row r="189" spans="1:42" s="181" customFormat="1" ht="11.25" customHeight="1">
      <c r="A189" s="16" t="s">
        <v>1168</v>
      </c>
      <c r="B189" s="1" t="s">
        <v>1167</v>
      </c>
      <c r="C189" s="1" t="s">
        <v>1166</v>
      </c>
      <c r="D189" s="1" t="s">
        <v>739</v>
      </c>
      <c r="E189" s="1" t="s">
        <v>625</v>
      </c>
      <c r="F189" s="1"/>
      <c r="G189" s="83">
        <v>1</v>
      </c>
      <c r="H189" s="6"/>
      <c r="I189" s="6"/>
      <c r="J189" s="6"/>
      <c r="K189" s="6"/>
      <c r="L189" s="6" t="s">
        <v>388</v>
      </c>
      <c r="M189" s="6"/>
      <c r="N189" s="6"/>
      <c r="O189" s="6"/>
      <c r="P189" s="6"/>
      <c r="Q189" s="6"/>
      <c r="R189" s="6"/>
      <c r="S189" s="6"/>
      <c r="T189" s="6"/>
      <c r="U189" s="6"/>
      <c r="V189" s="6"/>
      <c r="W189" s="6"/>
      <c r="X189" s="6"/>
      <c r="Y189" s="6"/>
      <c r="Z189" s="6"/>
      <c r="AA189" s="6"/>
      <c r="AB189" s="151"/>
      <c r="AC189" s="151"/>
      <c r="AD189" s="12"/>
      <c r="AE189" s="251" t="s">
        <v>1170</v>
      </c>
      <c r="AF189" s="5" t="s">
        <v>389</v>
      </c>
      <c r="AG189" s="4" t="s">
        <v>1169</v>
      </c>
      <c r="AH189" s="1"/>
      <c r="AI189" s="143" t="s">
        <v>1171</v>
      </c>
      <c r="AJ189" s="4"/>
      <c r="AK189" s="1"/>
      <c r="AL189" s="179" t="s">
        <v>1698</v>
      </c>
      <c r="AM189" s="283"/>
      <c r="AN189" s="283"/>
      <c r="AO189" s="283"/>
      <c r="AP189" s="283"/>
    </row>
    <row r="190" spans="1:42" s="181" customFormat="1" ht="11.25" customHeight="1">
      <c r="A190" s="16" t="s">
        <v>1982</v>
      </c>
      <c r="B190" s="1" t="s">
        <v>1552</v>
      </c>
      <c r="C190" s="1" t="s">
        <v>1682</v>
      </c>
      <c r="D190" s="1" t="s">
        <v>387</v>
      </c>
      <c r="E190" s="1" t="s">
        <v>625</v>
      </c>
      <c r="F190" s="1"/>
      <c r="G190" s="83">
        <v>1</v>
      </c>
      <c r="H190" s="6"/>
      <c r="I190" s="6"/>
      <c r="J190" s="6"/>
      <c r="K190" s="6"/>
      <c r="L190" s="6"/>
      <c r="M190" s="6" t="s">
        <v>388</v>
      </c>
      <c r="N190" s="6"/>
      <c r="O190" s="6"/>
      <c r="P190" s="6"/>
      <c r="Q190" s="6"/>
      <c r="R190" s="6"/>
      <c r="S190" s="6"/>
      <c r="T190" s="6"/>
      <c r="U190" s="6" t="s">
        <v>388</v>
      </c>
      <c r="V190" s="6"/>
      <c r="W190" s="6"/>
      <c r="X190" s="6"/>
      <c r="Y190" s="6"/>
      <c r="Z190" s="6"/>
      <c r="AA190" s="6"/>
      <c r="AB190" s="151"/>
      <c r="AC190" s="151"/>
      <c r="AD190" s="12"/>
      <c r="AE190" s="251"/>
      <c r="AF190" s="5" t="s">
        <v>394</v>
      </c>
      <c r="AG190" s="4" t="s">
        <v>1554</v>
      </c>
      <c r="AH190" s="1"/>
      <c r="AI190" s="143"/>
      <c r="AJ190" s="4"/>
      <c r="AK190" s="1"/>
      <c r="AL190" s="179" t="s">
        <v>1695</v>
      </c>
      <c r="AM190" s="283"/>
      <c r="AN190" s="6" t="s">
        <v>388</v>
      </c>
      <c r="AO190" s="283"/>
      <c r="AP190" s="283"/>
    </row>
    <row r="191" spans="1:42" s="480" customFormat="1" ht="11.25" customHeight="1">
      <c r="A191" s="16" t="s">
        <v>1854</v>
      </c>
      <c r="B191" s="1" t="s">
        <v>1643</v>
      </c>
      <c r="C191" s="1" t="s">
        <v>1000</v>
      </c>
      <c r="D191" s="1" t="s">
        <v>739</v>
      </c>
      <c r="E191" s="1" t="s">
        <v>625</v>
      </c>
      <c r="F191" s="1"/>
      <c r="G191" s="83">
        <v>1</v>
      </c>
      <c r="H191" s="6"/>
      <c r="I191" s="6"/>
      <c r="J191" s="6"/>
      <c r="K191" s="6"/>
      <c r="L191" s="6" t="s">
        <v>388</v>
      </c>
      <c r="M191" s="6"/>
      <c r="N191" s="6"/>
      <c r="O191" s="6"/>
      <c r="P191" s="6"/>
      <c r="Q191" s="6"/>
      <c r="R191" s="6"/>
      <c r="S191" s="6"/>
      <c r="T191" s="6"/>
      <c r="U191" s="6" t="s">
        <v>388</v>
      </c>
      <c r="V191" s="6"/>
      <c r="W191" s="6"/>
      <c r="X191" s="6"/>
      <c r="Y191" s="6"/>
      <c r="Z191" s="6"/>
      <c r="AA191" s="6"/>
      <c r="AB191" s="151"/>
      <c r="AC191" s="151"/>
      <c r="AD191" s="12"/>
      <c r="AE191" s="251"/>
      <c r="AF191" s="5" t="s">
        <v>389</v>
      </c>
      <c r="AG191" s="34" t="s">
        <v>2397</v>
      </c>
      <c r="AH191" s="1"/>
      <c r="AI191" s="143" t="s">
        <v>1855</v>
      </c>
      <c r="AJ191" s="4"/>
      <c r="AK191" s="1"/>
      <c r="AL191" s="179" t="s">
        <v>1703</v>
      </c>
      <c r="AM191" s="283"/>
      <c r="AN191" s="6" t="s">
        <v>388</v>
      </c>
      <c r="AO191" s="283"/>
      <c r="AP191" s="283"/>
    </row>
    <row r="192" spans="1:42" s="480" customFormat="1" ht="11.25" customHeight="1">
      <c r="A192" s="16" t="s">
        <v>1323</v>
      </c>
      <c r="B192" s="1" t="s">
        <v>1322</v>
      </c>
      <c r="C192" s="1" t="s">
        <v>1321</v>
      </c>
      <c r="D192" s="1" t="s">
        <v>1150</v>
      </c>
      <c r="E192" s="1" t="s">
        <v>625</v>
      </c>
      <c r="F192" s="1"/>
      <c r="G192" s="83">
        <v>1</v>
      </c>
      <c r="H192" s="6"/>
      <c r="I192" s="6"/>
      <c r="J192" s="6"/>
      <c r="K192" s="6" t="s">
        <v>388</v>
      </c>
      <c r="L192" s="6"/>
      <c r="M192" s="6"/>
      <c r="N192" s="6"/>
      <c r="O192" s="6"/>
      <c r="P192" s="6"/>
      <c r="Q192" s="6"/>
      <c r="R192" s="6"/>
      <c r="S192" s="6"/>
      <c r="T192" s="6" t="s">
        <v>388</v>
      </c>
      <c r="U192" s="6"/>
      <c r="V192" s="6"/>
      <c r="W192" s="6"/>
      <c r="X192" s="6"/>
      <c r="Y192" s="6"/>
      <c r="Z192" s="6"/>
      <c r="AA192" s="6" t="s">
        <v>388</v>
      </c>
      <c r="AB192" s="151"/>
      <c r="AC192" s="151"/>
      <c r="AD192" s="12"/>
      <c r="AE192" s="251" t="s">
        <v>648</v>
      </c>
      <c r="AF192" s="5" t="s">
        <v>389</v>
      </c>
      <c r="AG192" s="4" t="s">
        <v>1324</v>
      </c>
      <c r="AH192" s="1"/>
      <c r="AI192" s="143" t="s">
        <v>1325</v>
      </c>
      <c r="AJ192" s="4"/>
      <c r="AK192" s="1"/>
      <c r="AL192" s="179" t="s">
        <v>1694</v>
      </c>
      <c r="AM192" s="281"/>
      <c r="AN192" s="281"/>
      <c r="AO192" s="5" t="s">
        <v>388</v>
      </c>
      <c r="AP192" s="5" t="s">
        <v>388</v>
      </c>
    </row>
    <row r="193" spans="1:50" s="480" customFormat="1" ht="11.25" customHeight="1">
      <c r="A193" s="16" t="s">
        <v>1667</v>
      </c>
      <c r="B193" s="1" t="s">
        <v>1598</v>
      </c>
      <c r="C193" s="1" t="s">
        <v>912</v>
      </c>
      <c r="D193" s="1" t="s">
        <v>901</v>
      </c>
      <c r="E193" s="34" t="s">
        <v>625</v>
      </c>
      <c r="F193" s="1"/>
      <c r="G193" s="83">
        <v>1</v>
      </c>
      <c r="H193" s="6"/>
      <c r="I193" s="6"/>
      <c r="J193" s="6"/>
      <c r="K193" s="6"/>
      <c r="L193" s="6"/>
      <c r="M193" s="6"/>
      <c r="N193" s="6"/>
      <c r="O193" s="6"/>
      <c r="P193" s="6"/>
      <c r="Q193" s="6"/>
      <c r="R193" s="6" t="s">
        <v>388</v>
      </c>
      <c r="S193" s="6"/>
      <c r="T193" s="6"/>
      <c r="U193" s="6"/>
      <c r="V193" s="6"/>
      <c r="W193" s="6"/>
      <c r="X193" s="6"/>
      <c r="Y193" s="6"/>
      <c r="Z193" s="6"/>
      <c r="AA193" s="6"/>
      <c r="AB193" s="151"/>
      <c r="AC193" s="151"/>
      <c r="AD193" s="12"/>
      <c r="AE193" s="251"/>
      <c r="AF193" s="5" t="s">
        <v>394</v>
      </c>
      <c r="AG193" s="34" t="s">
        <v>1766</v>
      </c>
      <c r="AH193" s="1"/>
      <c r="AI193" s="143"/>
      <c r="AJ193" s="4"/>
      <c r="AK193" s="1"/>
      <c r="AL193" s="179" t="s">
        <v>1693</v>
      </c>
      <c r="AM193" s="283"/>
      <c r="AN193" s="283"/>
      <c r="AO193" s="283"/>
      <c r="AP193" s="283"/>
    </row>
    <row r="194" spans="1:50" s="181" customFormat="1" ht="11.25" customHeight="1">
      <c r="A194" s="16" t="s">
        <v>1109</v>
      </c>
      <c r="B194" s="1" t="s">
        <v>1106</v>
      </c>
      <c r="C194" s="1" t="s">
        <v>1107</v>
      </c>
      <c r="D194" s="1" t="s">
        <v>739</v>
      </c>
      <c r="E194" s="1" t="s">
        <v>625</v>
      </c>
      <c r="F194" s="1"/>
      <c r="G194" s="83">
        <v>1</v>
      </c>
      <c r="H194" s="6"/>
      <c r="I194" s="6"/>
      <c r="J194" s="6"/>
      <c r="K194" s="6" t="s">
        <v>388</v>
      </c>
      <c r="L194" s="6"/>
      <c r="M194" s="6"/>
      <c r="N194" s="6"/>
      <c r="O194" s="6"/>
      <c r="P194" s="6"/>
      <c r="Q194" s="6"/>
      <c r="R194" s="6" t="s">
        <v>388</v>
      </c>
      <c r="S194" s="6" t="s">
        <v>388</v>
      </c>
      <c r="T194" s="6" t="s">
        <v>388</v>
      </c>
      <c r="U194" s="6"/>
      <c r="V194" s="6"/>
      <c r="W194" s="6" t="s">
        <v>388</v>
      </c>
      <c r="X194" s="6" t="s">
        <v>388</v>
      </c>
      <c r="Y194" s="6" t="s">
        <v>388</v>
      </c>
      <c r="Z194" s="6" t="s">
        <v>388</v>
      </c>
      <c r="AA194" s="6" t="s">
        <v>388</v>
      </c>
      <c r="AB194" s="151" t="s">
        <v>388</v>
      </c>
      <c r="AC194" s="151"/>
      <c r="AD194" s="12"/>
      <c r="AE194" s="251" t="s">
        <v>648</v>
      </c>
      <c r="AF194" s="5" t="s">
        <v>394</v>
      </c>
      <c r="AG194" s="4" t="s">
        <v>1108</v>
      </c>
      <c r="AH194" s="1"/>
      <c r="AI194" s="143"/>
      <c r="AJ194" s="4"/>
      <c r="AK194" s="1"/>
      <c r="AL194" s="179" t="s">
        <v>1698</v>
      </c>
      <c r="AM194" s="281"/>
      <c r="AN194" s="281"/>
      <c r="AO194" s="5" t="s">
        <v>388</v>
      </c>
      <c r="AP194" s="5" t="s">
        <v>388</v>
      </c>
    </row>
    <row r="195" spans="1:50" s="480" customFormat="1" ht="11.25" customHeight="1">
      <c r="A195" s="16" t="s">
        <v>1284</v>
      </c>
      <c r="B195" s="1" t="s">
        <v>1283</v>
      </c>
      <c r="C195" s="1" t="s">
        <v>1282</v>
      </c>
      <c r="D195" s="1" t="s">
        <v>387</v>
      </c>
      <c r="E195" s="1" t="s">
        <v>625</v>
      </c>
      <c r="F195" s="1"/>
      <c r="G195" s="83">
        <v>1</v>
      </c>
      <c r="H195" s="6"/>
      <c r="I195" s="6"/>
      <c r="J195" s="6"/>
      <c r="K195" s="6"/>
      <c r="L195" s="6"/>
      <c r="M195" s="6"/>
      <c r="N195" s="6"/>
      <c r="O195" s="6"/>
      <c r="P195" s="6"/>
      <c r="Q195" s="6"/>
      <c r="R195" s="6"/>
      <c r="S195" s="6"/>
      <c r="T195" s="6" t="s">
        <v>388</v>
      </c>
      <c r="U195" s="6"/>
      <c r="V195" s="6"/>
      <c r="W195" s="6"/>
      <c r="X195" s="6"/>
      <c r="Y195" s="6"/>
      <c r="Z195" s="6"/>
      <c r="AA195" s="6" t="s">
        <v>388</v>
      </c>
      <c r="AB195" s="151"/>
      <c r="AC195" s="151"/>
      <c r="AD195" s="12"/>
      <c r="AE195" s="251" t="s">
        <v>648</v>
      </c>
      <c r="AF195" s="5" t="s">
        <v>394</v>
      </c>
      <c r="AG195" s="4" t="s">
        <v>1285</v>
      </c>
      <c r="AH195" s="1"/>
      <c r="AI195" s="143" t="s">
        <v>1286</v>
      </c>
      <c r="AJ195" s="4"/>
      <c r="AK195" s="1"/>
      <c r="AL195" s="179" t="s">
        <v>1694</v>
      </c>
      <c r="AM195" s="283"/>
      <c r="AN195" s="283"/>
      <c r="AO195" s="283"/>
      <c r="AP195" s="6" t="s">
        <v>388</v>
      </c>
    </row>
    <row r="196" spans="1:50" s="181" customFormat="1" ht="11.25" customHeight="1">
      <c r="A196" s="144" t="s">
        <v>833</v>
      </c>
      <c r="B196" s="2" t="s">
        <v>834</v>
      </c>
      <c r="C196" s="2" t="s">
        <v>835</v>
      </c>
      <c r="D196" s="34" t="s">
        <v>739</v>
      </c>
      <c r="E196" s="34" t="s">
        <v>625</v>
      </c>
      <c r="F196" s="34"/>
      <c r="G196" s="83">
        <v>1</v>
      </c>
      <c r="H196" s="6"/>
      <c r="I196" s="6"/>
      <c r="J196" s="6"/>
      <c r="K196" s="6"/>
      <c r="L196" s="6"/>
      <c r="M196" s="6" t="s">
        <v>388</v>
      </c>
      <c r="N196" s="6" t="s">
        <v>388</v>
      </c>
      <c r="O196" s="6"/>
      <c r="P196" s="6"/>
      <c r="Q196" s="6"/>
      <c r="R196" s="6"/>
      <c r="S196" s="6"/>
      <c r="T196" s="6"/>
      <c r="U196" s="6" t="s">
        <v>388</v>
      </c>
      <c r="V196" s="6"/>
      <c r="W196" s="6"/>
      <c r="X196" s="6"/>
      <c r="Y196" s="6"/>
      <c r="Z196" s="6"/>
      <c r="AA196" s="6"/>
      <c r="AB196" s="6"/>
      <c r="AC196" s="12" t="s">
        <v>388</v>
      </c>
      <c r="AD196" s="12" t="s">
        <v>388</v>
      </c>
      <c r="AE196" s="83" t="s">
        <v>648</v>
      </c>
      <c r="AF196" s="6" t="s">
        <v>394</v>
      </c>
      <c r="AG196" s="34" t="s">
        <v>836</v>
      </c>
      <c r="AH196" s="2"/>
      <c r="AI196" s="34"/>
      <c r="AJ196" s="34" t="s">
        <v>837</v>
      </c>
      <c r="AK196" s="2"/>
      <c r="AL196" s="178" t="s">
        <v>476</v>
      </c>
      <c r="AM196" s="5" t="s">
        <v>388</v>
      </c>
      <c r="AN196" s="5" t="s">
        <v>388</v>
      </c>
      <c r="AO196" s="281"/>
      <c r="AP196" s="281"/>
    </row>
    <row r="197" spans="1:50" s="480" customFormat="1" ht="11.25" customHeight="1">
      <c r="A197" s="144" t="s">
        <v>354</v>
      </c>
      <c r="B197" s="1" t="s">
        <v>355</v>
      </c>
      <c r="C197" s="1" t="s">
        <v>356</v>
      </c>
      <c r="D197" s="4" t="s">
        <v>1150</v>
      </c>
      <c r="E197" s="4" t="s">
        <v>625</v>
      </c>
      <c r="F197" s="4"/>
      <c r="G197" s="83">
        <v>1</v>
      </c>
      <c r="H197" s="6"/>
      <c r="I197" s="6"/>
      <c r="J197" s="6"/>
      <c r="K197" s="6"/>
      <c r="L197" s="6" t="s">
        <v>388</v>
      </c>
      <c r="M197" s="6"/>
      <c r="N197" s="6" t="s">
        <v>388</v>
      </c>
      <c r="O197" s="6"/>
      <c r="P197" s="6"/>
      <c r="Q197" s="6" t="s">
        <v>388</v>
      </c>
      <c r="R197" s="6"/>
      <c r="S197" s="6"/>
      <c r="T197" s="6"/>
      <c r="U197" s="6" t="s">
        <v>388</v>
      </c>
      <c r="V197" s="6"/>
      <c r="W197" s="6"/>
      <c r="X197" s="6"/>
      <c r="Y197" s="6"/>
      <c r="Z197" s="6"/>
      <c r="AA197" s="6"/>
      <c r="AB197" s="6"/>
      <c r="AC197" s="12"/>
      <c r="AD197" s="12"/>
      <c r="AE197" s="83">
        <v>3</v>
      </c>
      <c r="AF197" s="5" t="s">
        <v>389</v>
      </c>
      <c r="AG197" s="4" t="s">
        <v>1710</v>
      </c>
      <c r="AH197" s="1"/>
      <c r="AI197" s="4" t="s">
        <v>1152</v>
      </c>
      <c r="AJ197" s="4"/>
      <c r="AK197" s="2"/>
      <c r="AL197" s="178" t="s">
        <v>1690</v>
      </c>
      <c r="AM197" s="283"/>
      <c r="AN197" s="6" t="s">
        <v>388</v>
      </c>
      <c r="AO197" s="6" t="s">
        <v>388</v>
      </c>
      <c r="AP197" s="283"/>
    </row>
    <row r="198" spans="1:50" s="181" customFormat="1" ht="11.25" customHeight="1">
      <c r="A198" s="16" t="s">
        <v>1222</v>
      </c>
      <c r="B198" s="1" t="s">
        <v>1221</v>
      </c>
      <c r="C198" s="1" t="s">
        <v>1220</v>
      </c>
      <c r="D198" s="1" t="s">
        <v>739</v>
      </c>
      <c r="E198" s="1" t="s">
        <v>625</v>
      </c>
      <c r="F198" s="1"/>
      <c r="G198" s="83">
        <v>1</v>
      </c>
      <c r="H198" s="6"/>
      <c r="I198" s="6"/>
      <c r="J198" s="6"/>
      <c r="K198" s="6"/>
      <c r="L198" s="6"/>
      <c r="M198" s="6" t="s">
        <v>388</v>
      </c>
      <c r="N198" s="6"/>
      <c r="O198" s="6"/>
      <c r="P198" s="6" t="s">
        <v>388</v>
      </c>
      <c r="Q198" s="6"/>
      <c r="R198" s="6"/>
      <c r="S198" s="6"/>
      <c r="T198" s="6"/>
      <c r="U198" s="6"/>
      <c r="V198" s="6"/>
      <c r="W198" s="6"/>
      <c r="X198" s="6"/>
      <c r="Y198" s="6"/>
      <c r="Z198" s="6"/>
      <c r="AA198" s="6"/>
      <c r="AB198" s="151"/>
      <c r="AC198" s="151"/>
      <c r="AD198" s="12"/>
      <c r="AE198" s="251" t="s">
        <v>648</v>
      </c>
      <c r="AF198" s="5" t="s">
        <v>389</v>
      </c>
      <c r="AG198" s="4" t="s">
        <v>1223</v>
      </c>
      <c r="AH198" s="1"/>
      <c r="AI198" s="143" t="s">
        <v>1224</v>
      </c>
      <c r="AJ198" s="4"/>
      <c r="AK198" s="1"/>
      <c r="AL198" s="179" t="s">
        <v>1707</v>
      </c>
      <c r="AM198" s="283"/>
      <c r="AN198" s="6" t="s">
        <v>388</v>
      </c>
      <c r="AO198" s="283"/>
      <c r="AP198" s="283"/>
    </row>
    <row r="199" spans="1:50" s="480" customFormat="1" ht="11.25" customHeight="1">
      <c r="A199" s="144" t="s">
        <v>877</v>
      </c>
      <c r="B199" s="2" t="s">
        <v>878</v>
      </c>
      <c r="C199" s="2" t="s">
        <v>879</v>
      </c>
      <c r="D199" s="34" t="s">
        <v>739</v>
      </c>
      <c r="E199" s="34" t="s">
        <v>625</v>
      </c>
      <c r="F199" s="34"/>
      <c r="G199" s="83">
        <v>1</v>
      </c>
      <c r="H199" s="6"/>
      <c r="I199" s="6"/>
      <c r="J199" s="6"/>
      <c r="K199" s="6"/>
      <c r="L199" s="6"/>
      <c r="M199" s="6" t="s">
        <v>388</v>
      </c>
      <c r="N199" s="6" t="s">
        <v>388</v>
      </c>
      <c r="O199" s="6"/>
      <c r="P199" s="6"/>
      <c r="Q199" s="6"/>
      <c r="R199" s="6"/>
      <c r="S199" s="6"/>
      <c r="T199" s="6"/>
      <c r="U199" s="6" t="s">
        <v>388</v>
      </c>
      <c r="V199" s="6"/>
      <c r="W199" s="6"/>
      <c r="X199" s="6"/>
      <c r="Y199" s="6"/>
      <c r="Z199" s="6"/>
      <c r="AA199" s="6"/>
      <c r="AB199" s="6"/>
      <c r="AC199" s="12"/>
      <c r="AD199" s="12"/>
      <c r="AE199" s="83" t="s">
        <v>648</v>
      </c>
      <c r="AF199" s="6" t="s">
        <v>389</v>
      </c>
      <c r="AG199" s="34" t="s">
        <v>880</v>
      </c>
      <c r="AH199" s="2"/>
      <c r="AI199" s="34"/>
      <c r="AJ199" s="34" t="s">
        <v>763</v>
      </c>
      <c r="AK199" s="2"/>
      <c r="AL199" s="178" t="s">
        <v>476</v>
      </c>
      <c r="AM199" s="5" t="s">
        <v>388</v>
      </c>
      <c r="AN199" s="5" t="s">
        <v>388</v>
      </c>
      <c r="AO199" s="281"/>
      <c r="AP199" s="281"/>
    </row>
    <row r="200" spans="1:50" s="480" customFormat="1" ht="11.25" customHeight="1">
      <c r="A200" s="144" t="s">
        <v>194</v>
      </c>
      <c r="B200" s="1" t="s">
        <v>195</v>
      </c>
      <c r="C200" s="1" t="s">
        <v>196</v>
      </c>
      <c r="D200" s="4" t="s">
        <v>387</v>
      </c>
      <c r="E200" s="4" t="s">
        <v>625</v>
      </c>
      <c r="F200" s="4"/>
      <c r="G200" s="83">
        <v>1</v>
      </c>
      <c r="H200" s="6"/>
      <c r="I200" s="6"/>
      <c r="J200" s="6"/>
      <c r="K200" s="6"/>
      <c r="L200" s="6"/>
      <c r="M200" s="6"/>
      <c r="N200" s="6"/>
      <c r="O200" s="6"/>
      <c r="P200" s="6"/>
      <c r="Q200" s="6"/>
      <c r="R200" s="6"/>
      <c r="S200" s="6"/>
      <c r="T200" s="6" t="s">
        <v>388</v>
      </c>
      <c r="U200" s="6"/>
      <c r="V200" s="6" t="s">
        <v>388</v>
      </c>
      <c r="W200" s="6" t="s">
        <v>388</v>
      </c>
      <c r="X200" s="6"/>
      <c r="Y200" s="6" t="s">
        <v>388</v>
      </c>
      <c r="Z200" s="6" t="s">
        <v>388</v>
      </c>
      <c r="AA200" s="6" t="s">
        <v>388</v>
      </c>
      <c r="AB200" s="6"/>
      <c r="AC200" s="12"/>
      <c r="AD200" s="12"/>
      <c r="AE200" s="83">
        <v>2</v>
      </c>
      <c r="AF200" s="5" t="s">
        <v>394</v>
      </c>
      <c r="AG200" s="34" t="s">
        <v>1865</v>
      </c>
      <c r="AH200" s="1"/>
      <c r="AI200" s="4"/>
      <c r="AJ200" s="4"/>
      <c r="AK200" s="2"/>
      <c r="AL200" s="178" t="s">
        <v>1690</v>
      </c>
      <c r="AM200" s="283"/>
      <c r="AN200" s="283"/>
      <c r="AO200" s="6" t="s">
        <v>388</v>
      </c>
      <c r="AP200" s="6" t="s">
        <v>388</v>
      </c>
    </row>
    <row r="201" spans="1:50" s="480" customFormat="1" ht="11.25" customHeight="1">
      <c r="A201" s="254" t="s">
        <v>1717</v>
      </c>
      <c r="B201" s="1" t="s">
        <v>1718</v>
      </c>
      <c r="C201" s="4" t="s">
        <v>1719</v>
      </c>
      <c r="D201" s="4" t="s">
        <v>387</v>
      </c>
      <c r="E201" s="4" t="s">
        <v>625</v>
      </c>
      <c r="F201" s="4"/>
      <c r="G201" s="83">
        <v>1</v>
      </c>
      <c r="H201" s="6"/>
      <c r="I201" s="6"/>
      <c r="J201" s="6"/>
      <c r="K201" s="6"/>
      <c r="L201" s="6"/>
      <c r="M201" s="6" t="s">
        <v>388</v>
      </c>
      <c r="N201" s="6"/>
      <c r="O201" s="6"/>
      <c r="P201" s="6"/>
      <c r="Q201" s="6"/>
      <c r="R201" s="6"/>
      <c r="S201" s="6"/>
      <c r="T201" s="6"/>
      <c r="U201" s="6"/>
      <c r="V201" s="6"/>
      <c r="W201" s="6"/>
      <c r="X201" s="6"/>
      <c r="Y201" s="6"/>
      <c r="Z201" s="6"/>
      <c r="AA201" s="6"/>
      <c r="AB201" s="12"/>
      <c r="AC201" s="12"/>
      <c r="AD201" s="12"/>
      <c r="AE201" s="251">
        <v>3</v>
      </c>
      <c r="AF201" s="8" t="s">
        <v>394</v>
      </c>
      <c r="AG201" s="34" t="s">
        <v>1720</v>
      </c>
      <c r="AH201" s="2"/>
      <c r="AI201" s="143"/>
      <c r="AJ201" s="4"/>
      <c r="AK201" s="2"/>
      <c r="AL201" s="179" t="s">
        <v>1692</v>
      </c>
      <c r="AM201" s="283"/>
      <c r="AN201" s="283"/>
      <c r="AO201" s="283"/>
      <c r="AP201" s="283"/>
    </row>
    <row r="202" spans="1:50" s="181" customFormat="1" ht="11.25" customHeight="1">
      <c r="A202" s="144" t="s">
        <v>197</v>
      </c>
      <c r="B202" s="2" t="s">
        <v>357</v>
      </c>
      <c r="C202" s="1" t="s">
        <v>358</v>
      </c>
      <c r="D202" s="4" t="s">
        <v>387</v>
      </c>
      <c r="E202" s="4" t="s">
        <v>625</v>
      </c>
      <c r="F202" s="4"/>
      <c r="G202" s="83">
        <v>1</v>
      </c>
      <c r="H202" s="6"/>
      <c r="I202" s="6"/>
      <c r="J202" s="6"/>
      <c r="K202" s="6"/>
      <c r="L202" s="6"/>
      <c r="M202" s="6"/>
      <c r="N202" s="6"/>
      <c r="O202" s="6"/>
      <c r="P202" s="6"/>
      <c r="Q202" s="6"/>
      <c r="R202" s="6"/>
      <c r="S202" s="6"/>
      <c r="T202" s="6"/>
      <c r="U202" s="6"/>
      <c r="V202" s="6"/>
      <c r="W202" s="6"/>
      <c r="X202" s="6"/>
      <c r="Y202" s="6"/>
      <c r="Z202" s="6"/>
      <c r="AA202" s="6"/>
      <c r="AB202" s="6"/>
      <c r="AC202" s="12" t="s">
        <v>388</v>
      </c>
      <c r="AD202" s="12"/>
      <c r="AE202" s="83">
        <v>3</v>
      </c>
      <c r="AF202" s="5" t="s">
        <v>389</v>
      </c>
      <c r="AG202" s="34" t="s">
        <v>1866</v>
      </c>
      <c r="AH202" s="1"/>
      <c r="AI202" s="4"/>
      <c r="AJ202" s="4"/>
      <c r="AK202" s="2"/>
      <c r="AL202" s="178" t="s">
        <v>1690</v>
      </c>
      <c r="AM202" s="6" t="s">
        <v>388</v>
      </c>
      <c r="AN202" s="283"/>
      <c r="AO202" s="283"/>
      <c r="AP202" s="283"/>
    </row>
    <row r="203" spans="1:50" s="480" customFormat="1" ht="11.25" customHeight="1">
      <c r="A203" s="17" t="s">
        <v>2306</v>
      </c>
      <c r="B203" s="2" t="s">
        <v>2307</v>
      </c>
      <c r="C203" s="1" t="s">
        <v>2308</v>
      </c>
      <c r="D203" s="4" t="s">
        <v>739</v>
      </c>
      <c r="E203" s="4" t="s">
        <v>1869</v>
      </c>
      <c r="F203" s="4"/>
      <c r="G203" s="83">
        <v>1</v>
      </c>
      <c r="H203" s="6"/>
      <c r="I203" s="6"/>
      <c r="J203" s="6"/>
      <c r="K203" s="6"/>
      <c r="L203" s="6"/>
      <c r="M203" s="6"/>
      <c r="N203" s="6"/>
      <c r="O203" s="6"/>
      <c r="P203" s="6"/>
      <c r="Q203" s="6"/>
      <c r="R203" s="6"/>
      <c r="S203" s="6"/>
      <c r="T203" s="6"/>
      <c r="U203" s="6"/>
      <c r="V203" s="6"/>
      <c r="W203" s="6"/>
      <c r="X203" s="6"/>
      <c r="Y203" s="6"/>
      <c r="Z203" s="6"/>
      <c r="AA203" s="6" t="s">
        <v>388</v>
      </c>
      <c r="AB203" s="12"/>
      <c r="AC203" s="12" t="s">
        <v>388</v>
      </c>
      <c r="AD203" s="12"/>
      <c r="AE203" s="251">
        <v>2</v>
      </c>
      <c r="AF203" s="5" t="s">
        <v>389</v>
      </c>
      <c r="AG203" s="34" t="s">
        <v>2309</v>
      </c>
      <c r="AH203" s="1"/>
      <c r="AI203" s="143"/>
      <c r="AJ203" s="4"/>
      <c r="AK203" s="2"/>
      <c r="AL203" s="178" t="s">
        <v>1690</v>
      </c>
      <c r="AM203" s="6" t="s">
        <v>388</v>
      </c>
      <c r="AN203" s="6"/>
      <c r="AO203" s="6"/>
      <c r="AP203" s="6"/>
    </row>
    <row r="204" spans="1:50" s="480" customFormat="1" ht="11.25" customHeight="1">
      <c r="A204" s="144" t="s">
        <v>874</v>
      </c>
      <c r="B204" s="2" t="s">
        <v>873</v>
      </c>
      <c r="C204" s="2" t="s">
        <v>875</v>
      </c>
      <c r="D204" s="34" t="s">
        <v>739</v>
      </c>
      <c r="E204" s="34" t="s">
        <v>625</v>
      </c>
      <c r="F204" s="34"/>
      <c r="G204" s="83">
        <v>1</v>
      </c>
      <c r="H204" s="6"/>
      <c r="I204" s="6"/>
      <c r="J204" s="6"/>
      <c r="K204" s="6"/>
      <c r="L204" s="6" t="s">
        <v>388</v>
      </c>
      <c r="M204" s="6"/>
      <c r="N204" s="6" t="s">
        <v>388</v>
      </c>
      <c r="O204" s="6"/>
      <c r="P204" s="6"/>
      <c r="Q204" s="6"/>
      <c r="R204" s="6"/>
      <c r="S204" s="6"/>
      <c r="T204" s="6"/>
      <c r="U204" s="6"/>
      <c r="V204" s="6"/>
      <c r="W204" s="6"/>
      <c r="X204" s="6"/>
      <c r="Y204" s="6"/>
      <c r="Z204" s="6"/>
      <c r="AA204" s="6"/>
      <c r="AB204" s="6"/>
      <c r="AC204" s="12"/>
      <c r="AD204" s="12"/>
      <c r="AE204" s="83" t="s">
        <v>648</v>
      </c>
      <c r="AF204" s="6" t="s">
        <v>394</v>
      </c>
      <c r="AG204" s="34" t="s">
        <v>876</v>
      </c>
      <c r="AH204" s="2"/>
      <c r="AI204" s="34"/>
      <c r="AJ204" s="34" t="s">
        <v>831</v>
      </c>
      <c r="AK204" s="2"/>
      <c r="AL204" s="178" t="s">
        <v>476</v>
      </c>
      <c r="AM204" s="5" t="s">
        <v>388</v>
      </c>
      <c r="AN204" s="5" t="s">
        <v>388</v>
      </c>
      <c r="AO204" s="281"/>
      <c r="AP204" s="281"/>
    </row>
    <row r="205" spans="1:50" s="480" customFormat="1" ht="11.25" customHeight="1">
      <c r="A205" s="16" t="s">
        <v>1687</v>
      </c>
      <c r="B205" s="1" t="s">
        <v>1495</v>
      </c>
      <c r="C205" s="1" t="s">
        <v>1496</v>
      </c>
      <c r="D205" s="1" t="s">
        <v>1150</v>
      </c>
      <c r="E205" s="1" t="s">
        <v>625</v>
      </c>
      <c r="F205" s="1"/>
      <c r="G205" s="83">
        <v>1</v>
      </c>
      <c r="H205" s="6"/>
      <c r="I205" s="6"/>
      <c r="J205" s="6"/>
      <c r="K205" s="6"/>
      <c r="L205" s="6"/>
      <c r="M205" s="6" t="s">
        <v>388</v>
      </c>
      <c r="N205" s="6"/>
      <c r="O205" s="6"/>
      <c r="P205" s="6"/>
      <c r="Q205" s="6"/>
      <c r="R205" s="6" t="s">
        <v>388</v>
      </c>
      <c r="S205" s="6"/>
      <c r="T205" s="6" t="s">
        <v>388</v>
      </c>
      <c r="U205" s="6" t="s">
        <v>388</v>
      </c>
      <c r="V205" s="6"/>
      <c r="W205" s="6"/>
      <c r="X205" s="6"/>
      <c r="Y205" s="6"/>
      <c r="Z205" s="6"/>
      <c r="AA205" s="6"/>
      <c r="AB205" s="151"/>
      <c r="AC205" s="151"/>
      <c r="AD205" s="12"/>
      <c r="AE205" s="251"/>
      <c r="AF205" s="5" t="s">
        <v>389</v>
      </c>
      <c r="AG205" s="4" t="s">
        <v>1497</v>
      </c>
      <c r="AH205" s="1"/>
      <c r="AI205" s="143"/>
      <c r="AJ205" s="4"/>
      <c r="AK205" s="1"/>
      <c r="AL205" s="179" t="s">
        <v>1701</v>
      </c>
      <c r="AM205" s="281"/>
      <c r="AN205" s="5" t="s">
        <v>388</v>
      </c>
      <c r="AO205" s="281"/>
      <c r="AP205" s="281"/>
    </row>
    <row r="206" spans="1:50" s="480" customFormat="1" ht="11.25" customHeight="1">
      <c r="A206" s="144" t="s">
        <v>667</v>
      </c>
      <c r="B206" s="2" t="s">
        <v>666</v>
      </c>
      <c r="C206" s="2" t="s">
        <v>665</v>
      </c>
      <c r="D206" s="34" t="s">
        <v>387</v>
      </c>
      <c r="E206" s="34" t="s">
        <v>625</v>
      </c>
      <c r="F206" s="34"/>
      <c r="G206" s="83">
        <v>1</v>
      </c>
      <c r="H206" s="6"/>
      <c r="I206" s="6"/>
      <c r="J206" s="6"/>
      <c r="K206" s="6"/>
      <c r="L206" s="6"/>
      <c r="M206" s="6" t="s">
        <v>388</v>
      </c>
      <c r="N206" s="6"/>
      <c r="O206" s="6"/>
      <c r="P206" s="6"/>
      <c r="Q206" s="6"/>
      <c r="R206" s="6"/>
      <c r="S206" s="6"/>
      <c r="T206" s="6"/>
      <c r="U206" s="6" t="s">
        <v>388</v>
      </c>
      <c r="V206" s="6"/>
      <c r="W206" s="6"/>
      <c r="X206" s="6"/>
      <c r="Y206" s="6"/>
      <c r="Z206" s="6"/>
      <c r="AA206" s="6"/>
      <c r="AB206" s="6"/>
      <c r="AC206" s="12"/>
      <c r="AD206" s="12"/>
      <c r="AE206" s="83" t="s">
        <v>668</v>
      </c>
      <c r="AF206" s="6" t="s">
        <v>389</v>
      </c>
      <c r="AG206" s="34" t="s">
        <v>669</v>
      </c>
      <c r="AH206" s="2"/>
      <c r="AI206" s="34" t="s">
        <v>1640</v>
      </c>
      <c r="AJ206" s="34"/>
      <c r="AK206" s="2"/>
      <c r="AL206" s="179" t="s">
        <v>1692</v>
      </c>
      <c r="AM206" s="283"/>
      <c r="AN206" s="6" t="s">
        <v>388</v>
      </c>
      <c r="AO206" s="283"/>
      <c r="AP206" s="283"/>
    </row>
    <row r="207" spans="1:50" s="181" customFormat="1" ht="11.25" customHeight="1">
      <c r="A207" s="17" t="s">
        <v>667</v>
      </c>
      <c r="B207" s="2" t="s">
        <v>2295</v>
      </c>
      <c r="C207" s="2" t="s">
        <v>1116</v>
      </c>
      <c r="D207" s="2" t="s">
        <v>1150</v>
      </c>
      <c r="E207" s="2" t="s">
        <v>625</v>
      </c>
      <c r="F207" s="2"/>
      <c r="G207" s="83">
        <v>1</v>
      </c>
      <c r="H207" s="6"/>
      <c r="I207" s="6"/>
      <c r="J207" s="6"/>
      <c r="K207" s="6"/>
      <c r="L207" s="6"/>
      <c r="M207" s="6" t="s">
        <v>388</v>
      </c>
      <c r="N207" s="6" t="s">
        <v>388</v>
      </c>
      <c r="O207" s="6"/>
      <c r="P207" s="6"/>
      <c r="Q207" s="6"/>
      <c r="R207" s="6"/>
      <c r="S207" s="6"/>
      <c r="T207" s="6"/>
      <c r="U207" s="6" t="s">
        <v>388</v>
      </c>
      <c r="V207" s="6"/>
      <c r="W207" s="6"/>
      <c r="X207" s="6"/>
      <c r="Y207" s="6"/>
      <c r="Z207" s="6"/>
      <c r="AA207" s="6"/>
      <c r="AB207" s="151"/>
      <c r="AC207" s="151"/>
      <c r="AD207" s="12"/>
      <c r="AE207" s="251">
        <v>3</v>
      </c>
      <c r="AF207" s="6" t="s">
        <v>394</v>
      </c>
      <c r="AG207" s="34" t="s">
        <v>1117</v>
      </c>
      <c r="AH207" s="2"/>
      <c r="AI207" s="252" t="s">
        <v>2296</v>
      </c>
      <c r="AJ207" s="34" t="s">
        <v>1118</v>
      </c>
      <c r="AK207" s="2"/>
      <c r="AL207" s="179" t="s">
        <v>1703</v>
      </c>
      <c r="AM207" s="281"/>
      <c r="AN207" s="5" t="s">
        <v>388</v>
      </c>
      <c r="AO207" s="281"/>
      <c r="AP207" s="281"/>
    </row>
    <row r="208" spans="1:50" s="181" customFormat="1" ht="11.25" customHeight="1">
      <c r="A208" s="16" t="s">
        <v>2221</v>
      </c>
      <c r="B208" s="1" t="s">
        <v>2222</v>
      </c>
      <c r="C208" s="1" t="s">
        <v>2223</v>
      </c>
      <c r="D208" s="1" t="s">
        <v>387</v>
      </c>
      <c r="E208" s="1" t="s">
        <v>1869</v>
      </c>
      <c r="F208" s="1"/>
      <c r="G208" s="83">
        <v>1</v>
      </c>
      <c r="H208" s="6"/>
      <c r="I208" s="6"/>
      <c r="J208" s="6"/>
      <c r="K208" s="6"/>
      <c r="L208" s="6"/>
      <c r="M208" s="6"/>
      <c r="N208" s="6"/>
      <c r="O208" s="6"/>
      <c r="P208" s="6"/>
      <c r="Q208" s="6"/>
      <c r="R208" s="6"/>
      <c r="S208" s="6" t="s">
        <v>388</v>
      </c>
      <c r="T208" s="6"/>
      <c r="U208" s="6"/>
      <c r="V208" s="6"/>
      <c r="W208" s="6" t="s">
        <v>388</v>
      </c>
      <c r="X208" s="6" t="s">
        <v>388</v>
      </c>
      <c r="Y208" s="6"/>
      <c r="Z208" s="6" t="s">
        <v>388</v>
      </c>
      <c r="AA208" s="6"/>
      <c r="AB208" s="151"/>
      <c r="AC208" s="151"/>
      <c r="AD208" s="12"/>
      <c r="AE208" s="251">
        <v>2</v>
      </c>
      <c r="AF208" s="5" t="s">
        <v>389</v>
      </c>
      <c r="AG208" s="4" t="s">
        <v>2226</v>
      </c>
      <c r="AH208" s="1"/>
      <c r="AI208" s="143" t="s">
        <v>2225</v>
      </c>
      <c r="AJ208" s="4" t="s">
        <v>2224</v>
      </c>
      <c r="AK208" s="1"/>
      <c r="AL208" s="179" t="s">
        <v>1693</v>
      </c>
      <c r="AM208" s="5"/>
      <c r="AN208" s="5"/>
      <c r="AO208" s="5"/>
      <c r="AP208" s="5" t="s">
        <v>388</v>
      </c>
      <c r="AQ208" s="480"/>
      <c r="AR208" s="480"/>
      <c r="AS208" s="480"/>
      <c r="AT208" s="480"/>
      <c r="AU208" s="480"/>
      <c r="AV208" s="480"/>
      <c r="AW208" s="480"/>
      <c r="AX208" s="480"/>
    </row>
    <row r="209" spans="1:42" s="181" customFormat="1" ht="11.25" customHeight="1">
      <c r="A209" s="16" t="s">
        <v>1449</v>
      </c>
      <c r="B209" s="1" t="s">
        <v>1448</v>
      </c>
      <c r="C209" s="1" t="s">
        <v>1447</v>
      </c>
      <c r="D209" s="4" t="s">
        <v>739</v>
      </c>
      <c r="E209" s="34" t="s">
        <v>625</v>
      </c>
      <c r="F209" s="34"/>
      <c r="G209" s="83">
        <v>1</v>
      </c>
      <c r="H209" s="6"/>
      <c r="I209" s="6"/>
      <c r="J209" s="6"/>
      <c r="K209" s="6"/>
      <c r="L209" s="6"/>
      <c r="M209" s="6"/>
      <c r="N209" s="6"/>
      <c r="O209" s="6"/>
      <c r="P209" s="6" t="s">
        <v>388</v>
      </c>
      <c r="Q209" s="6"/>
      <c r="R209" s="6" t="s">
        <v>388</v>
      </c>
      <c r="S209" s="6"/>
      <c r="T209" s="6"/>
      <c r="U209" s="6"/>
      <c r="V209" s="6"/>
      <c r="W209" s="6"/>
      <c r="X209" s="6"/>
      <c r="Y209" s="6"/>
      <c r="Z209" s="6" t="s">
        <v>388</v>
      </c>
      <c r="AA209" s="6"/>
      <c r="AB209" s="6"/>
      <c r="AC209" s="12"/>
      <c r="AD209" s="12"/>
      <c r="AE209" s="83" t="s">
        <v>648</v>
      </c>
      <c r="AF209" s="5" t="s">
        <v>389</v>
      </c>
      <c r="AG209" s="4" t="s">
        <v>1450</v>
      </c>
      <c r="AH209" s="1"/>
      <c r="AI209" s="4" t="s">
        <v>1612</v>
      </c>
      <c r="AJ209" s="4"/>
      <c r="AK209" s="2"/>
      <c r="AL209" s="179" t="s">
        <v>1702</v>
      </c>
      <c r="AM209" s="283"/>
      <c r="AN209" s="283"/>
      <c r="AO209" s="6" t="s">
        <v>388</v>
      </c>
      <c r="AP209" s="6" t="s">
        <v>388</v>
      </c>
    </row>
    <row r="210" spans="1:42" s="480" customFormat="1" ht="11.25" customHeight="1">
      <c r="A210" s="145" t="s">
        <v>2398</v>
      </c>
      <c r="B210" s="1" t="s">
        <v>1025</v>
      </c>
      <c r="C210" s="4" t="s">
        <v>1018</v>
      </c>
      <c r="D210" s="4" t="s">
        <v>739</v>
      </c>
      <c r="E210" s="4" t="s">
        <v>625</v>
      </c>
      <c r="F210" s="4"/>
      <c r="G210" s="83">
        <v>1</v>
      </c>
      <c r="H210" s="6"/>
      <c r="I210" s="6"/>
      <c r="J210" s="6"/>
      <c r="K210" s="6"/>
      <c r="L210" s="6"/>
      <c r="M210" s="6"/>
      <c r="N210" s="6"/>
      <c r="O210" s="6"/>
      <c r="P210" s="6" t="s">
        <v>388</v>
      </c>
      <c r="Q210" s="6"/>
      <c r="R210" s="6"/>
      <c r="S210" s="6"/>
      <c r="T210" s="6"/>
      <c r="U210" s="6"/>
      <c r="V210" s="6"/>
      <c r="W210" s="6"/>
      <c r="X210" s="6"/>
      <c r="Y210" s="6"/>
      <c r="Z210" s="6"/>
      <c r="AA210" s="6"/>
      <c r="AB210" s="6"/>
      <c r="AC210" s="12"/>
      <c r="AD210" s="12"/>
      <c r="AE210" s="83">
        <v>2</v>
      </c>
      <c r="AF210" s="8" t="s">
        <v>1022</v>
      </c>
      <c r="AG210" s="34" t="s">
        <v>1019</v>
      </c>
      <c r="AH210" s="2"/>
      <c r="AI210" s="4"/>
      <c r="AJ210" s="4"/>
      <c r="AK210" s="2"/>
      <c r="AL210" s="179" t="s">
        <v>1702</v>
      </c>
      <c r="AM210" s="281"/>
      <c r="AN210" s="5" t="s">
        <v>388</v>
      </c>
      <c r="AO210" s="5" t="s">
        <v>388</v>
      </c>
      <c r="AP210" s="281"/>
    </row>
    <row r="211" spans="1:42" s="181" customFormat="1" ht="11.25" customHeight="1">
      <c r="A211" s="17" t="s">
        <v>1068</v>
      </c>
      <c r="B211" s="14" t="s">
        <v>1069</v>
      </c>
      <c r="C211" s="36" t="s">
        <v>1067</v>
      </c>
      <c r="D211" s="34" t="s">
        <v>739</v>
      </c>
      <c r="E211" s="2" t="s">
        <v>625</v>
      </c>
      <c r="F211" s="36"/>
      <c r="G211" s="83">
        <v>1</v>
      </c>
      <c r="H211" s="6"/>
      <c r="I211" s="6"/>
      <c r="J211" s="6"/>
      <c r="K211" s="6" t="s">
        <v>388</v>
      </c>
      <c r="L211" s="6"/>
      <c r="M211" s="6"/>
      <c r="N211" s="6"/>
      <c r="O211" s="6"/>
      <c r="P211" s="6"/>
      <c r="Q211" s="6"/>
      <c r="R211" s="6"/>
      <c r="S211" s="6"/>
      <c r="T211" s="6"/>
      <c r="U211" s="6"/>
      <c r="V211" s="6"/>
      <c r="W211" s="6"/>
      <c r="X211" s="6" t="s">
        <v>388</v>
      </c>
      <c r="Y211" s="6" t="s">
        <v>388</v>
      </c>
      <c r="Z211" s="6" t="s">
        <v>388</v>
      </c>
      <c r="AA211" s="6" t="s">
        <v>388</v>
      </c>
      <c r="AB211" s="6" t="s">
        <v>388</v>
      </c>
      <c r="AC211" s="12"/>
      <c r="AD211" s="12"/>
      <c r="AE211" s="83">
        <v>3</v>
      </c>
      <c r="AF211" s="12" t="s">
        <v>389</v>
      </c>
      <c r="AG211" s="34" t="s">
        <v>1070</v>
      </c>
      <c r="AH211" s="2"/>
      <c r="AI211" s="34"/>
      <c r="AJ211" s="34"/>
      <c r="AK211" s="2"/>
      <c r="AL211" s="178" t="s">
        <v>1696</v>
      </c>
      <c r="AM211" s="281"/>
      <c r="AN211" s="281"/>
      <c r="AO211" s="5" t="s">
        <v>388</v>
      </c>
      <c r="AP211" s="5" t="s">
        <v>388</v>
      </c>
    </row>
    <row r="212" spans="1:42" s="480" customFormat="1" ht="11.25" customHeight="1">
      <c r="A212" s="16" t="s">
        <v>1110</v>
      </c>
      <c r="B212" s="1" t="s">
        <v>1126</v>
      </c>
      <c r="C212" s="1" t="s">
        <v>1124</v>
      </c>
      <c r="D212" s="1" t="s">
        <v>739</v>
      </c>
      <c r="E212" s="34" t="s">
        <v>625</v>
      </c>
      <c r="F212" s="1"/>
      <c r="G212" s="83">
        <v>1</v>
      </c>
      <c r="H212" s="6"/>
      <c r="I212" s="6"/>
      <c r="J212" s="6"/>
      <c r="K212" s="6"/>
      <c r="L212" s="6" t="s">
        <v>388</v>
      </c>
      <c r="M212" s="6" t="s">
        <v>388</v>
      </c>
      <c r="N212" s="6"/>
      <c r="O212" s="6"/>
      <c r="P212" s="6"/>
      <c r="Q212" s="6"/>
      <c r="R212" s="6"/>
      <c r="S212" s="6"/>
      <c r="T212" s="6" t="s">
        <v>388</v>
      </c>
      <c r="U212" s="6"/>
      <c r="V212" s="6"/>
      <c r="W212" s="6"/>
      <c r="X212" s="6"/>
      <c r="Y212" s="6"/>
      <c r="Z212" s="6"/>
      <c r="AA212" s="6"/>
      <c r="AB212" s="151"/>
      <c r="AC212" s="151"/>
      <c r="AD212" s="12"/>
      <c r="AE212" s="251" t="s">
        <v>648</v>
      </c>
      <c r="AF212" s="5" t="s">
        <v>641</v>
      </c>
      <c r="AG212" s="4" t="s">
        <v>1125</v>
      </c>
      <c r="AH212" s="1"/>
      <c r="AI212" s="143" t="s">
        <v>1127</v>
      </c>
      <c r="AJ212" s="4"/>
      <c r="AK212" s="1"/>
      <c r="AL212" s="179" t="s">
        <v>1698</v>
      </c>
      <c r="AM212" s="281"/>
      <c r="AN212" s="5" t="s">
        <v>388</v>
      </c>
      <c r="AO212" s="281"/>
      <c r="AP212" s="281"/>
    </row>
    <row r="213" spans="1:42" s="181" customFormat="1" ht="11.25" customHeight="1">
      <c r="A213" s="17" t="s">
        <v>1110</v>
      </c>
      <c r="B213" s="2" t="s">
        <v>1112</v>
      </c>
      <c r="C213" s="2" t="s">
        <v>1111</v>
      </c>
      <c r="D213" s="2" t="s">
        <v>739</v>
      </c>
      <c r="E213" s="2" t="s">
        <v>625</v>
      </c>
      <c r="F213" s="2"/>
      <c r="G213" s="83">
        <v>1</v>
      </c>
      <c r="H213" s="6"/>
      <c r="I213" s="6"/>
      <c r="J213" s="6"/>
      <c r="K213" s="6" t="s">
        <v>388</v>
      </c>
      <c r="L213" s="6" t="s">
        <v>388</v>
      </c>
      <c r="M213" s="6" t="s">
        <v>388</v>
      </c>
      <c r="N213" s="6"/>
      <c r="O213" s="6"/>
      <c r="P213" s="6"/>
      <c r="Q213" s="6"/>
      <c r="R213" s="6"/>
      <c r="S213" s="6"/>
      <c r="T213" s="6" t="s">
        <v>388</v>
      </c>
      <c r="U213" s="6" t="s">
        <v>388</v>
      </c>
      <c r="V213" s="6"/>
      <c r="W213" s="6"/>
      <c r="X213" s="6"/>
      <c r="Y213" s="6" t="s">
        <v>388</v>
      </c>
      <c r="Z213" s="6"/>
      <c r="AA213" s="6"/>
      <c r="AB213" s="151" t="s">
        <v>388</v>
      </c>
      <c r="AC213" s="151"/>
      <c r="AD213" s="12"/>
      <c r="AE213" s="251" t="s">
        <v>648</v>
      </c>
      <c r="AF213" s="6" t="s">
        <v>394</v>
      </c>
      <c r="AG213" s="34" t="s">
        <v>1113</v>
      </c>
      <c r="AH213" s="2"/>
      <c r="AI213" s="252" t="s">
        <v>1114</v>
      </c>
      <c r="AJ213" s="34"/>
      <c r="AK213" s="2"/>
      <c r="AL213" s="178" t="s">
        <v>1698</v>
      </c>
      <c r="AM213" s="281"/>
      <c r="AN213" s="5" t="s">
        <v>388</v>
      </c>
      <c r="AO213" s="281"/>
      <c r="AP213" s="281"/>
    </row>
    <row r="214" spans="1:42" s="181" customFormat="1" ht="11.25" customHeight="1">
      <c r="A214" s="144" t="s">
        <v>842</v>
      </c>
      <c r="B214" s="2" t="s">
        <v>843</v>
      </c>
      <c r="C214" s="2" t="s">
        <v>844</v>
      </c>
      <c r="D214" s="34" t="s">
        <v>739</v>
      </c>
      <c r="E214" s="34" t="s">
        <v>625</v>
      </c>
      <c r="F214" s="34"/>
      <c r="G214" s="83">
        <v>1</v>
      </c>
      <c r="H214" s="6"/>
      <c r="I214" s="6"/>
      <c r="J214" s="6" t="s">
        <v>388</v>
      </c>
      <c r="K214" s="6"/>
      <c r="L214" s="6"/>
      <c r="M214" s="6"/>
      <c r="N214" s="6"/>
      <c r="O214" s="6"/>
      <c r="P214" s="6"/>
      <c r="Q214" s="6"/>
      <c r="R214" s="6"/>
      <c r="S214" s="6"/>
      <c r="T214" s="6"/>
      <c r="U214" s="6"/>
      <c r="V214" s="6"/>
      <c r="W214" s="6"/>
      <c r="X214" s="6"/>
      <c r="Y214" s="6"/>
      <c r="Z214" s="6"/>
      <c r="AA214" s="6"/>
      <c r="AB214" s="6"/>
      <c r="AC214" s="12" t="s">
        <v>388</v>
      </c>
      <c r="AD214" s="12" t="s">
        <v>388</v>
      </c>
      <c r="AE214" s="83" t="s">
        <v>648</v>
      </c>
      <c r="AF214" s="6" t="s">
        <v>389</v>
      </c>
      <c r="AG214" s="34" t="s">
        <v>845</v>
      </c>
      <c r="AH214" s="2"/>
      <c r="AI214" s="34"/>
      <c r="AJ214" s="34" t="s">
        <v>832</v>
      </c>
      <c r="AK214" s="2"/>
      <c r="AL214" s="178" t="s">
        <v>476</v>
      </c>
      <c r="AM214" s="5" t="s">
        <v>388</v>
      </c>
      <c r="AN214" s="281"/>
      <c r="AO214" s="281"/>
      <c r="AP214" s="281"/>
    </row>
    <row r="215" spans="1:42" s="181" customFormat="1" ht="11.25" customHeight="1">
      <c r="A215" s="144" t="s">
        <v>1683</v>
      </c>
      <c r="B215" s="2" t="s">
        <v>414</v>
      </c>
      <c r="C215" s="2" t="s">
        <v>415</v>
      </c>
      <c r="D215" s="34" t="s">
        <v>387</v>
      </c>
      <c r="E215" s="34" t="s">
        <v>626</v>
      </c>
      <c r="F215" s="34"/>
      <c r="G215" s="83">
        <v>1</v>
      </c>
      <c r="H215" s="6"/>
      <c r="I215" s="6"/>
      <c r="J215" s="6"/>
      <c r="K215" s="6"/>
      <c r="L215" s="6"/>
      <c r="M215" s="6"/>
      <c r="N215" s="6"/>
      <c r="O215" s="6"/>
      <c r="P215" s="6"/>
      <c r="Q215" s="6"/>
      <c r="R215" s="6"/>
      <c r="S215" s="6"/>
      <c r="T215" s="6"/>
      <c r="U215" s="6" t="s">
        <v>388</v>
      </c>
      <c r="V215" s="6"/>
      <c r="W215" s="6"/>
      <c r="X215" s="6"/>
      <c r="Y215" s="6"/>
      <c r="Z215" s="6"/>
      <c r="AA215" s="6"/>
      <c r="AB215" s="6"/>
      <c r="AC215" s="12"/>
      <c r="AD215" s="12"/>
      <c r="AE215" s="83"/>
      <c r="AF215" s="6" t="s">
        <v>389</v>
      </c>
      <c r="AG215" s="34" t="s">
        <v>1863</v>
      </c>
      <c r="AH215" s="2"/>
      <c r="AI215" s="34"/>
      <c r="AJ215" s="34"/>
      <c r="AK215" s="2"/>
      <c r="AL215" s="178" t="s">
        <v>1691</v>
      </c>
      <c r="AM215" s="5" t="s">
        <v>388</v>
      </c>
      <c r="AN215" s="281"/>
      <c r="AO215" s="281"/>
      <c r="AP215" s="281"/>
    </row>
    <row r="216" spans="1:42" s="181" customFormat="1" ht="11.25" customHeight="1">
      <c r="A216" s="144" t="s">
        <v>1721</v>
      </c>
      <c r="B216" s="2" t="s">
        <v>495</v>
      </c>
      <c r="C216" s="2" t="s">
        <v>496</v>
      </c>
      <c r="D216" s="34" t="s">
        <v>387</v>
      </c>
      <c r="E216" s="34" t="s">
        <v>626</v>
      </c>
      <c r="F216" s="34"/>
      <c r="G216" s="83">
        <v>1</v>
      </c>
      <c r="H216" s="6" t="s">
        <v>388</v>
      </c>
      <c r="I216" s="6"/>
      <c r="J216" s="6"/>
      <c r="K216" s="6"/>
      <c r="L216" s="6"/>
      <c r="M216" s="6"/>
      <c r="N216" s="6"/>
      <c r="O216" s="6"/>
      <c r="P216" s="6"/>
      <c r="Q216" s="6"/>
      <c r="R216" s="6"/>
      <c r="S216" s="6"/>
      <c r="T216" s="6"/>
      <c r="U216" s="6" t="s">
        <v>388</v>
      </c>
      <c r="V216" s="6"/>
      <c r="W216" s="6"/>
      <c r="X216" s="6"/>
      <c r="Y216" s="6"/>
      <c r="Z216" s="6"/>
      <c r="AA216" s="6"/>
      <c r="AB216" s="6"/>
      <c r="AC216" s="12"/>
      <c r="AD216" s="12"/>
      <c r="AE216" s="83">
        <v>4</v>
      </c>
      <c r="AF216" s="6" t="s">
        <v>394</v>
      </c>
      <c r="AG216" s="34" t="s">
        <v>682</v>
      </c>
      <c r="AH216" s="2"/>
      <c r="AI216" s="34" t="s">
        <v>681</v>
      </c>
      <c r="AJ216" s="34"/>
      <c r="AK216" s="2"/>
      <c r="AL216" s="179" t="s">
        <v>1691</v>
      </c>
      <c r="AM216" s="5" t="s">
        <v>388</v>
      </c>
      <c r="AN216" s="281"/>
      <c r="AO216" s="281"/>
      <c r="AP216" s="281"/>
    </row>
    <row r="217" spans="1:42" s="181" customFormat="1" ht="11.25" customHeight="1">
      <c r="A217" s="16" t="s">
        <v>1193</v>
      </c>
      <c r="B217" s="1" t="s">
        <v>1192</v>
      </c>
      <c r="C217" s="1" t="s">
        <v>947</v>
      </c>
      <c r="D217" s="1" t="s">
        <v>739</v>
      </c>
      <c r="E217" s="1" t="s">
        <v>625</v>
      </c>
      <c r="F217" s="1"/>
      <c r="G217" s="83">
        <v>1</v>
      </c>
      <c r="H217" s="6"/>
      <c r="I217" s="6"/>
      <c r="J217" s="6"/>
      <c r="K217" s="6"/>
      <c r="L217" s="6" t="s">
        <v>388</v>
      </c>
      <c r="M217" s="6" t="s">
        <v>388</v>
      </c>
      <c r="N217" s="6"/>
      <c r="O217" s="6"/>
      <c r="P217" s="6"/>
      <c r="Q217" s="6"/>
      <c r="R217" s="6"/>
      <c r="S217" s="6"/>
      <c r="T217" s="6" t="s">
        <v>388</v>
      </c>
      <c r="U217" s="6" t="s">
        <v>388</v>
      </c>
      <c r="V217" s="6"/>
      <c r="W217" s="6"/>
      <c r="X217" s="6"/>
      <c r="Y217" s="6"/>
      <c r="Z217" s="6" t="s">
        <v>388</v>
      </c>
      <c r="AA217" s="6"/>
      <c r="AB217" s="151"/>
      <c r="AC217" s="151"/>
      <c r="AD217" s="12"/>
      <c r="AE217" s="251" t="s">
        <v>648</v>
      </c>
      <c r="AF217" s="5" t="s">
        <v>389</v>
      </c>
      <c r="AG217" s="4" t="s">
        <v>1194</v>
      </c>
      <c r="AH217" s="1"/>
      <c r="AI217" s="143" t="s">
        <v>1195</v>
      </c>
      <c r="AJ217" s="4"/>
      <c r="AK217" s="1"/>
      <c r="AL217" s="179" t="s">
        <v>1698</v>
      </c>
      <c r="AM217" s="281"/>
      <c r="AN217" s="281"/>
      <c r="AO217" s="5" t="s">
        <v>388</v>
      </c>
      <c r="AP217" s="281"/>
    </row>
    <row r="218" spans="1:42" s="181" customFormat="1" ht="11.25" customHeight="1">
      <c r="A218" s="16" t="s">
        <v>1952</v>
      </c>
      <c r="B218" s="1" t="s">
        <v>1622</v>
      </c>
      <c r="C218" s="1" t="s">
        <v>1950</v>
      </c>
      <c r="D218" s="1" t="s">
        <v>739</v>
      </c>
      <c r="E218" s="1" t="s">
        <v>625</v>
      </c>
      <c r="F218" s="1"/>
      <c r="G218" s="83">
        <v>1</v>
      </c>
      <c r="H218" s="6"/>
      <c r="I218" s="6"/>
      <c r="J218" s="6"/>
      <c r="K218" s="6"/>
      <c r="L218" s="6"/>
      <c r="M218" s="6"/>
      <c r="N218" s="6"/>
      <c r="O218" s="6"/>
      <c r="P218" s="6"/>
      <c r="Q218" s="6"/>
      <c r="R218" s="6"/>
      <c r="S218" s="6"/>
      <c r="T218" s="6"/>
      <c r="U218" s="6" t="s">
        <v>388</v>
      </c>
      <c r="V218" s="6"/>
      <c r="W218" s="6"/>
      <c r="X218" s="6"/>
      <c r="Y218" s="6"/>
      <c r="Z218" s="6"/>
      <c r="AA218" s="6"/>
      <c r="AB218" s="151"/>
      <c r="AC218" s="151"/>
      <c r="AD218" s="12"/>
      <c r="AE218" s="251"/>
      <c r="AF218" s="5" t="s">
        <v>389</v>
      </c>
      <c r="AG218" s="34" t="s">
        <v>1951</v>
      </c>
      <c r="AH218" s="1"/>
      <c r="AI218" s="143"/>
      <c r="AJ218" s="4"/>
      <c r="AK218" s="1"/>
      <c r="AL218" s="179" t="s">
        <v>1703</v>
      </c>
      <c r="AM218" s="281"/>
      <c r="AN218" s="5" t="s">
        <v>388</v>
      </c>
      <c r="AO218" s="281"/>
      <c r="AP218" s="281"/>
    </row>
    <row r="219" spans="1:42" s="181" customFormat="1" ht="11.25" customHeight="1">
      <c r="A219" s="144" t="s">
        <v>455</v>
      </c>
      <c r="B219" s="2" t="s">
        <v>456</v>
      </c>
      <c r="C219" s="2" t="s">
        <v>457</v>
      </c>
      <c r="D219" s="34" t="s">
        <v>387</v>
      </c>
      <c r="E219" s="34" t="s">
        <v>626</v>
      </c>
      <c r="F219" s="34"/>
      <c r="G219" s="83">
        <v>1</v>
      </c>
      <c r="H219" s="6"/>
      <c r="I219" s="6" t="s">
        <v>388</v>
      </c>
      <c r="J219" s="6"/>
      <c r="K219" s="6"/>
      <c r="L219" s="6"/>
      <c r="M219" s="6"/>
      <c r="N219" s="6"/>
      <c r="O219" s="6"/>
      <c r="P219" s="6"/>
      <c r="Q219" s="6"/>
      <c r="R219" s="6"/>
      <c r="S219" s="6"/>
      <c r="T219" s="6"/>
      <c r="U219" s="6"/>
      <c r="V219" s="6"/>
      <c r="W219" s="6"/>
      <c r="X219" s="6"/>
      <c r="Y219" s="6"/>
      <c r="Z219" s="6"/>
      <c r="AA219" s="6"/>
      <c r="AB219" s="6"/>
      <c r="AC219" s="6"/>
      <c r="AD219" s="6"/>
      <c r="AE219" s="83">
        <v>4</v>
      </c>
      <c r="AF219" s="5" t="s">
        <v>394</v>
      </c>
      <c r="AG219" s="4" t="s">
        <v>617</v>
      </c>
      <c r="AH219" s="2"/>
      <c r="AI219" s="34"/>
      <c r="AJ219" s="34"/>
      <c r="AK219" s="2"/>
      <c r="AL219" s="179" t="s">
        <v>1691</v>
      </c>
      <c r="AM219" s="283"/>
      <c r="AN219" s="283"/>
      <c r="AO219" s="283"/>
      <c r="AP219" s="283"/>
    </row>
    <row r="220" spans="1:42" s="181" customFormat="1" ht="11.25" customHeight="1">
      <c r="A220" s="144" t="s">
        <v>363</v>
      </c>
      <c r="B220" s="1" t="s">
        <v>364</v>
      </c>
      <c r="C220" s="1" t="s">
        <v>365</v>
      </c>
      <c r="D220" s="4" t="s">
        <v>387</v>
      </c>
      <c r="E220" s="4" t="s">
        <v>625</v>
      </c>
      <c r="F220" s="4"/>
      <c r="G220" s="83">
        <v>1</v>
      </c>
      <c r="H220" s="6"/>
      <c r="I220" s="6"/>
      <c r="J220" s="6"/>
      <c r="K220" s="6" t="s">
        <v>388</v>
      </c>
      <c r="L220" s="6"/>
      <c r="M220" s="6"/>
      <c r="N220" s="6"/>
      <c r="O220" s="6"/>
      <c r="P220" s="6"/>
      <c r="Q220" s="6"/>
      <c r="R220" s="6"/>
      <c r="S220" s="6"/>
      <c r="T220" s="6" t="s">
        <v>388</v>
      </c>
      <c r="U220" s="6" t="s">
        <v>388</v>
      </c>
      <c r="V220" s="6"/>
      <c r="W220" s="6"/>
      <c r="X220" s="6"/>
      <c r="Y220" s="6"/>
      <c r="Z220" s="6"/>
      <c r="AA220" s="6"/>
      <c r="AB220" s="6"/>
      <c r="AC220" s="12" t="s">
        <v>388</v>
      </c>
      <c r="AD220" s="12"/>
      <c r="AE220" s="83">
        <v>3</v>
      </c>
      <c r="AF220" s="5" t="s">
        <v>389</v>
      </c>
      <c r="AG220" s="34" t="s">
        <v>1826</v>
      </c>
      <c r="AH220" s="1"/>
      <c r="AI220" s="4"/>
      <c r="AJ220" s="4"/>
      <c r="AK220" s="2"/>
      <c r="AL220" s="178" t="s">
        <v>1690</v>
      </c>
      <c r="AM220" s="5" t="s">
        <v>388</v>
      </c>
      <c r="AN220" s="281"/>
      <c r="AO220" s="281"/>
      <c r="AP220" s="5" t="s">
        <v>388</v>
      </c>
    </row>
    <row r="221" spans="1:42" s="181" customFormat="1" ht="11.25" customHeight="1">
      <c r="A221" s="144" t="s">
        <v>798</v>
      </c>
      <c r="B221" s="2" t="s">
        <v>797</v>
      </c>
      <c r="C221" s="3" t="s">
        <v>799</v>
      </c>
      <c r="D221" s="13" t="s">
        <v>739</v>
      </c>
      <c r="E221" s="34" t="s">
        <v>625</v>
      </c>
      <c r="F221" s="13"/>
      <c r="G221" s="83">
        <v>1</v>
      </c>
      <c r="H221" s="6" t="s">
        <v>388</v>
      </c>
      <c r="I221" s="6"/>
      <c r="J221" s="6"/>
      <c r="K221" s="6"/>
      <c r="L221" s="6"/>
      <c r="M221" s="6" t="s">
        <v>388</v>
      </c>
      <c r="N221" s="6" t="s">
        <v>388</v>
      </c>
      <c r="O221" s="6"/>
      <c r="P221" s="6"/>
      <c r="Q221" s="6"/>
      <c r="R221" s="6"/>
      <c r="S221" s="6"/>
      <c r="T221" s="6"/>
      <c r="U221" s="6"/>
      <c r="V221" s="6"/>
      <c r="W221" s="6"/>
      <c r="X221" s="6"/>
      <c r="Y221" s="6"/>
      <c r="Z221" s="6"/>
      <c r="AA221" s="6"/>
      <c r="AB221" s="6"/>
      <c r="AC221" s="12"/>
      <c r="AD221" s="12"/>
      <c r="AE221" s="83">
        <v>3</v>
      </c>
      <c r="AF221" s="6" t="s">
        <v>394</v>
      </c>
      <c r="AG221" s="34" t="s">
        <v>800</v>
      </c>
      <c r="AH221" s="2"/>
      <c r="AI221" s="34"/>
      <c r="AJ221" s="34" t="s">
        <v>763</v>
      </c>
      <c r="AK221" s="2"/>
      <c r="AL221" s="178" t="s">
        <v>476</v>
      </c>
      <c r="AM221" s="6" t="s">
        <v>388</v>
      </c>
      <c r="AN221" s="283"/>
      <c r="AO221" s="283"/>
      <c r="AP221" s="283"/>
    </row>
    <row r="222" spans="1:42" s="480" customFormat="1" ht="11.25" customHeight="1">
      <c r="A222" s="144" t="s">
        <v>657</v>
      </c>
      <c r="B222" s="2" t="s">
        <v>656</v>
      </c>
      <c r="C222" s="2" t="s">
        <v>655</v>
      </c>
      <c r="D222" s="34" t="s">
        <v>387</v>
      </c>
      <c r="E222" s="34" t="s">
        <v>625</v>
      </c>
      <c r="F222" s="34"/>
      <c r="G222" s="83">
        <v>1</v>
      </c>
      <c r="H222" s="6"/>
      <c r="I222" s="6"/>
      <c r="J222" s="6"/>
      <c r="K222" s="6"/>
      <c r="L222" s="6"/>
      <c r="M222" s="6" t="s">
        <v>388</v>
      </c>
      <c r="N222" s="6" t="s">
        <v>388</v>
      </c>
      <c r="O222" s="6"/>
      <c r="P222" s="6"/>
      <c r="Q222" s="6" t="s">
        <v>388</v>
      </c>
      <c r="R222" s="6"/>
      <c r="S222" s="6"/>
      <c r="T222" s="6"/>
      <c r="U222" s="6" t="s">
        <v>388</v>
      </c>
      <c r="V222" s="6"/>
      <c r="W222" s="6"/>
      <c r="X222" s="6"/>
      <c r="Y222" s="6"/>
      <c r="Z222" s="6"/>
      <c r="AA222" s="6"/>
      <c r="AB222" s="6"/>
      <c r="AC222" s="6" t="s">
        <v>388</v>
      </c>
      <c r="AD222" s="6"/>
      <c r="AE222" s="83">
        <v>3</v>
      </c>
      <c r="AF222" s="6" t="s">
        <v>389</v>
      </c>
      <c r="AG222" s="34" t="s">
        <v>1517</v>
      </c>
      <c r="AH222" s="2"/>
      <c r="AI222" s="34" t="s">
        <v>1515</v>
      </c>
      <c r="AJ222" s="34"/>
      <c r="AK222" s="2"/>
      <c r="AL222" s="179" t="s">
        <v>1692</v>
      </c>
      <c r="AM222" s="281"/>
      <c r="AN222" s="5" t="s">
        <v>388</v>
      </c>
      <c r="AO222" s="5" t="s">
        <v>388</v>
      </c>
      <c r="AP222" s="281"/>
    </row>
    <row r="223" spans="1:42" s="181" customFormat="1" ht="11.25" customHeight="1">
      <c r="A223" s="144" t="s">
        <v>657</v>
      </c>
      <c r="B223" s="2" t="s">
        <v>805</v>
      </c>
      <c r="C223" s="2" t="s">
        <v>806</v>
      </c>
      <c r="D223" s="34" t="s">
        <v>739</v>
      </c>
      <c r="E223" s="34" t="s">
        <v>625</v>
      </c>
      <c r="F223" s="34"/>
      <c r="G223" s="83">
        <v>1</v>
      </c>
      <c r="H223" s="6"/>
      <c r="I223" s="6"/>
      <c r="J223" s="6" t="s">
        <v>388</v>
      </c>
      <c r="K223" s="6"/>
      <c r="L223" s="6"/>
      <c r="M223" s="6"/>
      <c r="N223" s="6" t="s">
        <v>388</v>
      </c>
      <c r="O223" s="6"/>
      <c r="P223" s="6"/>
      <c r="Q223" s="6"/>
      <c r="R223" s="6"/>
      <c r="S223" s="6"/>
      <c r="T223" s="6"/>
      <c r="U223" s="6"/>
      <c r="V223" s="6"/>
      <c r="W223" s="6"/>
      <c r="X223" s="6"/>
      <c r="Y223" s="6"/>
      <c r="Z223" s="6"/>
      <c r="AA223" s="6"/>
      <c r="AB223" s="6"/>
      <c r="AC223" s="12"/>
      <c r="AD223" s="12" t="s">
        <v>388</v>
      </c>
      <c r="AE223" s="83">
        <v>3</v>
      </c>
      <c r="AF223" s="6" t="s">
        <v>394</v>
      </c>
      <c r="AG223" s="34" t="s">
        <v>807</v>
      </c>
      <c r="AH223" s="2"/>
      <c r="AI223" s="34"/>
      <c r="AJ223" s="34" t="s">
        <v>763</v>
      </c>
      <c r="AK223" s="2"/>
      <c r="AL223" s="178" t="s">
        <v>476</v>
      </c>
      <c r="AM223" s="5" t="s">
        <v>388</v>
      </c>
      <c r="AN223" s="281"/>
      <c r="AO223" s="281"/>
      <c r="AP223" s="281"/>
    </row>
    <row r="224" spans="1:42" s="480" customFormat="1" ht="11.25" customHeight="1">
      <c r="A224" s="144" t="s">
        <v>1861</v>
      </c>
      <c r="B224" s="94" t="s">
        <v>567</v>
      </c>
      <c r="C224" s="3" t="s">
        <v>568</v>
      </c>
      <c r="D224" s="13" t="s">
        <v>387</v>
      </c>
      <c r="E224" s="13" t="s">
        <v>626</v>
      </c>
      <c r="F224" s="13"/>
      <c r="G224" s="83">
        <v>1</v>
      </c>
      <c r="H224" s="6" t="s">
        <v>388</v>
      </c>
      <c r="I224" s="6"/>
      <c r="J224" s="6"/>
      <c r="K224" s="6"/>
      <c r="L224" s="6"/>
      <c r="M224" s="6"/>
      <c r="N224" s="6"/>
      <c r="O224" s="6"/>
      <c r="P224" s="6"/>
      <c r="Q224" s="6"/>
      <c r="R224" s="6"/>
      <c r="S224" s="6"/>
      <c r="T224" s="6"/>
      <c r="U224" s="6"/>
      <c r="V224" s="6"/>
      <c r="W224" s="6"/>
      <c r="X224" s="6"/>
      <c r="Y224" s="6"/>
      <c r="Z224" s="6"/>
      <c r="AA224" s="6"/>
      <c r="AB224" s="6"/>
      <c r="AC224" s="12"/>
      <c r="AD224" s="12"/>
      <c r="AE224" s="83">
        <v>2</v>
      </c>
      <c r="AF224" s="5" t="s">
        <v>394</v>
      </c>
      <c r="AG224" s="34" t="s">
        <v>1862</v>
      </c>
      <c r="AH224" s="2"/>
      <c r="AI224" s="4"/>
      <c r="AJ224" s="4"/>
      <c r="AK224" s="2"/>
      <c r="AL224" s="179" t="s">
        <v>1691</v>
      </c>
      <c r="AM224" s="5" t="s">
        <v>388</v>
      </c>
      <c r="AN224" s="281"/>
      <c r="AO224" s="281"/>
      <c r="AP224" s="281"/>
    </row>
    <row r="225" spans="1:42" s="181" customFormat="1" ht="11.25" customHeight="1">
      <c r="A225" s="144" t="s">
        <v>566</v>
      </c>
      <c r="B225" s="1" t="s">
        <v>569</v>
      </c>
      <c r="C225" s="1" t="s">
        <v>570</v>
      </c>
      <c r="D225" s="4" t="s">
        <v>387</v>
      </c>
      <c r="E225" s="4" t="s">
        <v>626</v>
      </c>
      <c r="F225" s="4"/>
      <c r="G225" s="83">
        <v>1</v>
      </c>
      <c r="H225" s="6" t="s">
        <v>388</v>
      </c>
      <c r="I225" s="6"/>
      <c r="J225" s="6"/>
      <c r="K225" s="6"/>
      <c r="L225" s="6"/>
      <c r="M225" s="6"/>
      <c r="N225" s="6"/>
      <c r="O225" s="6"/>
      <c r="P225" s="6"/>
      <c r="Q225" s="6"/>
      <c r="R225" s="6"/>
      <c r="S225" s="6"/>
      <c r="T225" s="6"/>
      <c r="U225" s="6"/>
      <c r="V225" s="6"/>
      <c r="W225" s="6"/>
      <c r="X225" s="6"/>
      <c r="Y225" s="6"/>
      <c r="Z225" s="6"/>
      <c r="AA225" s="6"/>
      <c r="AB225" s="6"/>
      <c r="AC225" s="12" t="s">
        <v>388</v>
      </c>
      <c r="AD225" s="12"/>
      <c r="AE225" s="83">
        <v>2</v>
      </c>
      <c r="AF225" s="5" t="s">
        <v>394</v>
      </c>
      <c r="AG225" s="4" t="s">
        <v>491</v>
      </c>
      <c r="AH225" s="2"/>
      <c r="AI225" s="34"/>
      <c r="AJ225" s="4"/>
      <c r="AK225" s="2"/>
      <c r="AL225" s="179" t="s">
        <v>1691</v>
      </c>
      <c r="AM225" s="5" t="s">
        <v>388</v>
      </c>
      <c r="AN225" s="281"/>
      <c r="AO225" s="281"/>
      <c r="AP225" s="281"/>
    </row>
    <row r="226" spans="1:42" s="181" customFormat="1" ht="11.25" customHeight="1">
      <c r="A226" s="144" t="s">
        <v>1663</v>
      </c>
      <c r="B226" s="2" t="s">
        <v>459</v>
      </c>
      <c r="C226" s="2" t="s">
        <v>460</v>
      </c>
      <c r="D226" s="34" t="s">
        <v>387</v>
      </c>
      <c r="E226" s="34" t="s">
        <v>626</v>
      </c>
      <c r="F226" s="34"/>
      <c r="G226" s="83">
        <v>1</v>
      </c>
      <c r="H226" s="6" t="s">
        <v>388</v>
      </c>
      <c r="I226" s="6"/>
      <c r="J226" s="6"/>
      <c r="K226" s="6"/>
      <c r="L226" s="6"/>
      <c r="M226" s="6"/>
      <c r="N226" s="6"/>
      <c r="O226" s="6"/>
      <c r="P226" s="6"/>
      <c r="Q226" s="6"/>
      <c r="R226" s="6"/>
      <c r="S226" s="6"/>
      <c r="T226" s="6"/>
      <c r="U226" s="6"/>
      <c r="V226" s="6"/>
      <c r="W226" s="6"/>
      <c r="X226" s="6"/>
      <c r="Y226" s="6"/>
      <c r="Z226" s="6"/>
      <c r="AA226" s="6"/>
      <c r="AB226" s="6"/>
      <c r="AC226" s="6"/>
      <c r="AD226" s="6"/>
      <c r="AE226" s="83">
        <v>4</v>
      </c>
      <c r="AF226" s="5" t="s">
        <v>394</v>
      </c>
      <c r="AG226" s="4" t="s">
        <v>2076</v>
      </c>
      <c r="AH226" s="2"/>
      <c r="AI226" s="34"/>
      <c r="AJ226" s="34"/>
      <c r="AK226" s="2" t="s">
        <v>2138</v>
      </c>
      <c r="AL226" s="179" t="s">
        <v>1691</v>
      </c>
      <c r="AM226" s="281"/>
      <c r="AN226" s="281"/>
      <c r="AO226" s="281"/>
      <c r="AP226" s="281"/>
    </row>
    <row r="227" spans="1:42" s="181" customFormat="1" ht="11.25" customHeight="1">
      <c r="A227" s="144" t="s">
        <v>1663</v>
      </c>
      <c r="B227" s="1" t="s">
        <v>571</v>
      </c>
      <c r="C227" s="1" t="s">
        <v>572</v>
      </c>
      <c r="D227" s="4" t="s">
        <v>387</v>
      </c>
      <c r="E227" s="4" t="s">
        <v>626</v>
      </c>
      <c r="F227" s="4"/>
      <c r="G227" s="83">
        <v>1</v>
      </c>
      <c r="H227" s="6" t="s">
        <v>388</v>
      </c>
      <c r="I227" s="6"/>
      <c r="J227" s="6"/>
      <c r="K227" s="6"/>
      <c r="L227" s="6"/>
      <c r="M227" s="6"/>
      <c r="N227" s="6"/>
      <c r="O227" s="6"/>
      <c r="P227" s="6"/>
      <c r="Q227" s="6"/>
      <c r="R227" s="6"/>
      <c r="S227" s="6"/>
      <c r="T227" s="6"/>
      <c r="U227" s="6"/>
      <c r="V227" s="6"/>
      <c r="W227" s="6"/>
      <c r="X227" s="6"/>
      <c r="Y227" s="6"/>
      <c r="Z227" s="6"/>
      <c r="AA227" s="6"/>
      <c r="AB227" s="6"/>
      <c r="AC227" s="12" t="s">
        <v>388</v>
      </c>
      <c r="AD227" s="12"/>
      <c r="AE227" s="83">
        <v>2</v>
      </c>
      <c r="AF227" s="5" t="s">
        <v>394</v>
      </c>
      <c r="AG227" s="4" t="s">
        <v>491</v>
      </c>
      <c r="AH227" s="2"/>
      <c r="AI227" s="34"/>
      <c r="AJ227" s="4"/>
      <c r="AK227" s="2"/>
      <c r="AL227" s="179" t="s">
        <v>1691</v>
      </c>
      <c r="AM227" s="6"/>
      <c r="AN227" s="283"/>
      <c r="AO227" s="283"/>
      <c r="AP227" s="283"/>
    </row>
    <row r="228" spans="1:42" s="181" customFormat="1" ht="11.25" customHeight="1">
      <c r="A228" s="16" t="s">
        <v>1237</v>
      </c>
      <c r="B228" s="1" t="s">
        <v>1247</v>
      </c>
      <c r="C228" s="1" t="s">
        <v>1246</v>
      </c>
      <c r="D228" s="1" t="s">
        <v>739</v>
      </c>
      <c r="E228" s="1" t="s">
        <v>625</v>
      </c>
      <c r="F228" s="1"/>
      <c r="G228" s="83">
        <v>1</v>
      </c>
      <c r="H228" s="6"/>
      <c r="I228" s="6"/>
      <c r="J228" s="6"/>
      <c r="K228" s="6"/>
      <c r="L228" s="6"/>
      <c r="M228" s="6" t="s">
        <v>388</v>
      </c>
      <c r="N228" s="6"/>
      <c r="O228" s="6"/>
      <c r="P228" s="6"/>
      <c r="Q228" s="6"/>
      <c r="R228" s="6"/>
      <c r="S228" s="6"/>
      <c r="T228" s="6" t="s">
        <v>388</v>
      </c>
      <c r="U228" s="6" t="s">
        <v>388</v>
      </c>
      <c r="V228" s="6"/>
      <c r="W228" s="6"/>
      <c r="X228" s="6"/>
      <c r="Y228" s="6"/>
      <c r="Z228" s="6"/>
      <c r="AA228" s="6"/>
      <c r="AB228" s="151"/>
      <c r="AC228" s="151"/>
      <c r="AD228" s="12"/>
      <c r="AE228" s="251" t="s">
        <v>648</v>
      </c>
      <c r="AF228" s="5" t="s">
        <v>389</v>
      </c>
      <c r="AG228" s="4" t="s">
        <v>1248</v>
      </c>
      <c r="AH228" s="1"/>
      <c r="AI228" s="143" t="s">
        <v>1249</v>
      </c>
      <c r="AJ228" s="4"/>
      <c r="AK228" s="1"/>
      <c r="AL228" s="179" t="s">
        <v>1700</v>
      </c>
      <c r="AM228" s="283"/>
      <c r="AN228" s="6" t="s">
        <v>388</v>
      </c>
      <c r="AO228" s="283"/>
      <c r="AP228" s="283"/>
    </row>
    <row r="229" spans="1:42" s="181" customFormat="1" ht="11.25" customHeight="1">
      <c r="A229" s="16" t="s">
        <v>1237</v>
      </c>
      <c r="B229" s="1" t="s">
        <v>1238</v>
      </c>
      <c r="C229" s="1" t="s">
        <v>2166</v>
      </c>
      <c r="D229" s="1" t="s">
        <v>739</v>
      </c>
      <c r="E229" s="1" t="s">
        <v>625</v>
      </c>
      <c r="F229" s="1"/>
      <c r="G229" s="83">
        <v>1</v>
      </c>
      <c r="H229" s="6"/>
      <c r="I229" s="6"/>
      <c r="J229" s="6" t="s">
        <v>388</v>
      </c>
      <c r="K229" s="6"/>
      <c r="L229" s="6"/>
      <c r="M229" s="6" t="s">
        <v>388</v>
      </c>
      <c r="N229" s="6"/>
      <c r="O229" s="6"/>
      <c r="P229" s="6"/>
      <c r="Q229" s="6"/>
      <c r="R229" s="6"/>
      <c r="S229" s="6"/>
      <c r="T229" s="6"/>
      <c r="U229" s="6" t="s">
        <v>388</v>
      </c>
      <c r="V229" s="6"/>
      <c r="W229" s="6"/>
      <c r="X229" s="6"/>
      <c r="Y229" s="6"/>
      <c r="Z229" s="6"/>
      <c r="AA229" s="6"/>
      <c r="AB229" s="151"/>
      <c r="AC229" s="151"/>
      <c r="AD229" s="12"/>
      <c r="AE229" s="251" t="s">
        <v>648</v>
      </c>
      <c r="AF229" s="5" t="s">
        <v>389</v>
      </c>
      <c r="AG229" s="4" t="s">
        <v>1239</v>
      </c>
      <c r="AH229" s="1"/>
      <c r="AI229" s="143" t="s">
        <v>1240</v>
      </c>
      <c r="AJ229" s="4"/>
      <c r="AK229" s="1"/>
      <c r="AL229" s="179" t="s">
        <v>1700</v>
      </c>
      <c r="AM229" s="281"/>
      <c r="AN229" s="5" t="s">
        <v>388</v>
      </c>
      <c r="AO229" s="281"/>
      <c r="AP229" s="281"/>
    </row>
    <row r="230" spans="1:42" s="480" customFormat="1" ht="11.25" customHeight="1">
      <c r="A230" s="145" t="s">
        <v>2270</v>
      </c>
      <c r="B230" s="2" t="s">
        <v>1475</v>
      </c>
      <c r="C230" s="2" t="s">
        <v>371</v>
      </c>
      <c r="D230" s="34" t="s">
        <v>387</v>
      </c>
      <c r="E230" s="34" t="s">
        <v>625</v>
      </c>
      <c r="F230" s="34"/>
      <c r="G230" s="83">
        <v>1</v>
      </c>
      <c r="H230" s="6"/>
      <c r="I230" s="6"/>
      <c r="J230" s="6"/>
      <c r="K230" s="6"/>
      <c r="L230" s="6"/>
      <c r="M230" s="6" t="s">
        <v>388</v>
      </c>
      <c r="N230" s="6"/>
      <c r="O230" s="6"/>
      <c r="P230" s="6"/>
      <c r="Q230" s="6"/>
      <c r="R230" s="6"/>
      <c r="S230" s="6"/>
      <c r="T230" s="6" t="s">
        <v>388</v>
      </c>
      <c r="U230" s="6" t="s">
        <v>388</v>
      </c>
      <c r="V230" s="6"/>
      <c r="W230" s="6"/>
      <c r="X230" s="6"/>
      <c r="Y230" s="6" t="s">
        <v>388</v>
      </c>
      <c r="Z230" s="6" t="s">
        <v>388</v>
      </c>
      <c r="AA230" s="6"/>
      <c r="AB230" s="6"/>
      <c r="AC230" s="12"/>
      <c r="AD230" s="12"/>
      <c r="AE230" s="83">
        <v>3</v>
      </c>
      <c r="AF230" s="6" t="s">
        <v>389</v>
      </c>
      <c r="AG230" s="34" t="s">
        <v>2271</v>
      </c>
      <c r="AH230" s="2"/>
      <c r="AI230" s="34" t="s">
        <v>2220</v>
      </c>
      <c r="AJ230" s="34"/>
      <c r="AK230" s="2"/>
      <c r="AL230" s="178" t="s">
        <v>1701</v>
      </c>
      <c r="AM230" s="281"/>
      <c r="AN230" s="5" t="s">
        <v>388</v>
      </c>
      <c r="AO230" s="281"/>
      <c r="AP230" s="281"/>
    </row>
    <row r="231" spans="1:42" s="480" customFormat="1" ht="11.25" customHeight="1">
      <c r="A231" s="16" t="s">
        <v>1352</v>
      </c>
      <c r="B231" s="1" t="s">
        <v>1351</v>
      </c>
      <c r="C231" s="1" t="s">
        <v>1350</v>
      </c>
      <c r="D231" s="1" t="s">
        <v>1150</v>
      </c>
      <c r="E231" s="1" t="s">
        <v>625</v>
      </c>
      <c r="F231" s="1"/>
      <c r="G231" s="83">
        <v>1</v>
      </c>
      <c r="H231" s="6"/>
      <c r="I231" s="6"/>
      <c r="J231" s="6"/>
      <c r="K231" s="6"/>
      <c r="L231" s="6"/>
      <c r="M231" s="6"/>
      <c r="N231" s="6"/>
      <c r="O231" s="6"/>
      <c r="P231" s="6"/>
      <c r="Q231" s="6"/>
      <c r="R231" s="6"/>
      <c r="S231" s="6"/>
      <c r="T231" s="6" t="s">
        <v>388</v>
      </c>
      <c r="U231" s="6"/>
      <c r="V231" s="6"/>
      <c r="W231" s="6"/>
      <c r="X231" s="6"/>
      <c r="Y231" s="6" t="s">
        <v>388</v>
      </c>
      <c r="Z231" s="6"/>
      <c r="AA231" s="6" t="s">
        <v>388</v>
      </c>
      <c r="AB231" s="151" t="s">
        <v>388</v>
      </c>
      <c r="AC231" s="151"/>
      <c r="AD231" s="12"/>
      <c r="AE231" s="251" t="s">
        <v>648</v>
      </c>
      <c r="AF231" s="5" t="s">
        <v>389</v>
      </c>
      <c r="AG231" s="4" t="s">
        <v>1353</v>
      </c>
      <c r="AH231" s="1"/>
      <c r="AI231" s="143" t="s">
        <v>1355</v>
      </c>
      <c r="AJ231" s="4" t="s">
        <v>1354</v>
      </c>
      <c r="AK231" s="1"/>
      <c r="AL231" s="179" t="s">
        <v>1694</v>
      </c>
      <c r="AM231" s="283"/>
      <c r="AN231" s="283"/>
      <c r="AO231" s="6" t="s">
        <v>388</v>
      </c>
      <c r="AP231" s="6" t="s">
        <v>388</v>
      </c>
    </row>
    <row r="232" spans="1:42" s="480" customFormat="1" ht="11.25" customHeight="1">
      <c r="A232" s="16" t="s">
        <v>1128</v>
      </c>
      <c r="B232" s="1" t="s">
        <v>1071</v>
      </c>
      <c r="C232" s="4" t="s">
        <v>1072</v>
      </c>
      <c r="D232" s="4" t="s">
        <v>739</v>
      </c>
      <c r="E232" s="1" t="s">
        <v>625</v>
      </c>
      <c r="F232" s="4"/>
      <c r="G232" s="83">
        <v>1</v>
      </c>
      <c r="H232" s="6"/>
      <c r="I232" s="6"/>
      <c r="J232" s="6"/>
      <c r="K232" s="6" t="s">
        <v>388</v>
      </c>
      <c r="L232" s="6"/>
      <c r="M232" s="6"/>
      <c r="N232" s="6"/>
      <c r="O232" s="6"/>
      <c r="P232" s="6"/>
      <c r="Q232" s="6"/>
      <c r="R232" s="6" t="s">
        <v>388</v>
      </c>
      <c r="S232" s="6"/>
      <c r="T232" s="6" t="s">
        <v>388</v>
      </c>
      <c r="U232" s="6"/>
      <c r="V232" s="6"/>
      <c r="W232" s="6" t="s">
        <v>388</v>
      </c>
      <c r="X232" s="6" t="s">
        <v>388</v>
      </c>
      <c r="Y232" s="6"/>
      <c r="Z232" s="6" t="s">
        <v>388</v>
      </c>
      <c r="AA232" s="6" t="s">
        <v>388</v>
      </c>
      <c r="AB232" s="6"/>
      <c r="AC232" s="12"/>
      <c r="AD232" s="12"/>
      <c r="AE232" s="83">
        <v>3</v>
      </c>
      <c r="AF232" s="8" t="s">
        <v>641</v>
      </c>
      <c r="AG232" s="34" t="s">
        <v>1074</v>
      </c>
      <c r="AH232" s="2"/>
      <c r="AI232" s="143" t="s">
        <v>1131</v>
      </c>
      <c r="AJ232" s="4"/>
      <c r="AK232" s="2"/>
      <c r="AL232" s="178" t="s">
        <v>1696</v>
      </c>
      <c r="AM232" s="6" t="s">
        <v>388</v>
      </c>
      <c r="AN232" s="283"/>
      <c r="AO232" s="6" t="s">
        <v>388</v>
      </c>
      <c r="AP232" s="6" t="s">
        <v>388</v>
      </c>
    </row>
    <row r="233" spans="1:42" s="480" customFormat="1" ht="11.25" customHeight="1">
      <c r="A233" s="16" t="s">
        <v>1128</v>
      </c>
      <c r="B233" s="1" t="s">
        <v>1605</v>
      </c>
      <c r="C233" s="1" t="s">
        <v>923</v>
      </c>
      <c r="D233" s="1" t="s">
        <v>739</v>
      </c>
      <c r="E233" s="1" t="s">
        <v>625</v>
      </c>
      <c r="F233" s="1"/>
      <c r="G233" s="83">
        <v>1</v>
      </c>
      <c r="H233" s="6"/>
      <c r="I233" s="6"/>
      <c r="J233" s="6"/>
      <c r="K233" s="6"/>
      <c r="L233" s="6" t="s">
        <v>388</v>
      </c>
      <c r="M233" s="6"/>
      <c r="N233" s="6"/>
      <c r="O233" s="6"/>
      <c r="P233" s="6"/>
      <c r="Q233" s="6"/>
      <c r="R233" s="6"/>
      <c r="S233" s="6"/>
      <c r="T233" s="6"/>
      <c r="U233" s="6"/>
      <c r="V233" s="6"/>
      <c r="W233" s="6"/>
      <c r="X233" s="6"/>
      <c r="Y233" s="6"/>
      <c r="Z233" s="6"/>
      <c r="AA233" s="6"/>
      <c r="AB233" s="151"/>
      <c r="AC233" s="151"/>
      <c r="AD233" s="12"/>
      <c r="AE233" s="251"/>
      <c r="AF233" s="5" t="s">
        <v>389</v>
      </c>
      <c r="AG233" s="34" t="s">
        <v>1925</v>
      </c>
      <c r="AH233" s="1"/>
      <c r="AI233" s="143"/>
      <c r="AJ233" s="4"/>
      <c r="AK233" s="1"/>
      <c r="AL233" s="179" t="s">
        <v>1703</v>
      </c>
      <c r="AM233" s="283"/>
      <c r="AN233" s="6" t="s">
        <v>388</v>
      </c>
      <c r="AO233" s="283"/>
      <c r="AP233" s="283"/>
    </row>
    <row r="234" spans="1:42" s="480" customFormat="1" ht="11.25" customHeight="1">
      <c r="A234" s="16" t="s">
        <v>1288</v>
      </c>
      <c r="B234" s="1" t="s">
        <v>1289</v>
      </c>
      <c r="C234" s="1" t="s">
        <v>1287</v>
      </c>
      <c r="D234" s="1" t="s">
        <v>387</v>
      </c>
      <c r="E234" s="1" t="s">
        <v>625</v>
      </c>
      <c r="F234" s="1"/>
      <c r="G234" s="83">
        <v>1</v>
      </c>
      <c r="H234" s="6"/>
      <c r="I234" s="6"/>
      <c r="J234" s="6"/>
      <c r="K234" s="6"/>
      <c r="L234" s="6"/>
      <c r="M234" s="6"/>
      <c r="N234" s="6"/>
      <c r="O234" s="6"/>
      <c r="P234" s="6"/>
      <c r="Q234" s="6"/>
      <c r="R234" s="6"/>
      <c r="S234" s="6"/>
      <c r="T234" s="6" t="s">
        <v>388</v>
      </c>
      <c r="U234" s="6"/>
      <c r="V234" s="6"/>
      <c r="W234" s="6"/>
      <c r="X234" s="6"/>
      <c r="Y234" s="6"/>
      <c r="Z234" s="6"/>
      <c r="AA234" s="6" t="s">
        <v>388</v>
      </c>
      <c r="AB234" s="151"/>
      <c r="AC234" s="151"/>
      <c r="AD234" s="12"/>
      <c r="AE234" s="251" t="s">
        <v>648</v>
      </c>
      <c r="AF234" s="5" t="s">
        <v>394</v>
      </c>
      <c r="AG234" s="4" t="s">
        <v>1290</v>
      </c>
      <c r="AH234" s="1"/>
      <c r="AI234" s="143"/>
      <c r="AJ234" s="4"/>
      <c r="AK234" s="1"/>
      <c r="AL234" s="179" t="s">
        <v>1694</v>
      </c>
      <c r="AM234" s="283"/>
      <c r="AN234" s="283"/>
      <c r="AO234" s="283"/>
      <c r="AP234" s="6" t="s">
        <v>388</v>
      </c>
    </row>
    <row r="235" spans="1:42" s="480" customFormat="1" ht="11.25" customHeight="1">
      <c r="A235" s="144" t="s">
        <v>1949</v>
      </c>
      <c r="B235" s="2" t="s">
        <v>471</v>
      </c>
      <c r="C235" s="2" t="s">
        <v>472</v>
      </c>
      <c r="D235" s="34" t="s">
        <v>387</v>
      </c>
      <c r="E235" s="34" t="s">
        <v>626</v>
      </c>
      <c r="F235" s="34"/>
      <c r="G235" s="83">
        <v>1</v>
      </c>
      <c r="H235" s="6" t="s">
        <v>388</v>
      </c>
      <c r="I235" s="6"/>
      <c r="J235" s="6"/>
      <c r="K235" s="6"/>
      <c r="L235" s="6"/>
      <c r="M235" s="6"/>
      <c r="N235" s="6"/>
      <c r="O235" s="6"/>
      <c r="P235" s="6"/>
      <c r="Q235" s="6"/>
      <c r="R235" s="6"/>
      <c r="S235" s="6"/>
      <c r="T235" s="6"/>
      <c r="U235" s="6"/>
      <c r="V235" s="6"/>
      <c r="W235" s="6"/>
      <c r="X235" s="6"/>
      <c r="Y235" s="6"/>
      <c r="Z235" s="6"/>
      <c r="AA235" s="6"/>
      <c r="AB235" s="6"/>
      <c r="AC235" s="6"/>
      <c r="AD235" s="6"/>
      <c r="AE235" s="83">
        <v>4</v>
      </c>
      <c r="AF235" s="5" t="s">
        <v>394</v>
      </c>
      <c r="AG235" s="4" t="s">
        <v>431</v>
      </c>
      <c r="AH235" s="2"/>
      <c r="AI235" s="34"/>
      <c r="AJ235" s="34"/>
      <c r="AK235" s="2" t="s">
        <v>2138</v>
      </c>
      <c r="AL235" s="179" t="s">
        <v>1691</v>
      </c>
      <c r="AM235" s="281"/>
      <c r="AN235" s="281"/>
      <c r="AO235" s="281"/>
      <c r="AP235" s="281"/>
    </row>
    <row r="236" spans="1:42" s="480" customFormat="1" ht="11.25" customHeight="1">
      <c r="A236" s="145" t="s">
        <v>2128</v>
      </c>
      <c r="B236" s="1" t="s">
        <v>545</v>
      </c>
      <c r="C236" s="1" t="s">
        <v>546</v>
      </c>
      <c r="D236" s="4" t="s">
        <v>387</v>
      </c>
      <c r="E236" s="4" t="s">
        <v>626</v>
      </c>
      <c r="F236" s="4"/>
      <c r="G236" s="83">
        <v>1</v>
      </c>
      <c r="H236" s="6" t="s">
        <v>388</v>
      </c>
      <c r="I236" s="6"/>
      <c r="J236" s="6"/>
      <c r="K236" s="6"/>
      <c r="L236" s="6"/>
      <c r="M236" s="6"/>
      <c r="N236" s="6"/>
      <c r="O236" s="6"/>
      <c r="P236" s="6"/>
      <c r="Q236" s="6"/>
      <c r="R236" s="6"/>
      <c r="S236" s="6"/>
      <c r="T236" s="6"/>
      <c r="U236" s="6"/>
      <c r="V236" s="6"/>
      <c r="W236" s="6"/>
      <c r="X236" s="6"/>
      <c r="Y236" s="6"/>
      <c r="Z236" s="6"/>
      <c r="AA236" s="6"/>
      <c r="AB236" s="6"/>
      <c r="AC236" s="12"/>
      <c r="AD236" s="12"/>
      <c r="AE236" s="83">
        <v>2</v>
      </c>
      <c r="AF236" s="5" t="s">
        <v>394</v>
      </c>
      <c r="AG236" s="4" t="s">
        <v>431</v>
      </c>
      <c r="AH236" s="2"/>
      <c r="AI236" s="34"/>
      <c r="AJ236" s="4"/>
      <c r="AK236" s="2" t="s">
        <v>2138</v>
      </c>
      <c r="AL236" s="179" t="s">
        <v>1691</v>
      </c>
      <c r="AM236" s="281"/>
      <c r="AN236" s="281"/>
      <c r="AO236" s="281"/>
      <c r="AP236" s="281"/>
    </row>
    <row r="237" spans="1:42" s="480" customFormat="1" ht="11.25" customHeight="1">
      <c r="A237" s="144" t="s">
        <v>701</v>
      </c>
      <c r="B237" s="2" t="s">
        <v>703</v>
      </c>
      <c r="C237" s="2" t="s">
        <v>702</v>
      </c>
      <c r="D237" s="34" t="s">
        <v>387</v>
      </c>
      <c r="E237" s="34" t="s">
        <v>625</v>
      </c>
      <c r="F237" s="34"/>
      <c r="G237" s="83">
        <v>1</v>
      </c>
      <c r="H237" s="6"/>
      <c r="I237" s="6"/>
      <c r="J237" s="6"/>
      <c r="K237" s="6"/>
      <c r="L237" s="6"/>
      <c r="M237" s="6"/>
      <c r="N237" s="6"/>
      <c r="O237" s="6" t="s">
        <v>388</v>
      </c>
      <c r="P237" s="6" t="s">
        <v>388</v>
      </c>
      <c r="Q237" s="6" t="s">
        <v>388</v>
      </c>
      <c r="R237" s="6"/>
      <c r="S237" s="6" t="s">
        <v>388</v>
      </c>
      <c r="T237" s="6"/>
      <c r="U237" s="6"/>
      <c r="V237" s="6" t="s">
        <v>388</v>
      </c>
      <c r="W237" s="6"/>
      <c r="X237" s="6" t="s">
        <v>388</v>
      </c>
      <c r="Y237" s="6"/>
      <c r="Z237" s="6"/>
      <c r="AA237" s="6"/>
      <c r="AB237" s="6"/>
      <c r="AC237" s="12"/>
      <c r="AD237" s="12"/>
      <c r="AE237" s="83" t="s">
        <v>648</v>
      </c>
      <c r="AF237" s="6" t="s">
        <v>394</v>
      </c>
      <c r="AG237" s="34" t="s">
        <v>704</v>
      </c>
      <c r="AH237" s="2"/>
      <c r="AI237" s="34"/>
      <c r="AJ237" s="34"/>
      <c r="AK237" s="2"/>
      <c r="AL237" s="178" t="s">
        <v>1699</v>
      </c>
      <c r="AM237" s="281"/>
      <c r="AN237" s="281"/>
      <c r="AO237" s="281"/>
      <c r="AP237" s="5" t="s">
        <v>388</v>
      </c>
    </row>
    <row r="238" spans="1:42" s="181" customFormat="1" ht="11.25" customHeight="1">
      <c r="A238" s="144" t="s">
        <v>882</v>
      </c>
      <c r="B238" s="2" t="s">
        <v>881</v>
      </c>
      <c r="C238" s="2" t="s">
        <v>883</v>
      </c>
      <c r="D238" s="34" t="s">
        <v>739</v>
      </c>
      <c r="E238" s="34" t="s">
        <v>625</v>
      </c>
      <c r="F238" s="34"/>
      <c r="G238" s="83">
        <v>1</v>
      </c>
      <c r="H238" s="6"/>
      <c r="I238" s="6"/>
      <c r="J238" s="6"/>
      <c r="K238" s="6"/>
      <c r="L238" s="6"/>
      <c r="M238" s="6" t="s">
        <v>388</v>
      </c>
      <c r="N238" s="6" t="s">
        <v>388</v>
      </c>
      <c r="O238" s="6"/>
      <c r="P238" s="6"/>
      <c r="Q238" s="6"/>
      <c r="R238" s="6"/>
      <c r="S238" s="6"/>
      <c r="T238" s="6"/>
      <c r="U238" s="6" t="s">
        <v>388</v>
      </c>
      <c r="V238" s="6"/>
      <c r="W238" s="6"/>
      <c r="X238" s="6"/>
      <c r="Y238" s="6"/>
      <c r="Z238" s="6"/>
      <c r="AA238" s="6"/>
      <c r="AB238" s="6"/>
      <c r="AC238" s="12"/>
      <c r="AD238" s="12"/>
      <c r="AE238" s="83" t="s">
        <v>648</v>
      </c>
      <c r="AF238" s="6" t="s">
        <v>389</v>
      </c>
      <c r="AG238" s="34" t="s">
        <v>884</v>
      </c>
      <c r="AH238" s="2"/>
      <c r="AI238" s="34"/>
      <c r="AJ238" s="34" t="s">
        <v>763</v>
      </c>
      <c r="AK238" s="2"/>
      <c r="AL238" s="178" t="s">
        <v>476</v>
      </c>
      <c r="AM238" s="6" t="s">
        <v>388</v>
      </c>
      <c r="AN238" s="6" t="s">
        <v>388</v>
      </c>
      <c r="AO238" s="283"/>
      <c r="AP238" s="283"/>
    </row>
    <row r="239" spans="1:42" s="181" customFormat="1" ht="11.25" customHeight="1">
      <c r="A239" s="16" t="s">
        <v>1266</v>
      </c>
      <c r="B239" s="1" t="s">
        <v>1267</v>
      </c>
      <c r="C239" s="1" t="s">
        <v>1265</v>
      </c>
      <c r="D239" s="1" t="s">
        <v>1150</v>
      </c>
      <c r="E239" s="1" t="s">
        <v>625</v>
      </c>
      <c r="F239" s="1"/>
      <c r="G239" s="83">
        <v>1</v>
      </c>
      <c r="H239" s="6"/>
      <c r="I239" s="6"/>
      <c r="J239" s="6"/>
      <c r="K239" s="6"/>
      <c r="L239" s="6"/>
      <c r="M239" s="6"/>
      <c r="N239" s="6"/>
      <c r="O239" s="6"/>
      <c r="P239" s="6"/>
      <c r="Q239" s="6"/>
      <c r="R239" s="6"/>
      <c r="S239" s="6"/>
      <c r="T239" s="6" t="s">
        <v>388</v>
      </c>
      <c r="U239" s="6"/>
      <c r="V239" s="6"/>
      <c r="W239" s="6"/>
      <c r="X239" s="6"/>
      <c r="Y239" s="6"/>
      <c r="Z239" s="6"/>
      <c r="AA239" s="6" t="s">
        <v>388</v>
      </c>
      <c r="AB239" s="151"/>
      <c r="AC239" s="151"/>
      <c r="AD239" s="12"/>
      <c r="AE239" s="251" t="s">
        <v>648</v>
      </c>
      <c r="AF239" s="5" t="s">
        <v>394</v>
      </c>
      <c r="AG239" s="4" t="s">
        <v>1268</v>
      </c>
      <c r="AH239" s="1"/>
      <c r="AI239" s="143" t="s">
        <v>1270</v>
      </c>
      <c r="AJ239" s="4" t="s">
        <v>1269</v>
      </c>
      <c r="AK239" s="1"/>
      <c r="AL239" s="179" t="s">
        <v>1694</v>
      </c>
      <c r="AM239" s="281"/>
      <c r="AN239" s="281"/>
      <c r="AO239" s="281"/>
      <c r="AP239" s="5" t="s">
        <v>388</v>
      </c>
    </row>
    <row r="240" spans="1:42" s="181" customFormat="1" ht="11.25" customHeight="1">
      <c r="A240" s="17" t="s">
        <v>1953</v>
      </c>
      <c r="B240" s="2" t="s">
        <v>1620</v>
      </c>
      <c r="C240" s="2" t="s">
        <v>953</v>
      </c>
      <c r="D240" s="1" t="s">
        <v>739</v>
      </c>
      <c r="E240" s="1" t="s">
        <v>625</v>
      </c>
      <c r="F240" s="1"/>
      <c r="G240" s="83">
        <v>1</v>
      </c>
      <c r="H240" s="6"/>
      <c r="I240" s="6"/>
      <c r="J240" s="6"/>
      <c r="K240" s="6"/>
      <c r="L240" s="6"/>
      <c r="M240" s="6" t="s">
        <v>388</v>
      </c>
      <c r="N240" s="6"/>
      <c r="O240" s="6"/>
      <c r="P240" s="6"/>
      <c r="Q240" s="6"/>
      <c r="R240" s="6"/>
      <c r="S240" s="6"/>
      <c r="T240" s="6"/>
      <c r="U240" s="6"/>
      <c r="V240" s="6"/>
      <c r="W240" s="6"/>
      <c r="X240" s="6"/>
      <c r="Y240" s="6"/>
      <c r="Z240" s="6"/>
      <c r="AA240" s="6"/>
      <c r="AB240" s="151"/>
      <c r="AC240" s="151"/>
      <c r="AD240" s="12"/>
      <c r="AE240" s="251"/>
      <c r="AF240" s="5" t="s">
        <v>389</v>
      </c>
      <c r="AG240" s="34" t="s">
        <v>1954</v>
      </c>
      <c r="AH240" s="1"/>
      <c r="AI240" s="143"/>
      <c r="AJ240" s="4"/>
      <c r="AK240" s="1"/>
      <c r="AL240" s="179" t="s">
        <v>1703</v>
      </c>
      <c r="AM240" s="283"/>
      <c r="AN240" s="6" t="s">
        <v>388</v>
      </c>
      <c r="AO240" s="283"/>
      <c r="AP240" s="283"/>
    </row>
    <row r="241" spans="1:42" s="480" customFormat="1" ht="11.25" customHeight="1">
      <c r="A241" s="144" t="s">
        <v>373</v>
      </c>
      <c r="B241" s="1" t="s">
        <v>374</v>
      </c>
      <c r="C241" s="1" t="s">
        <v>375</v>
      </c>
      <c r="D241" s="4" t="s">
        <v>387</v>
      </c>
      <c r="E241" s="4" t="s">
        <v>625</v>
      </c>
      <c r="F241" s="4"/>
      <c r="G241" s="83">
        <v>1</v>
      </c>
      <c r="H241" s="6"/>
      <c r="I241" s="6"/>
      <c r="J241" s="6"/>
      <c r="K241" s="6"/>
      <c r="L241" s="6"/>
      <c r="M241" s="6"/>
      <c r="N241" s="6"/>
      <c r="O241" s="6"/>
      <c r="P241" s="6"/>
      <c r="Q241" s="6"/>
      <c r="R241" s="6"/>
      <c r="S241" s="6"/>
      <c r="T241" s="6" t="s">
        <v>388</v>
      </c>
      <c r="U241" s="6"/>
      <c r="V241" s="6"/>
      <c r="W241" s="6"/>
      <c r="X241" s="6"/>
      <c r="Y241" s="6"/>
      <c r="Z241" s="6"/>
      <c r="AA241" s="6" t="s">
        <v>388</v>
      </c>
      <c r="AB241" s="6"/>
      <c r="AC241" s="12" t="s">
        <v>388</v>
      </c>
      <c r="AD241" s="12"/>
      <c r="AE241" s="83">
        <v>3</v>
      </c>
      <c r="AF241" s="5" t="s">
        <v>394</v>
      </c>
      <c r="AG241" s="34" t="s">
        <v>1857</v>
      </c>
      <c r="AH241" s="1"/>
      <c r="AI241" s="4"/>
      <c r="AJ241" s="4"/>
      <c r="AK241" s="2"/>
      <c r="AL241" s="178" t="s">
        <v>1690</v>
      </c>
      <c r="AM241" s="281"/>
      <c r="AN241" s="281"/>
      <c r="AO241" s="281"/>
      <c r="AP241" s="5" t="s">
        <v>388</v>
      </c>
    </row>
    <row r="242" spans="1:42" s="181" customFormat="1" ht="11.25" customHeight="1">
      <c r="A242" s="16" t="s">
        <v>1309</v>
      </c>
      <c r="B242" s="1" t="s">
        <v>1307</v>
      </c>
      <c r="C242" s="1" t="s">
        <v>1308</v>
      </c>
      <c r="D242" s="1" t="s">
        <v>739</v>
      </c>
      <c r="E242" s="34" t="s">
        <v>625</v>
      </c>
      <c r="F242" s="1"/>
      <c r="G242" s="83">
        <v>1</v>
      </c>
      <c r="H242" s="6"/>
      <c r="I242" s="6"/>
      <c r="J242" s="6"/>
      <c r="K242" s="6"/>
      <c r="L242" s="6"/>
      <c r="M242" s="6"/>
      <c r="N242" s="6"/>
      <c r="O242" s="6"/>
      <c r="P242" s="6"/>
      <c r="Q242" s="6"/>
      <c r="R242" s="6"/>
      <c r="S242" s="6"/>
      <c r="T242" s="6" t="s">
        <v>388</v>
      </c>
      <c r="U242" s="6"/>
      <c r="V242" s="6"/>
      <c r="W242" s="6"/>
      <c r="X242" s="6"/>
      <c r="Y242" s="6" t="s">
        <v>388</v>
      </c>
      <c r="Z242" s="6"/>
      <c r="AA242" s="6" t="s">
        <v>388</v>
      </c>
      <c r="AB242" s="151" t="s">
        <v>388</v>
      </c>
      <c r="AC242" s="151"/>
      <c r="AD242" s="12" t="s">
        <v>388</v>
      </c>
      <c r="AE242" s="251" t="s">
        <v>648</v>
      </c>
      <c r="AF242" s="5" t="s">
        <v>394</v>
      </c>
      <c r="AG242" s="4" t="s">
        <v>1310</v>
      </c>
      <c r="AH242" s="1"/>
      <c r="AI242" s="143" t="s">
        <v>1312</v>
      </c>
      <c r="AJ242" s="4" t="s">
        <v>1311</v>
      </c>
      <c r="AK242" s="1"/>
      <c r="AL242" s="179" t="s">
        <v>1694</v>
      </c>
      <c r="AM242" s="283"/>
      <c r="AN242" s="283"/>
      <c r="AO242" s="283"/>
      <c r="AP242" s="6" t="s">
        <v>388</v>
      </c>
    </row>
    <row r="243" spans="1:42" s="480" customFormat="1" ht="11.25" customHeight="1">
      <c r="A243" s="16" t="s">
        <v>1366</v>
      </c>
      <c r="B243" s="1" t="s">
        <v>1367</v>
      </c>
      <c r="C243" s="1" t="s">
        <v>1365</v>
      </c>
      <c r="D243" s="1" t="s">
        <v>739</v>
      </c>
      <c r="E243" s="34" t="s">
        <v>625</v>
      </c>
      <c r="F243" s="1"/>
      <c r="G243" s="83">
        <v>1</v>
      </c>
      <c r="H243" s="6"/>
      <c r="I243" s="6"/>
      <c r="J243" s="6"/>
      <c r="K243" s="6"/>
      <c r="L243" s="6"/>
      <c r="M243" s="6" t="s">
        <v>388</v>
      </c>
      <c r="N243" s="6"/>
      <c r="O243" s="6"/>
      <c r="P243" s="6"/>
      <c r="Q243" s="6"/>
      <c r="R243" s="6"/>
      <c r="S243" s="6"/>
      <c r="T243" s="6"/>
      <c r="U243" s="6"/>
      <c r="V243" s="6"/>
      <c r="W243" s="6"/>
      <c r="X243" s="6"/>
      <c r="Y243" s="6"/>
      <c r="Z243" s="6"/>
      <c r="AA243" s="6"/>
      <c r="AB243" s="151"/>
      <c r="AC243" s="151"/>
      <c r="AD243" s="12"/>
      <c r="AE243" s="251" t="s">
        <v>648</v>
      </c>
      <c r="AF243" s="5" t="s">
        <v>389</v>
      </c>
      <c r="AG243" s="4" t="s">
        <v>1368</v>
      </c>
      <c r="AH243" s="1"/>
      <c r="AI243" s="143"/>
      <c r="AJ243" s="4"/>
      <c r="AK243" s="1"/>
      <c r="AL243" s="179" t="s">
        <v>1694</v>
      </c>
      <c r="AM243" s="283"/>
      <c r="AN243" s="283"/>
      <c r="AO243" s="283"/>
      <c r="AP243" s="6" t="s">
        <v>388</v>
      </c>
    </row>
    <row r="244" spans="1:42" s="181" customFormat="1" ht="11.25" customHeight="1">
      <c r="A244" s="144" t="s">
        <v>840</v>
      </c>
      <c r="B244" s="2" t="s">
        <v>838</v>
      </c>
      <c r="C244" s="2" t="s">
        <v>839</v>
      </c>
      <c r="D244" s="34" t="s">
        <v>739</v>
      </c>
      <c r="E244" s="34" t="s">
        <v>625</v>
      </c>
      <c r="F244" s="34"/>
      <c r="G244" s="83">
        <v>1</v>
      </c>
      <c r="H244" s="6"/>
      <c r="I244" s="6"/>
      <c r="J244" s="6" t="s">
        <v>388</v>
      </c>
      <c r="K244" s="6"/>
      <c r="L244" s="6"/>
      <c r="M244" s="6"/>
      <c r="N244" s="6" t="s">
        <v>388</v>
      </c>
      <c r="O244" s="6"/>
      <c r="P244" s="6"/>
      <c r="Q244" s="6"/>
      <c r="R244" s="6"/>
      <c r="S244" s="6"/>
      <c r="T244" s="6"/>
      <c r="U244" s="6"/>
      <c r="V244" s="6"/>
      <c r="W244" s="6"/>
      <c r="X244" s="6"/>
      <c r="Y244" s="6"/>
      <c r="Z244" s="6"/>
      <c r="AA244" s="6"/>
      <c r="AB244" s="6"/>
      <c r="AC244" s="12"/>
      <c r="AD244" s="12"/>
      <c r="AE244" s="83" t="s">
        <v>648</v>
      </c>
      <c r="AF244" s="6" t="s">
        <v>389</v>
      </c>
      <c r="AG244" s="34" t="s">
        <v>841</v>
      </c>
      <c r="AH244" s="2"/>
      <c r="AI244" s="34"/>
      <c r="AJ244" s="34"/>
      <c r="AK244" s="2"/>
      <c r="AL244" s="178" t="s">
        <v>476</v>
      </c>
      <c r="AM244" s="5" t="s">
        <v>388</v>
      </c>
      <c r="AN244" s="281"/>
      <c r="AO244" s="281"/>
      <c r="AP244" s="281"/>
    </row>
    <row r="245" spans="1:42" s="480" customFormat="1" ht="11.25" customHeight="1">
      <c r="A245" s="144" t="s">
        <v>2127</v>
      </c>
      <c r="B245" s="2" t="s">
        <v>411</v>
      </c>
      <c r="C245" s="2" t="s">
        <v>412</v>
      </c>
      <c r="D245" s="34" t="s">
        <v>387</v>
      </c>
      <c r="E245" s="34" t="s">
        <v>626</v>
      </c>
      <c r="F245" s="34"/>
      <c r="G245" s="83">
        <v>1</v>
      </c>
      <c r="H245" s="6"/>
      <c r="I245" s="6"/>
      <c r="J245" s="6"/>
      <c r="K245" s="6"/>
      <c r="L245" s="6"/>
      <c r="M245" s="6"/>
      <c r="N245" s="6"/>
      <c r="O245" s="6"/>
      <c r="P245" s="6"/>
      <c r="Q245" s="6"/>
      <c r="R245" s="6"/>
      <c r="S245" s="6" t="s">
        <v>388</v>
      </c>
      <c r="T245" s="6"/>
      <c r="U245" s="6"/>
      <c r="V245" s="6"/>
      <c r="W245" s="6"/>
      <c r="X245" s="6"/>
      <c r="Y245" s="6"/>
      <c r="Z245" s="6"/>
      <c r="AA245" s="6"/>
      <c r="AB245" s="6"/>
      <c r="AC245" s="12"/>
      <c r="AD245" s="12"/>
      <c r="AE245" s="83"/>
      <c r="AF245" s="6" t="s">
        <v>389</v>
      </c>
      <c r="AG245" s="34" t="s">
        <v>612</v>
      </c>
      <c r="AH245" s="2"/>
      <c r="AI245" s="34"/>
      <c r="AJ245" s="34"/>
      <c r="AK245" s="2"/>
      <c r="AL245" s="178" t="s">
        <v>1691</v>
      </c>
      <c r="AM245" s="5" t="s">
        <v>388</v>
      </c>
      <c r="AN245" s="281"/>
      <c r="AO245" s="281"/>
      <c r="AP245" s="281"/>
    </row>
    <row r="246" spans="1:42" s="480" customFormat="1" ht="11.25" customHeight="1">
      <c r="A246" s="144" t="s">
        <v>1666</v>
      </c>
      <c r="B246" s="2" t="s">
        <v>1650</v>
      </c>
      <c r="C246" s="2" t="s">
        <v>538</v>
      </c>
      <c r="D246" s="34" t="s">
        <v>387</v>
      </c>
      <c r="E246" s="34" t="s">
        <v>626</v>
      </c>
      <c r="F246" s="34"/>
      <c r="G246" s="83">
        <v>1</v>
      </c>
      <c r="H246" s="6"/>
      <c r="I246" s="6"/>
      <c r="J246" s="6" t="s">
        <v>388</v>
      </c>
      <c r="K246" s="6"/>
      <c r="L246" s="6"/>
      <c r="M246" s="6"/>
      <c r="N246" s="6"/>
      <c r="O246" s="6"/>
      <c r="P246" s="6"/>
      <c r="Q246" s="6"/>
      <c r="R246" s="6"/>
      <c r="S246" s="6"/>
      <c r="T246" s="6"/>
      <c r="U246" s="6"/>
      <c r="V246" s="6"/>
      <c r="W246" s="6"/>
      <c r="X246" s="6"/>
      <c r="Y246" s="6"/>
      <c r="Z246" s="6"/>
      <c r="AA246" s="6"/>
      <c r="AB246" s="6"/>
      <c r="AC246" s="6"/>
      <c r="AD246" s="6"/>
      <c r="AE246" s="83">
        <v>2</v>
      </c>
      <c r="AF246" s="5" t="s">
        <v>394</v>
      </c>
      <c r="AG246" s="4" t="s">
        <v>443</v>
      </c>
      <c r="AH246" s="2"/>
      <c r="AI246" s="34"/>
      <c r="AJ246" s="34"/>
      <c r="AK246" s="2"/>
      <c r="AL246" s="179" t="s">
        <v>1691</v>
      </c>
      <c r="AM246" s="5" t="s">
        <v>388</v>
      </c>
      <c r="AN246" s="281"/>
      <c r="AO246" s="281"/>
      <c r="AP246" s="281"/>
    </row>
    <row r="247" spans="1:42" s="181" customFormat="1" ht="11.25" customHeight="1">
      <c r="A247" s="16" t="s">
        <v>1678</v>
      </c>
      <c r="B247" s="1" t="s">
        <v>1592</v>
      </c>
      <c r="C247" s="1" t="s">
        <v>1768</v>
      </c>
      <c r="D247" s="1" t="s">
        <v>387</v>
      </c>
      <c r="E247" s="34" t="s">
        <v>625</v>
      </c>
      <c r="F247" s="1"/>
      <c r="G247" s="83">
        <v>1</v>
      </c>
      <c r="H247" s="6"/>
      <c r="I247" s="6"/>
      <c r="J247" s="6"/>
      <c r="K247" s="6"/>
      <c r="L247" s="6"/>
      <c r="M247" s="6"/>
      <c r="N247" s="6"/>
      <c r="O247" s="6"/>
      <c r="P247" s="6"/>
      <c r="Q247" s="6"/>
      <c r="R247" s="6" t="s">
        <v>388</v>
      </c>
      <c r="S247" s="6" t="s">
        <v>388</v>
      </c>
      <c r="T247" s="6"/>
      <c r="U247" s="6"/>
      <c r="V247" s="6"/>
      <c r="W247" s="6"/>
      <c r="X247" s="6"/>
      <c r="Y247" s="6"/>
      <c r="Z247" s="6"/>
      <c r="AA247" s="6"/>
      <c r="AB247" s="151"/>
      <c r="AC247" s="151"/>
      <c r="AD247" s="12" t="s">
        <v>388</v>
      </c>
      <c r="AE247" s="251"/>
      <c r="AF247" s="5" t="s">
        <v>394</v>
      </c>
      <c r="AG247" s="34" t="s">
        <v>1769</v>
      </c>
      <c r="AH247" s="1"/>
      <c r="AI247" s="143"/>
      <c r="AJ247" s="4"/>
      <c r="AK247" s="1"/>
      <c r="AL247" s="179" t="s">
        <v>1693</v>
      </c>
      <c r="AM247" s="281"/>
      <c r="AN247" s="281"/>
      <c r="AO247" s="281"/>
      <c r="AP247" s="5" t="s">
        <v>388</v>
      </c>
    </row>
    <row r="248" spans="1:42" s="181" customFormat="1" ht="11.25" customHeight="1">
      <c r="A248" s="16" t="s">
        <v>2126</v>
      </c>
      <c r="B248" s="1" t="s">
        <v>1642</v>
      </c>
      <c r="C248" s="1" t="s">
        <v>998</v>
      </c>
      <c r="D248" s="1" t="s">
        <v>739</v>
      </c>
      <c r="E248" s="1" t="s">
        <v>625</v>
      </c>
      <c r="F248" s="1"/>
      <c r="G248" s="83">
        <v>1</v>
      </c>
      <c r="H248" s="6"/>
      <c r="I248" s="6"/>
      <c r="J248" s="6"/>
      <c r="K248" s="6"/>
      <c r="L248" s="6"/>
      <c r="M248" s="6"/>
      <c r="N248" s="6"/>
      <c r="O248" s="6"/>
      <c r="P248" s="6"/>
      <c r="Q248" s="6"/>
      <c r="R248" s="6"/>
      <c r="S248" s="6"/>
      <c r="T248" s="6"/>
      <c r="U248" s="6" t="s">
        <v>388</v>
      </c>
      <c r="V248" s="6"/>
      <c r="W248" s="6"/>
      <c r="X248" s="6"/>
      <c r="Y248" s="6"/>
      <c r="Z248" s="6"/>
      <c r="AA248" s="6"/>
      <c r="AB248" s="151"/>
      <c r="AC248" s="151"/>
      <c r="AD248" s="12"/>
      <c r="AE248" s="251"/>
      <c r="AF248" s="5" t="s">
        <v>389</v>
      </c>
      <c r="AG248" s="34" t="s">
        <v>1767</v>
      </c>
      <c r="AH248" s="1"/>
      <c r="AI248" s="143"/>
      <c r="AJ248" s="4"/>
      <c r="AK248" s="1"/>
      <c r="AL248" s="179" t="s">
        <v>1703</v>
      </c>
      <c r="AM248" s="283"/>
      <c r="AN248" s="6" t="s">
        <v>388</v>
      </c>
      <c r="AO248" s="283"/>
      <c r="AP248" s="283"/>
    </row>
    <row r="249" spans="1:42" s="181" customFormat="1" ht="11.25" customHeight="1">
      <c r="A249" s="144" t="s">
        <v>1947</v>
      </c>
      <c r="B249" s="2" t="s">
        <v>523</v>
      </c>
      <c r="C249" s="2" t="s">
        <v>524</v>
      </c>
      <c r="D249" s="34" t="s">
        <v>387</v>
      </c>
      <c r="E249" s="34" t="s">
        <v>626</v>
      </c>
      <c r="F249" s="34"/>
      <c r="G249" s="83">
        <v>1</v>
      </c>
      <c r="H249" s="6"/>
      <c r="I249" s="6"/>
      <c r="J249" s="6" t="s">
        <v>388</v>
      </c>
      <c r="K249" s="6"/>
      <c r="L249" s="6"/>
      <c r="M249" s="6"/>
      <c r="N249" s="6"/>
      <c r="O249" s="6"/>
      <c r="P249" s="6"/>
      <c r="Q249" s="6"/>
      <c r="R249" s="6"/>
      <c r="S249" s="6"/>
      <c r="T249" s="6"/>
      <c r="U249" s="6"/>
      <c r="V249" s="6"/>
      <c r="W249" s="6"/>
      <c r="X249" s="6"/>
      <c r="Y249" s="6"/>
      <c r="Z249" s="6"/>
      <c r="AA249" s="6"/>
      <c r="AB249" s="6"/>
      <c r="AC249" s="12"/>
      <c r="AD249" s="12"/>
      <c r="AE249" s="83">
        <v>2</v>
      </c>
      <c r="AF249" s="6" t="s">
        <v>394</v>
      </c>
      <c r="AG249" s="34" t="s">
        <v>525</v>
      </c>
      <c r="AH249" s="2"/>
      <c r="AI249" s="34"/>
      <c r="AJ249" s="34"/>
      <c r="AK249" s="2"/>
      <c r="AL249" s="178" t="s">
        <v>1691</v>
      </c>
      <c r="AM249" s="6" t="s">
        <v>388</v>
      </c>
      <c r="AN249" s="283"/>
      <c r="AO249" s="283"/>
      <c r="AP249" s="283"/>
    </row>
    <row r="250" spans="1:42" s="181" customFormat="1" ht="11.25" customHeight="1">
      <c r="A250" s="16" t="s">
        <v>1412</v>
      </c>
      <c r="B250" s="2" t="s">
        <v>1429</v>
      </c>
      <c r="C250" s="2" t="s">
        <v>1410</v>
      </c>
      <c r="D250" s="4" t="s">
        <v>1306</v>
      </c>
      <c r="E250" s="1" t="s">
        <v>625</v>
      </c>
      <c r="F250" s="1"/>
      <c r="G250" s="83">
        <v>1</v>
      </c>
      <c r="H250" s="6"/>
      <c r="I250" s="6"/>
      <c r="J250" s="6"/>
      <c r="K250" s="6" t="s">
        <v>388</v>
      </c>
      <c r="L250" s="6"/>
      <c r="M250" s="6"/>
      <c r="N250" s="6"/>
      <c r="O250" s="6"/>
      <c r="P250" s="6"/>
      <c r="Q250" s="6"/>
      <c r="R250" s="6"/>
      <c r="S250" s="6"/>
      <c r="T250" s="6"/>
      <c r="U250" s="6"/>
      <c r="V250" s="6" t="s">
        <v>388</v>
      </c>
      <c r="W250" s="6"/>
      <c r="X250" s="6" t="s">
        <v>388</v>
      </c>
      <c r="Y250" s="6"/>
      <c r="Z250" s="6" t="s">
        <v>388</v>
      </c>
      <c r="AA250" s="6"/>
      <c r="AB250" s="12"/>
      <c r="AC250" s="12"/>
      <c r="AD250" s="12" t="s">
        <v>388</v>
      </c>
      <c r="AE250" s="83" t="s">
        <v>648</v>
      </c>
      <c r="AF250" s="6" t="s">
        <v>394</v>
      </c>
      <c r="AG250" s="34" t="s">
        <v>1413</v>
      </c>
      <c r="AH250" s="2"/>
      <c r="AI250" s="34" t="s">
        <v>1430</v>
      </c>
      <c r="AJ250" s="34" t="s">
        <v>1415</v>
      </c>
      <c r="AK250" s="2"/>
      <c r="AL250" s="178" t="s">
        <v>1696</v>
      </c>
      <c r="AM250" s="5" t="s">
        <v>388</v>
      </c>
      <c r="AN250" s="281"/>
      <c r="AO250" s="5" t="s">
        <v>388</v>
      </c>
      <c r="AP250" s="5" t="s">
        <v>388</v>
      </c>
    </row>
    <row r="251" spans="1:42" s="480" customFormat="1" ht="11.25" customHeight="1">
      <c r="A251" s="16" t="s">
        <v>1686</v>
      </c>
      <c r="B251" s="1" t="s">
        <v>1229</v>
      </c>
      <c r="C251" s="1" t="s">
        <v>1230</v>
      </c>
      <c r="D251" s="1" t="s">
        <v>739</v>
      </c>
      <c r="E251" s="1" t="s">
        <v>625</v>
      </c>
      <c r="F251" s="1"/>
      <c r="G251" s="83">
        <v>1</v>
      </c>
      <c r="H251" s="6"/>
      <c r="I251" s="6"/>
      <c r="J251" s="6"/>
      <c r="K251" s="6"/>
      <c r="L251" s="6"/>
      <c r="M251" s="6" t="s">
        <v>388</v>
      </c>
      <c r="N251" s="6"/>
      <c r="O251" s="6" t="s">
        <v>388</v>
      </c>
      <c r="P251" s="6"/>
      <c r="Q251" s="6"/>
      <c r="R251" s="6"/>
      <c r="S251" s="6"/>
      <c r="T251" s="6"/>
      <c r="U251" s="6"/>
      <c r="V251" s="6"/>
      <c r="W251" s="6"/>
      <c r="X251" s="6"/>
      <c r="Y251" s="6" t="s">
        <v>388</v>
      </c>
      <c r="Z251" s="6"/>
      <c r="AA251" s="6" t="s">
        <v>388</v>
      </c>
      <c r="AB251" s="151"/>
      <c r="AC251" s="151"/>
      <c r="AD251" s="12"/>
      <c r="AE251" s="251" t="s">
        <v>648</v>
      </c>
      <c r="AF251" s="5" t="s">
        <v>389</v>
      </c>
      <c r="AG251" s="4" t="s">
        <v>1231</v>
      </c>
      <c r="AH251" s="1"/>
      <c r="AI251" s="143"/>
      <c r="AJ251" s="4"/>
      <c r="AK251" s="1"/>
      <c r="AL251" s="179" t="s">
        <v>1708</v>
      </c>
      <c r="AM251" s="281"/>
      <c r="AN251" s="5" t="s">
        <v>388</v>
      </c>
      <c r="AO251" s="281"/>
      <c r="AP251" s="281"/>
    </row>
    <row r="252" spans="1:42" s="480" customFormat="1" ht="11.25" customHeight="1">
      <c r="A252" s="16" t="s">
        <v>1944</v>
      </c>
      <c r="B252" s="1" t="s">
        <v>1511</v>
      </c>
      <c r="C252" s="1" t="s">
        <v>1512</v>
      </c>
      <c r="D252" s="1" t="s">
        <v>387</v>
      </c>
      <c r="E252" s="34" t="s">
        <v>625</v>
      </c>
      <c r="F252" s="1"/>
      <c r="G252" s="83">
        <v>1</v>
      </c>
      <c r="H252" s="6"/>
      <c r="I252" s="6"/>
      <c r="J252" s="6" t="s">
        <v>388</v>
      </c>
      <c r="K252" s="6"/>
      <c r="L252" s="6"/>
      <c r="M252" s="6"/>
      <c r="N252" s="6" t="s">
        <v>388</v>
      </c>
      <c r="O252" s="6"/>
      <c r="P252" s="6"/>
      <c r="Q252" s="6"/>
      <c r="R252" s="6"/>
      <c r="S252" s="6"/>
      <c r="T252" s="6" t="s">
        <v>388</v>
      </c>
      <c r="U252" s="6"/>
      <c r="V252" s="6"/>
      <c r="W252" s="6"/>
      <c r="X252" s="6"/>
      <c r="Y252" s="6"/>
      <c r="Z252" s="6"/>
      <c r="AA252" s="6"/>
      <c r="AB252" s="151"/>
      <c r="AC252" s="151"/>
      <c r="AD252" s="12" t="s">
        <v>388</v>
      </c>
      <c r="AE252" s="251"/>
      <c r="AF252" s="5" t="s">
        <v>394</v>
      </c>
      <c r="AG252" s="34" t="s">
        <v>1513</v>
      </c>
      <c r="AH252" s="1"/>
      <c r="AI252" s="143"/>
      <c r="AJ252" s="4"/>
      <c r="AK252" s="1"/>
      <c r="AL252" s="178" t="s">
        <v>476</v>
      </c>
      <c r="AM252" s="5" t="s">
        <v>388</v>
      </c>
      <c r="AN252" s="5" t="s">
        <v>388</v>
      </c>
      <c r="AO252" s="281"/>
      <c r="AP252" s="281"/>
    </row>
    <row r="253" spans="1:42" s="181" customFormat="1" ht="11.25" customHeight="1">
      <c r="A253" s="380" t="s">
        <v>2288</v>
      </c>
      <c r="B253" s="373" t="s">
        <v>2289</v>
      </c>
      <c r="C253" s="373" t="s">
        <v>2290</v>
      </c>
      <c r="D253" s="373" t="s">
        <v>739</v>
      </c>
      <c r="E253" s="373" t="s">
        <v>1869</v>
      </c>
      <c r="F253" s="373"/>
      <c r="G253" s="367">
        <v>1</v>
      </c>
      <c r="H253" s="368"/>
      <c r="I253" s="368"/>
      <c r="J253" s="368"/>
      <c r="K253" s="368"/>
      <c r="L253" s="368"/>
      <c r="M253" s="368"/>
      <c r="N253" s="368"/>
      <c r="O253" s="368"/>
      <c r="P253" s="368"/>
      <c r="Q253" s="368"/>
      <c r="R253" s="368" t="s">
        <v>388</v>
      </c>
      <c r="S253" s="368"/>
      <c r="T253" s="368"/>
      <c r="U253" s="368"/>
      <c r="V253" s="368"/>
      <c r="W253" s="368" t="s">
        <v>388</v>
      </c>
      <c r="X253" s="368"/>
      <c r="Y253" s="368"/>
      <c r="Z253" s="368"/>
      <c r="AA253" s="368"/>
      <c r="AB253" s="379"/>
      <c r="AC253" s="379"/>
      <c r="AD253" s="369"/>
      <c r="AE253" s="370">
        <v>2</v>
      </c>
      <c r="AF253" s="372" t="s">
        <v>394</v>
      </c>
      <c r="AG253" s="374" t="s">
        <v>2291</v>
      </c>
      <c r="AH253" s="373"/>
      <c r="AI253" s="375"/>
      <c r="AJ253" s="374"/>
      <c r="AK253" s="373"/>
      <c r="AL253" s="385" t="s">
        <v>2110</v>
      </c>
      <c r="AM253" s="5" t="s">
        <v>388</v>
      </c>
      <c r="AN253" s="372"/>
      <c r="AO253" s="5" t="s">
        <v>388</v>
      </c>
      <c r="AP253" s="5" t="s">
        <v>388</v>
      </c>
    </row>
    <row r="254" spans="1:42" s="181" customFormat="1" ht="11.25" customHeight="1">
      <c r="A254" s="144" t="s">
        <v>381</v>
      </c>
      <c r="B254" s="2" t="s">
        <v>382</v>
      </c>
      <c r="C254" s="14" t="s">
        <v>383</v>
      </c>
      <c r="D254" s="35" t="s">
        <v>387</v>
      </c>
      <c r="E254" s="35" t="s">
        <v>625</v>
      </c>
      <c r="F254" s="35"/>
      <c r="G254" s="83">
        <v>1</v>
      </c>
      <c r="H254" s="6"/>
      <c r="I254" s="6"/>
      <c r="J254" s="6"/>
      <c r="K254" s="6"/>
      <c r="L254" s="6"/>
      <c r="M254" s="6"/>
      <c r="N254" s="6"/>
      <c r="O254" s="6"/>
      <c r="P254" s="6"/>
      <c r="Q254" s="6"/>
      <c r="R254" s="6"/>
      <c r="S254" s="6"/>
      <c r="T254" s="6" t="s">
        <v>388</v>
      </c>
      <c r="U254" s="6"/>
      <c r="V254" s="6" t="s">
        <v>388</v>
      </c>
      <c r="W254" s="6" t="s">
        <v>388</v>
      </c>
      <c r="X254" s="6" t="s">
        <v>388</v>
      </c>
      <c r="Y254" s="6" t="s">
        <v>388</v>
      </c>
      <c r="Z254" s="6" t="s">
        <v>388</v>
      </c>
      <c r="AA254" s="6" t="s">
        <v>388</v>
      </c>
      <c r="AB254" s="6"/>
      <c r="AC254" s="12" t="s">
        <v>388</v>
      </c>
      <c r="AD254" s="12"/>
      <c r="AE254" s="83">
        <v>3</v>
      </c>
      <c r="AF254" s="5" t="s">
        <v>389</v>
      </c>
      <c r="AG254" s="4" t="s">
        <v>1819</v>
      </c>
      <c r="AH254" s="1"/>
      <c r="AI254" s="4" t="s">
        <v>384</v>
      </c>
      <c r="AJ254" s="4"/>
      <c r="AK254" s="2"/>
      <c r="AL254" s="178" t="s">
        <v>1690</v>
      </c>
      <c r="AM254" s="281"/>
      <c r="AN254" s="281"/>
      <c r="AO254" s="281"/>
      <c r="AP254" s="5" t="s">
        <v>388</v>
      </c>
    </row>
    <row r="255" spans="1:42" s="181" customFormat="1" ht="11.25" customHeight="1">
      <c r="A255" s="16" t="s">
        <v>1342</v>
      </c>
      <c r="B255" s="1" t="s">
        <v>1341</v>
      </c>
      <c r="C255" s="1" t="s">
        <v>1340</v>
      </c>
      <c r="D255" s="1" t="s">
        <v>387</v>
      </c>
      <c r="E255" s="1" t="s">
        <v>625</v>
      </c>
      <c r="F255" s="1"/>
      <c r="G255" s="83">
        <v>1</v>
      </c>
      <c r="H255" s="6"/>
      <c r="I255" s="6"/>
      <c r="J255" s="6"/>
      <c r="K255" s="6"/>
      <c r="L255" s="6"/>
      <c r="M255" s="6"/>
      <c r="N255" s="6"/>
      <c r="O255" s="6"/>
      <c r="P255" s="6"/>
      <c r="Q255" s="6"/>
      <c r="R255" s="6"/>
      <c r="S255" s="6"/>
      <c r="T255" s="6"/>
      <c r="U255" s="6"/>
      <c r="V255" s="6"/>
      <c r="W255" s="6"/>
      <c r="X255" s="6"/>
      <c r="Y255" s="6"/>
      <c r="Z255" s="6" t="s">
        <v>388</v>
      </c>
      <c r="AA255" s="6" t="s">
        <v>388</v>
      </c>
      <c r="AB255" s="151"/>
      <c r="AC255" s="151"/>
      <c r="AD255" s="12"/>
      <c r="AE255" s="251" t="s">
        <v>664</v>
      </c>
      <c r="AF255" s="5" t="s">
        <v>389</v>
      </c>
      <c r="AG255" s="4" t="s">
        <v>1343</v>
      </c>
      <c r="AH255" s="1"/>
      <c r="AI255" s="143"/>
      <c r="AJ255" s="4"/>
      <c r="AK255" s="1"/>
      <c r="AL255" s="179" t="s">
        <v>1694</v>
      </c>
      <c r="AM255" s="281"/>
      <c r="AN255" s="281"/>
      <c r="AO255" s="5" t="s">
        <v>388</v>
      </c>
      <c r="AP255" s="5" t="s">
        <v>388</v>
      </c>
    </row>
    <row r="256" spans="1:42" s="181" customFormat="1" ht="11.25" customHeight="1">
      <c r="A256" s="16" t="s">
        <v>1277</v>
      </c>
      <c r="B256" s="1" t="s">
        <v>1276</v>
      </c>
      <c r="C256" s="1" t="s">
        <v>1275</v>
      </c>
      <c r="D256" s="1" t="s">
        <v>1150</v>
      </c>
      <c r="E256" s="1" t="s">
        <v>625</v>
      </c>
      <c r="F256" s="1"/>
      <c r="G256" s="83">
        <v>1</v>
      </c>
      <c r="H256" s="6"/>
      <c r="I256" s="6"/>
      <c r="J256" s="6"/>
      <c r="K256" s="6"/>
      <c r="L256" s="6"/>
      <c r="M256" s="6"/>
      <c r="N256" s="6"/>
      <c r="O256" s="6"/>
      <c r="P256" s="6"/>
      <c r="Q256" s="6"/>
      <c r="R256" s="6"/>
      <c r="S256" s="6"/>
      <c r="T256" s="6" t="s">
        <v>388</v>
      </c>
      <c r="U256" s="6"/>
      <c r="V256" s="6"/>
      <c r="W256" s="6"/>
      <c r="X256" s="6"/>
      <c r="Y256" s="6"/>
      <c r="Z256" s="6"/>
      <c r="AA256" s="6" t="s">
        <v>388</v>
      </c>
      <c r="AB256" s="151"/>
      <c r="AC256" s="151"/>
      <c r="AD256" s="12" t="s">
        <v>388</v>
      </c>
      <c r="AE256" s="251" t="s">
        <v>648</v>
      </c>
      <c r="AF256" s="5" t="s">
        <v>394</v>
      </c>
      <c r="AG256" s="4" t="s">
        <v>1278</v>
      </c>
      <c r="AH256" s="1"/>
      <c r="AI256" s="143" t="s">
        <v>1280</v>
      </c>
      <c r="AJ256" s="4" t="s">
        <v>1279</v>
      </c>
      <c r="AK256" s="1"/>
      <c r="AL256" s="179" t="s">
        <v>1694</v>
      </c>
      <c r="AM256" s="281"/>
      <c r="AN256" s="281"/>
      <c r="AO256" s="5" t="s">
        <v>388</v>
      </c>
      <c r="AP256" s="5" t="s">
        <v>388</v>
      </c>
    </row>
    <row r="257" spans="1:42" s="181" customFormat="1" ht="11.25" customHeight="1">
      <c r="A257" s="16" t="s">
        <v>1929</v>
      </c>
      <c r="B257" s="1" t="s">
        <v>1533</v>
      </c>
      <c r="C257" s="1" t="s">
        <v>1534</v>
      </c>
      <c r="D257" s="1" t="s">
        <v>387</v>
      </c>
      <c r="E257" s="34" t="s">
        <v>625</v>
      </c>
      <c r="F257" s="1"/>
      <c r="G257" s="83">
        <v>1</v>
      </c>
      <c r="H257" s="6"/>
      <c r="I257" s="6"/>
      <c r="J257" s="6"/>
      <c r="K257" s="6"/>
      <c r="L257" s="6"/>
      <c r="M257" s="6" t="s">
        <v>388</v>
      </c>
      <c r="N257" s="6" t="s">
        <v>388</v>
      </c>
      <c r="O257" s="6"/>
      <c r="P257" s="6"/>
      <c r="Q257" s="6"/>
      <c r="R257" s="6"/>
      <c r="S257" s="6"/>
      <c r="T257" s="6"/>
      <c r="U257" s="6" t="s">
        <v>388</v>
      </c>
      <c r="V257" s="6"/>
      <c r="W257" s="6"/>
      <c r="X257" s="6"/>
      <c r="Y257" s="6"/>
      <c r="Z257" s="6"/>
      <c r="AA257" s="6"/>
      <c r="AB257" s="151"/>
      <c r="AC257" s="151"/>
      <c r="AD257" s="12" t="s">
        <v>388</v>
      </c>
      <c r="AE257" s="251" t="s">
        <v>648</v>
      </c>
      <c r="AF257" s="5" t="s">
        <v>389</v>
      </c>
      <c r="AG257" s="4" t="s">
        <v>1535</v>
      </c>
      <c r="AH257" s="1"/>
      <c r="AI257" s="143"/>
      <c r="AJ257" s="4"/>
      <c r="AK257" s="1"/>
      <c r="AL257" s="178" t="s">
        <v>476</v>
      </c>
      <c r="AM257" s="281"/>
      <c r="AN257" s="5" t="s">
        <v>388</v>
      </c>
      <c r="AO257" s="281"/>
      <c r="AP257" s="281"/>
    </row>
    <row r="258" spans="1:42" s="181" customFormat="1" ht="11.25" customHeight="1">
      <c r="A258" s="16" t="s">
        <v>1363</v>
      </c>
      <c r="B258" s="1" t="s">
        <v>1362</v>
      </c>
      <c r="C258" s="1" t="s">
        <v>943</v>
      </c>
      <c r="D258" s="1" t="s">
        <v>387</v>
      </c>
      <c r="E258" s="1" t="s">
        <v>625</v>
      </c>
      <c r="F258" s="1"/>
      <c r="G258" s="83">
        <v>1</v>
      </c>
      <c r="H258" s="6"/>
      <c r="I258" s="6"/>
      <c r="J258" s="6"/>
      <c r="K258" s="6"/>
      <c r="L258" s="6"/>
      <c r="M258" s="6"/>
      <c r="N258" s="6"/>
      <c r="O258" s="6"/>
      <c r="P258" s="6"/>
      <c r="Q258" s="6"/>
      <c r="R258" s="6"/>
      <c r="S258" s="6"/>
      <c r="T258" s="6" t="s">
        <v>388</v>
      </c>
      <c r="U258" s="6"/>
      <c r="V258" s="6"/>
      <c r="W258" s="6"/>
      <c r="X258" s="6" t="s">
        <v>388</v>
      </c>
      <c r="Y258" s="6" t="s">
        <v>388</v>
      </c>
      <c r="Z258" s="6" t="s">
        <v>388</v>
      </c>
      <c r="AA258" s="6" t="s">
        <v>388</v>
      </c>
      <c r="AB258" s="151" t="s">
        <v>388</v>
      </c>
      <c r="AC258" s="151" t="s">
        <v>388</v>
      </c>
      <c r="AD258" s="12"/>
      <c r="AE258" s="251" t="s">
        <v>648</v>
      </c>
      <c r="AF258" s="5" t="s">
        <v>389</v>
      </c>
      <c r="AG258" s="4" t="s">
        <v>1818</v>
      </c>
      <c r="AH258" s="1"/>
      <c r="AI258" s="143" t="s">
        <v>1817</v>
      </c>
      <c r="AJ258" s="4"/>
      <c r="AK258" s="1"/>
      <c r="AL258" s="179" t="s">
        <v>1694</v>
      </c>
      <c r="AM258" s="281"/>
      <c r="AN258" s="281"/>
      <c r="AO258" s="5" t="s">
        <v>388</v>
      </c>
      <c r="AP258" s="5" t="s">
        <v>388</v>
      </c>
    </row>
    <row r="259" spans="1:42" s="181" customFormat="1" ht="11.25" customHeight="1">
      <c r="A259" s="144" t="s">
        <v>385</v>
      </c>
      <c r="B259" s="2" t="s">
        <v>386</v>
      </c>
      <c r="C259" s="9" t="s">
        <v>400</v>
      </c>
      <c r="D259" s="35" t="s">
        <v>387</v>
      </c>
      <c r="E259" s="35" t="s">
        <v>625</v>
      </c>
      <c r="F259" s="35"/>
      <c r="G259" s="83">
        <v>1</v>
      </c>
      <c r="H259" s="6"/>
      <c r="I259" s="6"/>
      <c r="J259" s="6"/>
      <c r="K259" s="6"/>
      <c r="L259" s="6"/>
      <c r="M259" s="6"/>
      <c r="N259" s="6"/>
      <c r="O259" s="6"/>
      <c r="P259" s="6"/>
      <c r="Q259" s="6"/>
      <c r="R259" s="6"/>
      <c r="S259" s="6"/>
      <c r="T259" s="6"/>
      <c r="U259" s="6"/>
      <c r="V259" s="6"/>
      <c r="W259" s="6"/>
      <c r="X259" s="6"/>
      <c r="Y259" s="6"/>
      <c r="Z259" s="6"/>
      <c r="AA259" s="6"/>
      <c r="AB259" s="6"/>
      <c r="AC259" s="12"/>
      <c r="AD259" s="12"/>
      <c r="AE259" s="83">
        <v>3</v>
      </c>
      <c r="AF259" s="5" t="s">
        <v>389</v>
      </c>
      <c r="AG259" s="4" t="s">
        <v>1816</v>
      </c>
      <c r="AH259" s="1"/>
      <c r="AI259" s="4"/>
      <c r="AJ259" s="4"/>
      <c r="AK259" s="2" t="s">
        <v>2141</v>
      </c>
      <c r="AL259" s="178" t="s">
        <v>1690</v>
      </c>
      <c r="AM259" s="281"/>
      <c r="AN259" s="281"/>
      <c r="AO259" s="281"/>
      <c r="AP259" s="281"/>
    </row>
    <row r="260" spans="1:42" s="181" customFormat="1" ht="11.25" customHeight="1">
      <c r="A260" s="16" t="s">
        <v>1197</v>
      </c>
      <c r="B260" s="1" t="s">
        <v>2280</v>
      </c>
      <c r="C260" s="1" t="s">
        <v>1198</v>
      </c>
      <c r="D260" s="1" t="s">
        <v>1150</v>
      </c>
      <c r="E260" s="1" t="s">
        <v>625</v>
      </c>
      <c r="F260" s="1"/>
      <c r="G260" s="83">
        <v>1</v>
      </c>
      <c r="H260" s="6"/>
      <c r="I260" s="6"/>
      <c r="J260" s="6"/>
      <c r="K260" s="6" t="s">
        <v>388</v>
      </c>
      <c r="L260" s="6" t="s">
        <v>388</v>
      </c>
      <c r="M260" s="6"/>
      <c r="N260" s="6"/>
      <c r="O260" s="6"/>
      <c r="P260" s="6"/>
      <c r="Q260" s="6"/>
      <c r="R260" s="6"/>
      <c r="S260" s="6"/>
      <c r="T260" s="6" t="s">
        <v>388</v>
      </c>
      <c r="U260" s="6"/>
      <c r="V260" s="6"/>
      <c r="W260" s="6"/>
      <c r="X260" s="6"/>
      <c r="Y260" s="6"/>
      <c r="Z260" s="6"/>
      <c r="AA260" s="6"/>
      <c r="AB260" s="151"/>
      <c r="AC260" s="151"/>
      <c r="AD260" s="12"/>
      <c r="AE260" s="251">
        <v>3</v>
      </c>
      <c r="AF260" s="5" t="s">
        <v>394</v>
      </c>
      <c r="AG260" s="4" t="s">
        <v>1199</v>
      </c>
      <c r="AH260" s="1"/>
      <c r="AI260" s="143" t="s">
        <v>2281</v>
      </c>
      <c r="AJ260" s="4"/>
      <c r="AK260" s="1"/>
      <c r="AL260" s="179" t="s">
        <v>1701</v>
      </c>
      <c r="AM260" s="281"/>
      <c r="AN260" s="5" t="s">
        <v>388</v>
      </c>
      <c r="AO260" s="281"/>
      <c r="AP260" s="281"/>
    </row>
    <row r="261" spans="1:42" s="181" customFormat="1" ht="11.25" customHeight="1">
      <c r="A261" s="16" t="s">
        <v>1197</v>
      </c>
      <c r="B261" s="373" t="s">
        <v>2284</v>
      </c>
      <c r="C261" s="373" t="s">
        <v>2283</v>
      </c>
      <c r="D261" s="373" t="s">
        <v>739</v>
      </c>
      <c r="E261" s="373" t="s">
        <v>1869</v>
      </c>
      <c r="F261" s="373"/>
      <c r="G261" s="367">
        <v>1</v>
      </c>
      <c r="H261" s="368"/>
      <c r="I261" s="368"/>
      <c r="J261" s="368"/>
      <c r="K261" s="368"/>
      <c r="L261" s="368" t="s">
        <v>388</v>
      </c>
      <c r="M261" s="368"/>
      <c r="N261" s="368"/>
      <c r="O261" s="368"/>
      <c r="P261" s="368"/>
      <c r="Q261" s="368"/>
      <c r="R261" s="368"/>
      <c r="S261" s="368"/>
      <c r="T261" s="368"/>
      <c r="U261" s="368" t="s">
        <v>388</v>
      </c>
      <c r="V261" s="368"/>
      <c r="W261" s="368"/>
      <c r="X261" s="368"/>
      <c r="Y261" s="368"/>
      <c r="Z261" s="368"/>
      <c r="AA261" s="368" t="s">
        <v>388</v>
      </c>
      <c r="AB261" s="379"/>
      <c r="AC261" s="379"/>
      <c r="AD261" s="369"/>
      <c r="AE261" s="370">
        <v>3</v>
      </c>
      <c r="AF261" s="372" t="s">
        <v>394</v>
      </c>
      <c r="AG261" s="374" t="s">
        <v>2285</v>
      </c>
      <c r="AH261" s="373"/>
      <c r="AI261" s="375" t="s">
        <v>2286</v>
      </c>
      <c r="AJ261" s="374"/>
      <c r="AK261" s="373"/>
      <c r="AL261" s="385" t="s">
        <v>1701</v>
      </c>
      <c r="AM261" s="372"/>
      <c r="AN261" s="5" t="s">
        <v>388</v>
      </c>
      <c r="AO261" s="5" t="s">
        <v>388</v>
      </c>
      <c r="AP261" s="372"/>
    </row>
    <row r="262" spans="1:42" s="181" customFormat="1" ht="11.25" customHeight="1">
      <c r="A262" s="16" t="s">
        <v>1085</v>
      </c>
      <c r="B262" s="1" t="s">
        <v>1083</v>
      </c>
      <c r="C262" s="1" t="s">
        <v>1084</v>
      </c>
      <c r="D262" s="1" t="s">
        <v>739</v>
      </c>
      <c r="E262" s="34" t="s">
        <v>625</v>
      </c>
      <c r="F262" s="1"/>
      <c r="G262" s="83">
        <v>1</v>
      </c>
      <c r="H262" s="6"/>
      <c r="I262" s="6"/>
      <c r="J262" s="6"/>
      <c r="K262" s="6" t="s">
        <v>388</v>
      </c>
      <c r="L262" s="6"/>
      <c r="M262" s="6" t="s">
        <v>388</v>
      </c>
      <c r="N262" s="6"/>
      <c r="O262" s="6"/>
      <c r="P262" s="6"/>
      <c r="Q262" s="6"/>
      <c r="R262" s="6"/>
      <c r="S262" s="6"/>
      <c r="T262" s="6" t="s">
        <v>388</v>
      </c>
      <c r="U262" s="6"/>
      <c r="V262" s="6"/>
      <c r="W262" s="6" t="s">
        <v>388</v>
      </c>
      <c r="X262" s="6" t="s">
        <v>388</v>
      </c>
      <c r="Y262" s="6"/>
      <c r="Z262" s="6" t="s">
        <v>388</v>
      </c>
      <c r="AA262" s="6"/>
      <c r="AB262" s="151"/>
      <c r="AC262" s="151"/>
      <c r="AD262" s="12"/>
      <c r="AE262" s="251" t="s">
        <v>648</v>
      </c>
      <c r="AF262" s="5" t="s">
        <v>394</v>
      </c>
      <c r="AG262" s="4" t="s">
        <v>1086</v>
      </c>
      <c r="AH262" s="1"/>
      <c r="AI262" s="143"/>
      <c r="AJ262" s="4"/>
      <c r="AK262" s="1"/>
      <c r="AL262" s="179" t="s">
        <v>1698</v>
      </c>
      <c r="AM262" s="281"/>
      <c r="AN262" s="281"/>
      <c r="AO262" s="5" t="s">
        <v>388</v>
      </c>
      <c r="AP262" s="5" t="s">
        <v>388</v>
      </c>
    </row>
    <row r="263" spans="1:42" s="181" customFormat="1" ht="11.25" customHeight="1">
      <c r="A263" s="16" t="s">
        <v>1964</v>
      </c>
      <c r="B263" s="1" t="s">
        <v>1613</v>
      </c>
      <c r="C263" s="1" t="s">
        <v>2293</v>
      </c>
      <c r="D263" s="1" t="s">
        <v>739</v>
      </c>
      <c r="E263" s="1" t="s">
        <v>625</v>
      </c>
      <c r="F263" s="1"/>
      <c r="G263" s="83">
        <v>1</v>
      </c>
      <c r="H263" s="6"/>
      <c r="I263" s="6" t="s">
        <v>388</v>
      </c>
      <c r="J263" s="6"/>
      <c r="K263" s="6"/>
      <c r="L263" s="6" t="s">
        <v>388</v>
      </c>
      <c r="M263" s="6"/>
      <c r="N263" s="6"/>
      <c r="O263" s="6"/>
      <c r="P263" s="6"/>
      <c r="Q263" s="6"/>
      <c r="R263" s="6"/>
      <c r="S263" s="6"/>
      <c r="T263" s="6"/>
      <c r="U263" s="6"/>
      <c r="V263" s="6"/>
      <c r="W263" s="6"/>
      <c r="X263" s="6"/>
      <c r="Y263" s="6"/>
      <c r="Z263" s="6"/>
      <c r="AA263" s="6"/>
      <c r="AB263" s="151"/>
      <c r="AC263" s="151"/>
      <c r="AD263" s="12"/>
      <c r="AE263" s="251">
        <v>2</v>
      </c>
      <c r="AF263" s="5" t="s">
        <v>394</v>
      </c>
      <c r="AG263" s="4" t="s">
        <v>1965</v>
      </c>
      <c r="AH263" s="1"/>
      <c r="AI263" s="143" t="s">
        <v>2294</v>
      </c>
      <c r="AJ263" s="4"/>
      <c r="AK263" s="1"/>
      <c r="AL263" s="179" t="s">
        <v>1703</v>
      </c>
      <c r="AM263" s="283"/>
      <c r="AN263" s="6" t="s">
        <v>388</v>
      </c>
      <c r="AO263" s="283"/>
      <c r="AP263" s="283"/>
    </row>
    <row r="264" spans="1:42" s="480" customFormat="1" ht="11.25" customHeight="1">
      <c r="A264" s="16" t="s">
        <v>1303</v>
      </c>
      <c r="B264" s="1" t="s">
        <v>1302</v>
      </c>
      <c r="C264" s="1" t="s">
        <v>1301</v>
      </c>
      <c r="D264" s="1" t="s">
        <v>1150</v>
      </c>
      <c r="E264" s="34" t="s">
        <v>625</v>
      </c>
      <c r="F264" s="1"/>
      <c r="G264" s="83">
        <v>1</v>
      </c>
      <c r="H264" s="6"/>
      <c r="I264" s="6"/>
      <c r="J264" s="6"/>
      <c r="K264" s="6"/>
      <c r="L264" s="6" t="s">
        <v>388</v>
      </c>
      <c r="M264" s="6" t="s">
        <v>388</v>
      </c>
      <c r="N264" s="6"/>
      <c r="O264" s="6"/>
      <c r="P264" s="6"/>
      <c r="Q264" s="6"/>
      <c r="R264" s="6"/>
      <c r="S264" s="6"/>
      <c r="T264" s="6"/>
      <c r="U264" s="6" t="s">
        <v>388</v>
      </c>
      <c r="V264" s="6"/>
      <c r="W264" s="6"/>
      <c r="X264" s="6"/>
      <c r="Y264" s="6"/>
      <c r="Z264" s="6"/>
      <c r="AA264" s="6"/>
      <c r="AB264" s="151"/>
      <c r="AC264" s="151"/>
      <c r="AD264" s="12"/>
      <c r="AE264" s="251" t="s">
        <v>648</v>
      </c>
      <c r="AF264" s="5" t="s">
        <v>394</v>
      </c>
      <c r="AG264" s="4" t="s">
        <v>1304</v>
      </c>
      <c r="AH264" s="1"/>
      <c r="AI264" s="143" t="s">
        <v>1305</v>
      </c>
      <c r="AJ264" s="4"/>
      <c r="AK264" s="1"/>
      <c r="AL264" s="179" t="s">
        <v>1694</v>
      </c>
      <c r="AM264" s="283"/>
      <c r="AN264" s="6" t="s">
        <v>388</v>
      </c>
      <c r="AO264" s="6" t="s">
        <v>388</v>
      </c>
      <c r="AP264" s="283"/>
    </row>
    <row r="265" spans="1:42" s="480" customFormat="1" ht="11.25" customHeight="1">
      <c r="A265" s="144" t="s">
        <v>698</v>
      </c>
      <c r="B265" s="2" t="s">
        <v>1675</v>
      </c>
      <c r="C265" s="2" t="s">
        <v>699</v>
      </c>
      <c r="D265" s="2" t="s">
        <v>387</v>
      </c>
      <c r="E265" s="34" t="s">
        <v>625</v>
      </c>
      <c r="F265" s="34"/>
      <c r="G265" s="83">
        <v>1</v>
      </c>
      <c r="H265" s="6"/>
      <c r="I265" s="6"/>
      <c r="J265" s="6"/>
      <c r="K265" s="6"/>
      <c r="L265" s="6"/>
      <c r="M265" s="6"/>
      <c r="N265" s="6"/>
      <c r="O265" s="6" t="s">
        <v>388</v>
      </c>
      <c r="P265" s="6"/>
      <c r="Q265" s="6"/>
      <c r="R265" s="6"/>
      <c r="S265" s="6"/>
      <c r="T265" s="6"/>
      <c r="U265" s="6"/>
      <c r="V265" s="6"/>
      <c r="W265" s="6"/>
      <c r="X265" s="6"/>
      <c r="Y265" s="6"/>
      <c r="Z265" s="6"/>
      <c r="AA265" s="6"/>
      <c r="AB265" s="6"/>
      <c r="AC265" s="12"/>
      <c r="AD265" s="12"/>
      <c r="AE265" s="83" t="s">
        <v>648</v>
      </c>
      <c r="AF265" s="6" t="s">
        <v>389</v>
      </c>
      <c r="AG265" s="34" t="s">
        <v>700</v>
      </c>
      <c r="AH265" s="2"/>
      <c r="AI265" s="34" t="s">
        <v>1676</v>
      </c>
      <c r="AJ265" s="34"/>
      <c r="AK265" s="2"/>
      <c r="AL265" s="178" t="s">
        <v>1699</v>
      </c>
      <c r="AM265" s="283"/>
      <c r="AN265" s="283"/>
      <c r="AO265" s="283"/>
      <c r="AP265" s="6" t="s">
        <v>388</v>
      </c>
    </row>
    <row r="266" spans="1:42" s="480" customFormat="1" ht="11.25" customHeight="1">
      <c r="A266" s="144" t="s">
        <v>856</v>
      </c>
      <c r="B266" s="2" t="s">
        <v>857</v>
      </c>
      <c r="C266" s="2" t="s">
        <v>858</v>
      </c>
      <c r="D266" s="34" t="s">
        <v>739</v>
      </c>
      <c r="E266" s="34" t="s">
        <v>625</v>
      </c>
      <c r="F266" s="34"/>
      <c r="G266" s="83">
        <v>1</v>
      </c>
      <c r="H266" s="6" t="s">
        <v>388</v>
      </c>
      <c r="I266" s="6"/>
      <c r="J266" s="6" t="s">
        <v>388</v>
      </c>
      <c r="K266" s="6" t="s">
        <v>388</v>
      </c>
      <c r="L266" s="6"/>
      <c r="M266" s="6" t="s">
        <v>388</v>
      </c>
      <c r="N266" s="6" t="s">
        <v>388</v>
      </c>
      <c r="O266" s="6"/>
      <c r="P266" s="6"/>
      <c r="Q266" s="6"/>
      <c r="R266" s="6"/>
      <c r="S266" s="6"/>
      <c r="T266" s="6"/>
      <c r="U266" s="6" t="s">
        <v>388</v>
      </c>
      <c r="V266" s="6"/>
      <c r="W266" s="6"/>
      <c r="X266" s="6"/>
      <c r="Y266" s="6"/>
      <c r="Z266" s="6"/>
      <c r="AA266" s="6"/>
      <c r="AB266" s="6"/>
      <c r="AC266" s="12"/>
      <c r="AD266" s="12"/>
      <c r="AE266" s="83" t="s">
        <v>648</v>
      </c>
      <c r="AF266" s="6" t="s">
        <v>389</v>
      </c>
      <c r="AG266" s="34" t="s">
        <v>859</v>
      </c>
      <c r="AH266" s="2"/>
      <c r="AI266" s="34"/>
      <c r="AJ266" s="34" t="s">
        <v>763</v>
      </c>
      <c r="AK266" s="2"/>
      <c r="AL266" s="178" t="s">
        <v>476</v>
      </c>
      <c r="AM266" s="283"/>
      <c r="AN266" s="6" t="s">
        <v>388</v>
      </c>
      <c r="AO266" s="6" t="s">
        <v>388</v>
      </c>
      <c r="AP266" s="283"/>
    </row>
    <row r="267" spans="1:42" s="480" customFormat="1" ht="11.25" customHeight="1">
      <c r="A267" s="144" t="s">
        <v>713</v>
      </c>
      <c r="B267" s="2" t="s">
        <v>733</v>
      </c>
      <c r="C267" s="2" t="s">
        <v>735</v>
      </c>
      <c r="D267" s="34" t="s">
        <v>387</v>
      </c>
      <c r="E267" s="34" t="s">
        <v>625</v>
      </c>
      <c r="F267" s="34"/>
      <c r="G267" s="83">
        <v>1</v>
      </c>
      <c r="H267" s="6"/>
      <c r="I267" s="6"/>
      <c r="J267" s="6"/>
      <c r="K267" s="6"/>
      <c r="L267" s="6"/>
      <c r="M267" s="6"/>
      <c r="N267" s="6"/>
      <c r="O267" s="6" t="s">
        <v>388</v>
      </c>
      <c r="P267" s="6"/>
      <c r="Q267" s="6"/>
      <c r="R267" s="6"/>
      <c r="S267" s="6"/>
      <c r="T267" s="6"/>
      <c r="U267" s="6"/>
      <c r="V267" s="6"/>
      <c r="W267" s="6"/>
      <c r="X267" s="6"/>
      <c r="Y267" s="6"/>
      <c r="Z267" s="6"/>
      <c r="AA267" s="6"/>
      <c r="AB267" s="6"/>
      <c r="AC267" s="12"/>
      <c r="AD267" s="12" t="s">
        <v>388</v>
      </c>
      <c r="AE267" s="83" t="s">
        <v>648</v>
      </c>
      <c r="AF267" s="6" t="s">
        <v>394</v>
      </c>
      <c r="AG267" s="34" t="s">
        <v>1945</v>
      </c>
      <c r="AH267" s="2"/>
      <c r="AI267" s="34"/>
      <c r="AJ267" s="34" t="s">
        <v>734</v>
      </c>
      <c r="AK267" s="2"/>
      <c r="AL267" s="178" t="s">
        <v>1699</v>
      </c>
      <c r="AM267" s="283"/>
      <c r="AN267" s="283"/>
      <c r="AO267" s="6" t="s">
        <v>388</v>
      </c>
      <c r="AP267" s="6" t="s">
        <v>388</v>
      </c>
    </row>
    <row r="268" spans="1:42" s="480" customFormat="1" ht="11.25" customHeight="1">
      <c r="A268" s="144" t="s">
        <v>713</v>
      </c>
      <c r="B268" s="1" t="s">
        <v>519</v>
      </c>
      <c r="C268" s="1" t="s">
        <v>520</v>
      </c>
      <c r="D268" s="4" t="s">
        <v>387</v>
      </c>
      <c r="E268" s="4" t="s">
        <v>626</v>
      </c>
      <c r="F268" s="4"/>
      <c r="G268" s="83">
        <v>1</v>
      </c>
      <c r="H268" s="6"/>
      <c r="I268" s="6"/>
      <c r="J268" s="6" t="s">
        <v>388</v>
      </c>
      <c r="K268" s="6"/>
      <c r="L268" s="6"/>
      <c r="M268" s="6"/>
      <c r="N268" s="6"/>
      <c r="O268" s="6"/>
      <c r="P268" s="6"/>
      <c r="Q268" s="6"/>
      <c r="R268" s="6"/>
      <c r="S268" s="6"/>
      <c r="T268" s="6"/>
      <c r="U268" s="6"/>
      <c r="V268" s="6"/>
      <c r="W268" s="6"/>
      <c r="X268" s="6"/>
      <c r="Y268" s="6"/>
      <c r="Z268" s="6"/>
      <c r="AA268" s="6"/>
      <c r="AB268" s="6"/>
      <c r="AC268" s="12"/>
      <c r="AD268" s="12"/>
      <c r="AE268" s="83">
        <v>2</v>
      </c>
      <c r="AF268" s="5" t="s">
        <v>394</v>
      </c>
      <c r="AG268" s="4" t="s">
        <v>521</v>
      </c>
      <c r="AH268" s="2"/>
      <c r="AI268" s="34"/>
      <c r="AJ268" s="4"/>
      <c r="AK268" s="2"/>
      <c r="AL268" s="179" t="s">
        <v>1691</v>
      </c>
      <c r="AM268" s="6" t="s">
        <v>388</v>
      </c>
      <c r="AN268" s="283"/>
      <c r="AO268" s="283"/>
      <c r="AP268" s="283"/>
    </row>
    <row r="269" spans="1:42" s="480" customFormat="1" ht="11.25" customHeight="1">
      <c r="A269" s="144" t="s">
        <v>713</v>
      </c>
      <c r="B269" s="2" t="s">
        <v>714</v>
      </c>
      <c r="C269" s="2" t="s">
        <v>715</v>
      </c>
      <c r="D269" s="34" t="s">
        <v>387</v>
      </c>
      <c r="E269" s="34" t="s">
        <v>625</v>
      </c>
      <c r="F269" s="34"/>
      <c r="G269" s="83">
        <v>1</v>
      </c>
      <c r="H269" s="6"/>
      <c r="I269" s="6"/>
      <c r="J269" s="6"/>
      <c r="K269" s="6"/>
      <c r="L269" s="6"/>
      <c r="M269" s="6" t="s">
        <v>388</v>
      </c>
      <c r="N269" s="6"/>
      <c r="O269" s="6" t="s">
        <v>388</v>
      </c>
      <c r="P269" s="6"/>
      <c r="Q269" s="6"/>
      <c r="R269" s="6"/>
      <c r="S269" s="6"/>
      <c r="T269" s="6"/>
      <c r="U269" s="6"/>
      <c r="V269" s="6"/>
      <c r="W269" s="6"/>
      <c r="X269" s="6"/>
      <c r="Y269" s="6"/>
      <c r="Z269" s="6"/>
      <c r="AA269" s="6"/>
      <c r="AB269" s="6"/>
      <c r="AC269" s="12"/>
      <c r="AD269" s="12"/>
      <c r="AE269" s="83" t="s">
        <v>648</v>
      </c>
      <c r="AF269" s="6" t="s">
        <v>389</v>
      </c>
      <c r="AG269" s="34" t="s">
        <v>1946</v>
      </c>
      <c r="AH269" s="2"/>
      <c r="AI269" s="34"/>
      <c r="AJ269" s="34"/>
      <c r="AK269" s="2"/>
      <c r="AL269" s="178" t="s">
        <v>1699</v>
      </c>
      <c r="AM269" s="283"/>
      <c r="AN269" s="283"/>
      <c r="AO269" s="283"/>
      <c r="AP269" s="6" t="s">
        <v>388</v>
      </c>
    </row>
    <row r="270" spans="1:42" s="480" customFormat="1" ht="11.25" customHeight="1">
      <c r="A270" s="144" t="s">
        <v>713</v>
      </c>
      <c r="B270" s="2" t="s">
        <v>516</v>
      </c>
      <c r="C270" s="2" t="s">
        <v>517</v>
      </c>
      <c r="D270" s="34" t="s">
        <v>387</v>
      </c>
      <c r="E270" s="34" t="s">
        <v>626</v>
      </c>
      <c r="F270" s="34"/>
      <c r="G270" s="83">
        <v>1</v>
      </c>
      <c r="H270" s="6"/>
      <c r="I270" s="6"/>
      <c r="J270" s="6" t="s">
        <v>388</v>
      </c>
      <c r="K270" s="6"/>
      <c r="L270" s="6"/>
      <c r="M270" s="6"/>
      <c r="N270" s="6"/>
      <c r="O270" s="6"/>
      <c r="P270" s="6"/>
      <c r="Q270" s="6"/>
      <c r="R270" s="6"/>
      <c r="S270" s="6"/>
      <c r="T270" s="6"/>
      <c r="U270" s="6"/>
      <c r="V270" s="6"/>
      <c r="W270" s="6"/>
      <c r="X270" s="6"/>
      <c r="Y270" s="6"/>
      <c r="Z270" s="6"/>
      <c r="AA270" s="6"/>
      <c r="AB270" s="6"/>
      <c r="AC270" s="6"/>
      <c r="AD270" s="6"/>
      <c r="AE270" s="83">
        <v>2</v>
      </c>
      <c r="AF270" s="5" t="s">
        <v>394</v>
      </c>
      <c r="AG270" s="4" t="s">
        <v>518</v>
      </c>
      <c r="AH270" s="2"/>
      <c r="AI270" s="34"/>
      <c r="AJ270" s="34"/>
      <c r="AK270" s="2"/>
      <c r="AL270" s="179" t="s">
        <v>1691</v>
      </c>
      <c r="AM270" s="6" t="s">
        <v>388</v>
      </c>
      <c r="AN270" s="283"/>
      <c r="AO270" s="283"/>
      <c r="AP270" s="283"/>
    </row>
    <row r="271" spans="1:42" s="480" customFormat="1" ht="11.25" customHeight="1">
      <c r="A271" s="16" t="s">
        <v>1902</v>
      </c>
      <c r="B271" s="1" t="s">
        <v>1491</v>
      </c>
      <c r="C271" s="1" t="s">
        <v>1492</v>
      </c>
      <c r="D271" s="1" t="s">
        <v>387</v>
      </c>
      <c r="E271" s="1" t="s">
        <v>625</v>
      </c>
      <c r="F271" s="1"/>
      <c r="G271" s="83">
        <v>1</v>
      </c>
      <c r="H271" s="6"/>
      <c r="I271" s="6"/>
      <c r="J271" s="6"/>
      <c r="K271" s="6"/>
      <c r="L271" s="6"/>
      <c r="M271" s="6"/>
      <c r="N271" s="6"/>
      <c r="O271" s="6" t="s">
        <v>388</v>
      </c>
      <c r="P271" s="6"/>
      <c r="Q271" s="6"/>
      <c r="R271" s="6"/>
      <c r="S271" s="6"/>
      <c r="T271" s="6"/>
      <c r="U271" s="6"/>
      <c r="V271" s="6"/>
      <c r="W271" s="6"/>
      <c r="X271" s="6"/>
      <c r="Y271" s="6"/>
      <c r="Z271" s="6"/>
      <c r="AA271" s="6"/>
      <c r="AB271" s="151"/>
      <c r="AC271" s="151"/>
      <c r="AD271" s="12" t="s">
        <v>388</v>
      </c>
      <c r="AE271" s="251"/>
      <c r="AF271" s="5" t="s">
        <v>389</v>
      </c>
      <c r="AG271" s="4" t="s">
        <v>1726</v>
      </c>
      <c r="AH271" s="1"/>
      <c r="AI271" s="143"/>
      <c r="AJ271" s="4"/>
      <c r="AK271" s="1"/>
      <c r="AL271" s="179" t="s">
        <v>1697</v>
      </c>
      <c r="AM271" s="283"/>
      <c r="AN271" s="283"/>
      <c r="AO271" s="283"/>
      <c r="AP271" s="6" t="s">
        <v>388</v>
      </c>
    </row>
    <row r="272" spans="1:42" s="480" customFormat="1" ht="11.25" customHeight="1">
      <c r="A272" s="144" t="s">
        <v>706</v>
      </c>
      <c r="B272" s="2" t="s">
        <v>707</v>
      </c>
      <c r="C272" s="2" t="s">
        <v>708</v>
      </c>
      <c r="D272" s="34" t="s">
        <v>387</v>
      </c>
      <c r="E272" s="34" t="s">
        <v>625</v>
      </c>
      <c r="F272" s="34"/>
      <c r="G272" s="83">
        <v>1</v>
      </c>
      <c r="H272" s="6"/>
      <c r="I272" s="6"/>
      <c r="J272" s="6"/>
      <c r="K272" s="6"/>
      <c r="L272" s="6"/>
      <c r="M272" s="6" t="s">
        <v>388</v>
      </c>
      <c r="N272" s="6"/>
      <c r="O272" s="6" t="s">
        <v>388</v>
      </c>
      <c r="P272" s="6"/>
      <c r="Q272" s="6"/>
      <c r="R272" s="6"/>
      <c r="S272" s="6"/>
      <c r="T272" s="6"/>
      <c r="U272" s="6"/>
      <c r="V272" s="6" t="s">
        <v>388</v>
      </c>
      <c r="W272" s="6" t="s">
        <v>388</v>
      </c>
      <c r="X272" s="6"/>
      <c r="Y272" s="6"/>
      <c r="Z272" s="6"/>
      <c r="AA272" s="6"/>
      <c r="AB272" s="6"/>
      <c r="AC272" s="12"/>
      <c r="AD272" s="12"/>
      <c r="AE272" s="83" t="s">
        <v>648</v>
      </c>
      <c r="AF272" s="6" t="s">
        <v>389</v>
      </c>
      <c r="AG272" s="34" t="s">
        <v>1851</v>
      </c>
      <c r="AH272" s="2"/>
      <c r="AI272" s="34"/>
      <c r="AJ272" s="34"/>
      <c r="AK272" s="2"/>
      <c r="AL272" s="178" t="s">
        <v>1699</v>
      </c>
      <c r="AM272" s="283"/>
      <c r="AN272" s="283"/>
      <c r="AO272" s="6" t="s">
        <v>388</v>
      </c>
      <c r="AP272" s="6" t="s">
        <v>388</v>
      </c>
    </row>
    <row r="273" spans="1:42" s="480" customFormat="1" ht="11.25" customHeight="1">
      <c r="A273" s="144" t="s">
        <v>716</v>
      </c>
      <c r="B273" s="2" t="s">
        <v>717</v>
      </c>
      <c r="C273" s="2" t="s">
        <v>718</v>
      </c>
      <c r="D273" s="34" t="s">
        <v>387</v>
      </c>
      <c r="E273" s="34" t="s">
        <v>625</v>
      </c>
      <c r="F273" s="34"/>
      <c r="G273" s="83">
        <v>1</v>
      </c>
      <c r="H273" s="6"/>
      <c r="I273" s="6"/>
      <c r="J273" s="6"/>
      <c r="K273" s="6"/>
      <c r="L273" s="6"/>
      <c r="M273" s="6"/>
      <c r="N273" s="6"/>
      <c r="O273" s="6" t="s">
        <v>388</v>
      </c>
      <c r="P273" s="6"/>
      <c r="Q273" s="6"/>
      <c r="R273" s="6"/>
      <c r="S273" s="6"/>
      <c r="T273" s="6"/>
      <c r="U273" s="6"/>
      <c r="V273" s="6" t="s">
        <v>388</v>
      </c>
      <c r="W273" s="6" t="s">
        <v>388</v>
      </c>
      <c r="X273" s="6"/>
      <c r="Y273" s="6"/>
      <c r="Z273" s="6"/>
      <c r="AA273" s="6"/>
      <c r="AB273" s="6"/>
      <c r="AC273" s="12"/>
      <c r="AD273" s="12"/>
      <c r="AE273" s="83" t="s">
        <v>648</v>
      </c>
      <c r="AF273" s="6" t="s">
        <v>394</v>
      </c>
      <c r="AG273" s="34" t="s">
        <v>719</v>
      </c>
      <c r="AH273" s="2"/>
      <c r="AI273" s="34"/>
      <c r="AJ273" s="34"/>
      <c r="AK273" s="2"/>
      <c r="AL273" s="178" t="s">
        <v>1699</v>
      </c>
      <c r="AM273" s="283"/>
      <c r="AN273" s="283"/>
      <c r="AO273" s="6" t="s">
        <v>388</v>
      </c>
      <c r="AP273" s="6" t="s">
        <v>388</v>
      </c>
    </row>
    <row r="274" spans="1:42" s="480" customFormat="1" ht="11.25" customHeight="1">
      <c r="A274" s="16" t="s">
        <v>1146</v>
      </c>
      <c r="B274" s="1" t="s">
        <v>1147</v>
      </c>
      <c r="C274" s="1" t="s">
        <v>1145</v>
      </c>
      <c r="D274" s="1" t="s">
        <v>739</v>
      </c>
      <c r="E274" s="34" t="s">
        <v>625</v>
      </c>
      <c r="F274" s="1"/>
      <c r="G274" s="83">
        <v>1</v>
      </c>
      <c r="H274" s="6"/>
      <c r="I274" s="6"/>
      <c r="J274" s="6"/>
      <c r="K274" s="6"/>
      <c r="L274" s="6"/>
      <c r="M274" s="6" t="s">
        <v>388</v>
      </c>
      <c r="N274" s="6"/>
      <c r="O274" s="6"/>
      <c r="P274" s="6"/>
      <c r="Q274" s="6"/>
      <c r="R274" s="6"/>
      <c r="S274" s="6"/>
      <c r="T274" s="6"/>
      <c r="U274" s="6"/>
      <c r="V274" s="6"/>
      <c r="W274" s="6"/>
      <c r="X274" s="6"/>
      <c r="Y274" s="6"/>
      <c r="Z274" s="6"/>
      <c r="AA274" s="6"/>
      <c r="AB274" s="151"/>
      <c r="AC274" s="151"/>
      <c r="AD274" s="12"/>
      <c r="AE274" s="251" t="s">
        <v>1139</v>
      </c>
      <c r="AF274" s="5" t="s">
        <v>389</v>
      </c>
      <c r="AG274" s="4" t="s">
        <v>1148</v>
      </c>
      <c r="AH274" s="1"/>
      <c r="AI274" s="143"/>
      <c r="AJ274" s="4"/>
      <c r="AK274" s="2" t="s">
        <v>2142</v>
      </c>
      <c r="AL274" s="179" t="s">
        <v>1698</v>
      </c>
      <c r="AM274" s="283"/>
      <c r="AN274" s="283"/>
      <c r="AO274" s="283"/>
      <c r="AP274" s="283"/>
    </row>
    <row r="275" spans="1:42" s="480" customFormat="1" ht="11.25" customHeight="1">
      <c r="A275" s="16" t="s">
        <v>1972</v>
      </c>
      <c r="B275" s="1" t="s">
        <v>1593</v>
      </c>
      <c r="C275" s="1" t="s">
        <v>1975</v>
      </c>
      <c r="D275" s="1" t="s">
        <v>739</v>
      </c>
      <c r="E275" s="1" t="s">
        <v>625</v>
      </c>
      <c r="F275" s="1"/>
      <c r="G275" s="83">
        <v>1</v>
      </c>
      <c r="H275" s="6"/>
      <c r="I275" s="6"/>
      <c r="J275" s="6"/>
      <c r="K275" s="6"/>
      <c r="L275" s="6" t="s">
        <v>388</v>
      </c>
      <c r="M275" s="6"/>
      <c r="N275" s="6"/>
      <c r="O275" s="6"/>
      <c r="P275" s="6"/>
      <c r="Q275" s="6"/>
      <c r="R275" s="6"/>
      <c r="S275" s="6"/>
      <c r="T275" s="6"/>
      <c r="U275" s="6" t="s">
        <v>388</v>
      </c>
      <c r="V275" s="6"/>
      <c r="W275" s="6"/>
      <c r="X275" s="6"/>
      <c r="Y275" s="6"/>
      <c r="Z275" s="6"/>
      <c r="AA275" s="6"/>
      <c r="AB275" s="151"/>
      <c r="AC275" s="151"/>
      <c r="AD275" s="12"/>
      <c r="AE275" s="251"/>
      <c r="AF275" s="5" t="s">
        <v>389</v>
      </c>
      <c r="AG275" s="34" t="s">
        <v>2399</v>
      </c>
      <c r="AH275" s="1"/>
      <c r="AI275" s="143" t="s">
        <v>1974</v>
      </c>
      <c r="AJ275" s="4"/>
      <c r="AK275" s="1"/>
      <c r="AL275" s="179" t="s">
        <v>1703</v>
      </c>
      <c r="AM275" s="283"/>
      <c r="AN275" s="6" t="s">
        <v>388</v>
      </c>
      <c r="AO275" s="283"/>
      <c r="AP275" s="283"/>
    </row>
    <row r="276" spans="1:42" s="480" customFormat="1" ht="11.25" customHeight="1">
      <c r="A276" s="144" t="s">
        <v>1652</v>
      </c>
      <c r="B276" s="14" t="s">
        <v>1024</v>
      </c>
      <c r="C276" s="36" t="s">
        <v>1016</v>
      </c>
      <c r="D276" s="34" t="s">
        <v>739</v>
      </c>
      <c r="E276" s="36" t="s">
        <v>625</v>
      </c>
      <c r="F276" s="36"/>
      <c r="G276" s="83">
        <v>2</v>
      </c>
      <c r="H276" s="6"/>
      <c r="I276" s="6"/>
      <c r="J276" s="6"/>
      <c r="K276" s="6" t="s">
        <v>388</v>
      </c>
      <c r="L276" s="6"/>
      <c r="M276" s="6"/>
      <c r="N276" s="6"/>
      <c r="O276" s="6"/>
      <c r="P276" s="6" t="s">
        <v>388</v>
      </c>
      <c r="Q276" s="6" t="s">
        <v>388</v>
      </c>
      <c r="R276" s="6" t="s">
        <v>388</v>
      </c>
      <c r="S276" s="6" t="s">
        <v>388</v>
      </c>
      <c r="T276" s="6"/>
      <c r="U276" s="6"/>
      <c r="V276" s="6"/>
      <c r="W276" s="6"/>
      <c r="X276" s="6" t="s">
        <v>388</v>
      </c>
      <c r="Y276" s="6"/>
      <c r="Z276" s="6"/>
      <c r="AA276" s="6"/>
      <c r="AB276" s="6"/>
      <c r="AC276" s="12"/>
      <c r="AD276" s="12"/>
      <c r="AE276" s="83">
        <v>3</v>
      </c>
      <c r="AF276" s="12" t="s">
        <v>1022</v>
      </c>
      <c r="AG276" s="34" t="s">
        <v>2372</v>
      </c>
      <c r="AH276" s="2"/>
      <c r="AI276" s="34"/>
      <c r="AJ276" s="34"/>
      <c r="AK276" s="2"/>
      <c r="AL276" s="178" t="s">
        <v>1702</v>
      </c>
      <c r="AM276" s="473"/>
      <c r="AN276" s="473"/>
      <c r="AO276" s="115" t="s">
        <v>388</v>
      </c>
      <c r="AP276" s="115" t="s">
        <v>388</v>
      </c>
    </row>
    <row r="277" spans="1:42" s="181" customFormat="1" ht="11.25" customHeight="1">
      <c r="A277" s="16" t="s">
        <v>1441</v>
      </c>
      <c r="B277" s="1" t="s">
        <v>1440</v>
      </c>
      <c r="C277" s="1" t="s">
        <v>1439</v>
      </c>
      <c r="D277" s="4" t="s">
        <v>387</v>
      </c>
      <c r="E277" s="34" t="s">
        <v>625</v>
      </c>
      <c r="F277" s="34"/>
      <c r="G277" s="83">
        <v>2</v>
      </c>
      <c r="H277" s="6"/>
      <c r="I277" s="6"/>
      <c r="J277" s="6"/>
      <c r="K277" s="6"/>
      <c r="L277" s="6"/>
      <c r="M277" s="6"/>
      <c r="N277" s="6"/>
      <c r="O277" s="6"/>
      <c r="P277" s="6" t="s">
        <v>388</v>
      </c>
      <c r="Q277" s="6"/>
      <c r="R277" s="6" t="s">
        <v>388</v>
      </c>
      <c r="S277" s="6"/>
      <c r="T277" s="6"/>
      <c r="U277" s="6"/>
      <c r="V277" s="6"/>
      <c r="W277" s="6"/>
      <c r="X277" s="6"/>
      <c r="Y277" s="6"/>
      <c r="Z277" s="6"/>
      <c r="AA277" s="6"/>
      <c r="AB277" s="6"/>
      <c r="AC277" s="12"/>
      <c r="AD277" s="12"/>
      <c r="AE277" s="83" t="s">
        <v>648</v>
      </c>
      <c r="AF277" s="5" t="s">
        <v>389</v>
      </c>
      <c r="AG277" s="4" t="s">
        <v>1442</v>
      </c>
      <c r="AH277" s="1"/>
      <c r="AI277" s="4"/>
      <c r="AJ277" s="4"/>
      <c r="AK277" s="2"/>
      <c r="AL277" s="179" t="s">
        <v>1702</v>
      </c>
      <c r="AM277" s="283"/>
      <c r="AN277" s="283"/>
      <c r="AO277" s="283"/>
      <c r="AP277" s="6" t="s">
        <v>388</v>
      </c>
    </row>
    <row r="278" spans="1:42" s="480" customFormat="1" ht="11.25" customHeight="1">
      <c r="A278" s="144" t="s">
        <v>35</v>
      </c>
      <c r="B278" s="2" t="s">
        <v>217</v>
      </c>
      <c r="C278" s="2" t="s">
        <v>218</v>
      </c>
      <c r="D278" s="34" t="s">
        <v>387</v>
      </c>
      <c r="E278" s="34" t="s">
        <v>625</v>
      </c>
      <c r="F278" s="34"/>
      <c r="G278" s="83">
        <v>2</v>
      </c>
      <c r="H278" s="6"/>
      <c r="I278" s="6"/>
      <c r="J278" s="6"/>
      <c r="K278" s="6"/>
      <c r="L278" s="6"/>
      <c r="M278" s="6"/>
      <c r="N278" s="6"/>
      <c r="O278" s="6"/>
      <c r="P278" s="6"/>
      <c r="Q278" s="6"/>
      <c r="R278" s="6"/>
      <c r="S278" s="6"/>
      <c r="T278" s="6" t="s">
        <v>388</v>
      </c>
      <c r="U278" s="6"/>
      <c r="V278" s="6"/>
      <c r="W278" s="6" t="s">
        <v>388</v>
      </c>
      <c r="X278" s="6"/>
      <c r="Y278" s="6"/>
      <c r="Z278" s="6" t="s">
        <v>388</v>
      </c>
      <c r="AA278" s="6" t="s">
        <v>388</v>
      </c>
      <c r="AB278" s="6"/>
      <c r="AC278" s="12"/>
      <c r="AD278" s="12"/>
      <c r="AE278" s="83">
        <v>3</v>
      </c>
      <c r="AF278" s="5" t="s">
        <v>389</v>
      </c>
      <c r="AG278" s="34" t="s">
        <v>1942</v>
      </c>
      <c r="AH278" s="1"/>
      <c r="AI278" s="4"/>
      <c r="AJ278" s="4"/>
      <c r="AK278" s="2"/>
      <c r="AL278" s="178" t="s">
        <v>1690</v>
      </c>
      <c r="AM278" s="281"/>
      <c r="AN278" s="281"/>
      <c r="AO278" s="5" t="s">
        <v>388</v>
      </c>
      <c r="AP278" s="5" t="s">
        <v>388</v>
      </c>
    </row>
    <row r="279" spans="1:42" s="480" customFormat="1" ht="11.25" customHeight="1">
      <c r="A279" s="144" t="s">
        <v>35</v>
      </c>
      <c r="B279" s="2" t="s">
        <v>36</v>
      </c>
      <c r="C279" s="2" t="s">
        <v>37</v>
      </c>
      <c r="D279" s="34" t="s">
        <v>387</v>
      </c>
      <c r="E279" s="34" t="s">
        <v>624</v>
      </c>
      <c r="F279" s="34" t="s">
        <v>625</v>
      </c>
      <c r="G279" s="83">
        <v>2</v>
      </c>
      <c r="H279" s="6"/>
      <c r="I279" s="6"/>
      <c r="J279" s="6"/>
      <c r="K279" s="6"/>
      <c r="L279" s="6"/>
      <c r="M279" s="6"/>
      <c r="N279" s="6"/>
      <c r="O279" s="6" t="s">
        <v>388</v>
      </c>
      <c r="P279" s="6" t="s">
        <v>388</v>
      </c>
      <c r="Q279" s="6"/>
      <c r="R279" s="6"/>
      <c r="S279" s="6" t="s">
        <v>388</v>
      </c>
      <c r="T279" s="6" t="s">
        <v>388</v>
      </c>
      <c r="U279" s="6"/>
      <c r="V279" s="6" t="s">
        <v>388</v>
      </c>
      <c r="W279" s="6" t="s">
        <v>388</v>
      </c>
      <c r="X279" s="6" t="s">
        <v>388</v>
      </c>
      <c r="Y279" s="6" t="s">
        <v>388</v>
      </c>
      <c r="Z279" s="6" t="s">
        <v>388</v>
      </c>
      <c r="AA279" s="6" t="s">
        <v>388</v>
      </c>
      <c r="AB279" s="6"/>
      <c r="AC279" s="12" t="s">
        <v>388</v>
      </c>
      <c r="AD279" s="12"/>
      <c r="AE279" s="83">
        <v>3</v>
      </c>
      <c r="AF279" s="6" t="s">
        <v>394</v>
      </c>
      <c r="AG279" s="34" t="s">
        <v>1850</v>
      </c>
      <c r="AH279" s="2"/>
      <c r="AI279" s="34" t="s">
        <v>38</v>
      </c>
      <c r="AJ279" s="34"/>
      <c r="AK279" s="2"/>
      <c r="AL279" s="178" t="s">
        <v>1690</v>
      </c>
      <c r="AM279" s="281"/>
      <c r="AN279" s="281"/>
      <c r="AO279" s="5" t="s">
        <v>388</v>
      </c>
      <c r="AP279" s="5" t="s">
        <v>388</v>
      </c>
    </row>
    <row r="280" spans="1:42" s="480" customFormat="1" ht="11.25" customHeight="1">
      <c r="A280" s="364" t="s">
        <v>35</v>
      </c>
      <c r="B280" s="365" t="s">
        <v>2227</v>
      </c>
      <c r="C280" s="365" t="s">
        <v>2228</v>
      </c>
      <c r="D280" s="366" t="s">
        <v>1150</v>
      </c>
      <c r="E280" s="366" t="s">
        <v>1869</v>
      </c>
      <c r="F280" s="366"/>
      <c r="G280" s="367">
        <v>2</v>
      </c>
      <c r="H280" s="368"/>
      <c r="I280" s="368"/>
      <c r="J280" s="368"/>
      <c r="K280" s="368"/>
      <c r="L280" s="368"/>
      <c r="M280" s="368"/>
      <c r="N280" s="368"/>
      <c r="O280" s="368"/>
      <c r="P280" s="368"/>
      <c r="Q280" s="368"/>
      <c r="R280" s="368"/>
      <c r="S280" s="368"/>
      <c r="T280" s="368"/>
      <c r="U280" s="368"/>
      <c r="V280" s="368" t="s">
        <v>388</v>
      </c>
      <c r="W280" s="368" t="s">
        <v>388</v>
      </c>
      <c r="X280" s="368" t="s">
        <v>388</v>
      </c>
      <c r="Y280" s="368" t="s">
        <v>388</v>
      </c>
      <c r="Z280" s="368"/>
      <c r="AA280" s="368"/>
      <c r="AB280" s="369"/>
      <c r="AC280" s="369"/>
      <c r="AD280" s="369"/>
      <c r="AE280" s="370">
        <v>3</v>
      </c>
      <c r="AF280" s="368" t="s">
        <v>389</v>
      </c>
      <c r="AG280" s="366" t="s">
        <v>2230</v>
      </c>
      <c r="AH280" s="365"/>
      <c r="AI280" s="371"/>
      <c r="AJ280" s="366"/>
      <c r="AK280" s="365" t="s">
        <v>2231</v>
      </c>
      <c r="AL280" s="386" t="s">
        <v>1690</v>
      </c>
      <c r="AM280" s="5" t="s">
        <v>388</v>
      </c>
      <c r="AN280" s="372"/>
      <c r="AO280" s="372"/>
      <c r="AP280" s="5" t="s">
        <v>388</v>
      </c>
    </row>
    <row r="281" spans="1:42" s="480" customFormat="1" ht="11.25" customHeight="1">
      <c r="A281" s="144" t="s">
        <v>1971</v>
      </c>
      <c r="B281" s="1" t="s">
        <v>527</v>
      </c>
      <c r="C281" s="1" t="s">
        <v>528</v>
      </c>
      <c r="D281" s="4" t="s">
        <v>387</v>
      </c>
      <c r="E281" s="4" t="s">
        <v>626</v>
      </c>
      <c r="F281" s="4"/>
      <c r="G281" s="83">
        <v>2</v>
      </c>
      <c r="H281" s="6"/>
      <c r="I281" s="6" t="s">
        <v>388</v>
      </c>
      <c r="J281" s="6" t="s">
        <v>388</v>
      </c>
      <c r="K281" s="6"/>
      <c r="L281" s="6"/>
      <c r="M281" s="6"/>
      <c r="N281" s="6"/>
      <c r="O281" s="6"/>
      <c r="P281" s="6"/>
      <c r="Q281" s="6"/>
      <c r="R281" s="6"/>
      <c r="S281" s="6"/>
      <c r="T281" s="6"/>
      <c r="U281" s="6"/>
      <c r="V281" s="6"/>
      <c r="W281" s="6"/>
      <c r="X281" s="6"/>
      <c r="Y281" s="6"/>
      <c r="Z281" s="6"/>
      <c r="AA281" s="6"/>
      <c r="AB281" s="6"/>
      <c r="AC281" s="12"/>
      <c r="AD281" s="12"/>
      <c r="AE281" s="83">
        <v>2</v>
      </c>
      <c r="AF281" s="5" t="s">
        <v>394</v>
      </c>
      <c r="AG281" s="34" t="s">
        <v>1849</v>
      </c>
      <c r="AH281" s="2"/>
      <c r="AI281" s="34"/>
      <c r="AJ281" s="4"/>
      <c r="AK281" s="2"/>
      <c r="AL281" s="179" t="s">
        <v>1691</v>
      </c>
      <c r="AM281" s="5" t="s">
        <v>388</v>
      </c>
      <c r="AN281" s="281"/>
      <c r="AO281" s="281"/>
      <c r="AP281" s="281"/>
    </row>
    <row r="282" spans="1:42" s="181" customFormat="1" ht="11.25" customHeight="1">
      <c r="A282" s="144" t="s">
        <v>41</v>
      </c>
      <c r="B282" s="1" t="s">
        <v>44</v>
      </c>
      <c r="C282" s="1" t="s">
        <v>45</v>
      </c>
      <c r="D282" s="4" t="s">
        <v>387</v>
      </c>
      <c r="E282" s="4" t="s">
        <v>624</v>
      </c>
      <c r="F282" s="34" t="s">
        <v>625</v>
      </c>
      <c r="G282" s="83">
        <v>2</v>
      </c>
      <c r="H282" s="6"/>
      <c r="I282" s="6"/>
      <c r="J282" s="6" t="s">
        <v>388</v>
      </c>
      <c r="K282" s="6" t="s">
        <v>388</v>
      </c>
      <c r="L282" s="6"/>
      <c r="M282" s="6"/>
      <c r="N282" s="6"/>
      <c r="O282" s="6"/>
      <c r="P282" s="6"/>
      <c r="Q282" s="6"/>
      <c r="R282" s="6"/>
      <c r="S282" s="6"/>
      <c r="T282" s="6" t="s">
        <v>388</v>
      </c>
      <c r="U282" s="6"/>
      <c r="V282" s="6"/>
      <c r="W282" s="6"/>
      <c r="X282" s="6"/>
      <c r="Y282" s="6" t="s">
        <v>388</v>
      </c>
      <c r="Z282" s="6" t="s">
        <v>388</v>
      </c>
      <c r="AA282" s="6" t="s">
        <v>388</v>
      </c>
      <c r="AB282" s="6" t="s">
        <v>388</v>
      </c>
      <c r="AC282" s="12"/>
      <c r="AD282" s="12" t="s">
        <v>388</v>
      </c>
      <c r="AE282" s="83">
        <v>1</v>
      </c>
      <c r="AF282" s="5" t="s">
        <v>394</v>
      </c>
      <c r="AG282" s="34" t="s">
        <v>1847</v>
      </c>
      <c r="AH282" s="1"/>
      <c r="AI282" s="4"/>
      <c r="AJ282" s="4"/>
      <c r="AK282" s="2"/>
      <c r="AL282" s="178" t="s">
        <v>1690</v>
      </c>
      <c r="AM282" s="283"/>
      <c r="AN282" s="6" t="s">
        <v>388</v>
      </c>
      <c r="AO282" s="6" t="s">
        <v>388</v>
      </c>
      <c r="AP282" s="6" t="s">
        <v>388</v>
      </c>
    </row>
    <row r="283" spans="1:42" s="181" customFormat="1" ht="11.25" customHeight="1">
      <c r="A283" s="144" t="s">
        <v>41</v>
      </c>
      <c r="B283" s="2" t="s">
        <v>42</v>
      </c>
      <c r="C283" s="2" t="s">
        <v>43</v>
      </c>
      <c r="D283" s="34" t="s">
        <v>387</v>
      </c>
      <c r="E283" s="34" t="s">
        <v>624</v>
      </c>
      <c r="F283" s="34" t="s">
        <v>625</v>
      </c>
      <c r="G283" s="83">
        <v>2</v>
      </c>
      <c r="H283" s="6"/>
      <c r="I283" s="6"/>
      <c r="J283" s="6" t="s">
        <v>388</v>
      </c>
      <c r="K283" s="6" t="s">
        <v>388</v>
      </c>
      <c r="L283" s="6"/>
      <c r="M283" s="6"/>
      <c r="N283" s="6"/>
      <c r="O283" s="6"/>
      <c r="P283" s="6"/>
      <c r="Q283" s="6"/>
      <c r="R283" s="6"/>
      <c r="S283" s="6"/>
      <c r="T283" s="6" t="s">
        <v>388</v>
      </c>
      <c r="U283" s="6"/>
      <c r="V283" s="6" t="s">
        <v>388</v>
      </c>
      <c r="W283" s="6"/>
      <c r="X283" s="6"/>
      <c r="Y283" s="6" t="s">
        <v>388</v>
      </c>
      <c r="Z283" s="6" t="s">
        <v>388</v>
      </c>
      <c r="AA283" s="6" t="s">
        <v>388</v>
      </c>
      <c r="AB283" s="6" t="s">
        <v>388</v>
      </c>
      <c r="AC283" s="12" t="s">
        <v>388</v>
      </c>
      <c r="AD283" s="12"/>
      <c r="AE283" s="83">
        <v>4</v>
      </c>
      <c r="AF283" s="6" t="s">
        <v>394</v>
      </c>
      <c r="AG283" s="34" t="s">
        <v>1846</v>
      </c>
      <c r="AH283" s="2"/>
      <c r="AI283" s="34"/>
      <c r="AJ283" s="34"/>
      <c r="AK283" s="2"/>
      <c r="AL283" s="178" t="s">
        <v>1690</v>
      </c>
      <c r="AM283" s="322"/>
      <c r="AN283" s="322"/>
      <c r="AO283" s="466" t="s">
        <v>388</v>
      </c>
      <c r="AP283" s="466" t="s">
        <v>388</v>
      </c>
    </row>
    <row r="284" spans="1:42" s="181" customFormat="1" ht="11.25" customHeight="1">
      <c r="A284" s="17" t="s">
        <v>1871</v>
      </c>
      <c r="B284" s="2" t="s">
        <v>1870</v>
      </c>
      <c r="C284" s="2" t="s">
        <v>1868</v>
      </c>
      <c r="D284" s="34" t="s">
        <v>387</v>
      </c>
      <c r="E284" s="34" t="s">
        <v>1869</v>
      </c>
      <c r="F284" s="34"/>
      <c r="G284" s="83">
        <v>2</v>
      </c>
      <c r="H284" s="6"/>
      <c r="I284" s="6" t="s">
        <v>388</v>
      </c>
      <c r="J284" s="6"/>
      <c r="K284" s="6"/>
      <c r="L284" s="6"/>
      <c r="M284" s="6"/>
      <c r="N284" s="6"/>
      <c r="O284" s="6"/>
      <c r="P284" s="6"/>
      <c r="Q284" s="6"/>
      <c r="R284" s="6"/>
      <c r="S284" s="6"/>
      <c r="T284" s="6"/>
      <c r="U284" s="6"/>
      <c r="V284" s="6"/>
      <c r="W284" s="6"/>
      <c r="X284" s="6"/>
      <c r="Y284" s="6"/>
      <c r="Z284" s="6"/>
      <c r="AA284" s="6"/>
      <c r="AB284" s="12"/>
      <c r="AC284" s="12"/>
      <c r="AD284" s="12"/>
      <c r="AE284" s="251"/>
      <c r="AF284" s="6" t="s">
        <v>389</v>
      </c>
      <c r="AG284" s="34" t="s">
        <v>1872</v>
      </c>
      <c r="AH284" s="2"/>
      <c r="AI284" s="252"/>
      <c r="AJ284" s="34"/>
      <c r="AK284" s="2"/>
      <c r="AL284" s="178" t="s">
        <v>1691</v>
      </c>
      <c r="AM284" s="281"/>
      <c r="AN284" s="281"/>
      <c r="AO284" s="281"/>
      <c r="AP284" s="281"/>
    </row>
    <row r="285" spans="1:42" s="480" customFormat="1" ht="11.25" customHeight="1">
      <c r="A285" s="16" t="s">
        <v>2091</v>
      </c>
      <c r="B285" s="1" t="s">
        <v>2246</v>
      </c>
      <c r="C285" s="1" t="s">
        <v>2092</v>
      </c>
      <c r="D285" s="1" t="s">
        <v>387</v>
      </c>
      <c r="E285" s="34" t="s">
        <v>1869</v>
      </c>
      <c r="F285" s="1"/>
      <c r="G285" s="160">
        <v>2</v>
      </c>
      <c r="H285" s="6"/>
      <c r="I285" s="6"/>
      <c r="J285" s="6"/>
      <c r="K285" s="6" t="s">
        <v>388</v>
      </c>
      <c r="L285" s="6" t="s">
        <v>388</v>
      </c>
      <c r="M285" s="6" t="s">
        <v>388</v>
      </c>
      <c r="N285" s="6"/>
      <c r="O285" s="6"/>
      <c r="P285" s="6"/>
      <c r="Q285" s="6"/>
      <c r="R285" s="6" t="s">
        <v>388</v>
      </c>
      <c r="S285" s="6"/>
      <c r="T285" s="6"/>
      <c r="U285" s="6" t="s">
        <v>388</v>
      </c>
      <c r="V285" s="6"/>
      <c r="W285" s="6"/>
      <c r="X285" s="6" t="s">
        <v>388</v>
      </c>
      <c r="Y285" s="6"/>
      <c r="Z285" s="6"/>
      <c r="AA285" s="6"/>
      <c r="AB285" s="151"/>
      <c r="AC285" s="151"/>
      <c r="AD285" s="12" t="s">
        <v>388</v>
      </c>
      <c r="AE285" s="251">
        <v>3</v>
      </c>
      <c r="AF285" s="5" t="s">
        <v>389</v>
      </c>
      <c r="AG285" s="4" t="s">
        <v>2093</v>
      </c>
      <c r="AH285" s="1"/>
      <c r="AI285" s="143"/>
      <c r="AJ285" s="4"/>
      <c r="AK285" s="1"/>
      <c r="AL285" s="179" t="s">
        <v>1690</v>
      </c>
      <c r="AM285" s="281"/>
      <c r="AN285" s="5" t="s">
        <v>388</v>
      </c>
      <c r="AO285" s="281"/>
      <c r="AP285" s="5" t="s">
        <v>388</v>
      </c>
    </row>
    <row r="286" spans="1:42" s="181" customFormat="1" ht="11.25" customHeight="1">
      <c r="A286" s="144" t="s">
        <v>732</v>
      </c>
      <c r="B286" s="2" t="s">
        <v>730</v>
      </c>
      <c r="C286" s="2" t="s">
        <v>731</v>
      </c>
      <c r="D286" s="34" t="s">
        <v>387</v>
      </c>
      <c r="E286" s="34" t="s">
        <v>625</v>
      </c>
      <c r="F286" s="34"/>
      <c r="G286" s="83">
        <v>2</v>
      </c>
      <c r="H286" s="6"/>
      <c r="I286" s="6"/>
      <c r="J286" s="6"/>
      <c r="K286" s="6" t="s">
        <v>388</v>
      </c>
      <c r="L286" s="6"/>
      <c r="M286" s="6"/>
      <c r="N286" s="6"/>
      <c r="O286" s="6" t="s">
        <v>388</v>
      </c>
      <c r="P286" s="6"/>
      <c r="Q286" s="6"/>
      <c r="R286" s="6"/>
      <c r="S286" s="6"/>
      <c r="T286" s="6" t="s">
        <v>388</v>
      </c>
      <c r="U286" s="6"/>
      <c r="V286" s="6"/>
      <c r="W286" s="6" t="s">
        <v>388</v>
      </c>
      <c r="X286" s="6" t="s">
        <v>388</v>
      </c>
      <c r="Y286" s="6"/>
      <c r="Z286" s="6" t="s">
        <v>388</v>
      </c>
      <c r="AA286" s="6"/>
      <c r="AB286" s="6"/>
      <c r="AC286" s="12"/>
      <c r="AD286" s="12"/>
      <c r="AE286" s="83" t="s">
        <v>648</v>
      </c>
      <c r="AF286" s="6" t="s">
        <v>394</v>
      </c>
      <c r="AG286" s="34"/>
      <c r="AH286" s="2"/>
      <c r="AI286" s="34"/>
      <c r="AJ286" s="34"/>
      <c r="AK286" s="2"/>
      <c r="AL286" s="178" t="s">
        <v>1699</v>
      </c>
      <c r="AM286" s="283"/>
      <c r="AN286" s="283"/>
      <c r="AO286" s="6" t="s">
        <v>388</v>
      </c>
      <c r="AP286" s="6" t="s">
        <v>388</v>
      </c>
    </row>
    <row r="287" spans="1:42" s="181" customFormat="1" ht="11.25" customHeight="1">
      <c r="A287" s="144" t="s">
        <v>226</v>
      </c>
      <c r="B287" s="1" t="s">
        <v>227</v>
      </c>
      <c r="C287" s="1" t="s">
        <v>228</v>
      </c>
      <c r="D287" s="4" t="s">
        <v>387</v>
      </c>
      <c r="E287" s="4" t="s">
        <v>625</v>
      </c>
      <c r="F287" s="4"/>
      <c r="G287" s="83">
        <v>2</v>
      </c>
      <c r="H287" s="6"/>
      <c r="I287" s="6"/>
      <c r="J287" s="6"/>
      <c r="K287" s="6"/>
      <c r="L287" s="6"/>
      <c r="M287" s="6"/>
      <c r="N287" s="6"/>
      <c r="O287" s="6"/>
      <c r="P287" s="6"/>
      <c r="Q287" s="6"/>
      <c r="R287" s="6"/>
      <c r="S287" s="6"/>
      <c r="T287" s="6" t="s">
        <v>388</v>
      </c>
      <c r="U287" s="6"/>
      <c r="V287" s="6" t="s">
        <v>388</v>
      </c>
      <c r="W287" s="6" t="s">
        <v>388</v>
      </c>
      <c r="X287" s="6" t="s">
        <v>388</v>
      </c>
      <c r="Y287" s="6" t="s">
        <v>388</v>
      </c>
      <c r="Z287" s="6" t="s">
        <v>388</v>
      </c>
      <c r="AA287" s="6" t="s">
        <v>388</v>
      </c>
      <c r="AB287" s="6"/>
      <c r="AC287" s="12" t="s">
        <v>388</v>
      </c>
      <c r="AD287" s="12"/>
      <c r="AE287" s="83">
        <v>3</v>
      </c>
      <c r="AF287" s="5" t="s">
        <v>389</v>
      </c>
      <c r="AG287" s="34" t="s">
        <v>1844</v>
      </c>
      <c r="AH287" s="1"/>
      <c r="AI287" s="4"/>
      <c r="AJ287" s="4"/>
      <c r="AK287" s="2"/>
      <c r="AL287" s="178" t="s">
        <v>1690</v>
      </c>
      <c r="AM287" s="6" t="s">
        <v>388</v>
      </c>
      <c r="AN287" s="283"/>
      <c r="AO287" s="283"/>
      <c r="AP287" s="6" t="s">
        <v>388</v>
      </c>
    </row>
    <row r="288" spans="1:42" s="181" customFormat="1" ht="11.25" customHeight="1">
      <c r="A288" s="19" t="s">
        <v>234</v>
      </c>
      <c r="B288" s="1" t="s">
        <v>235</v>
      </c>
      <c r="C288" s="1" t="s">
        <v>236</v>
      </c>
      <c r="D288" s="4" t="s">
        <v>387</v>
      </c>
      <c r="E288" s="4" t="s">
        <v>625</v>
      </c>
      <c r="F288" s="4"/>
      <c r="G288" s="83">
        <v>2</v>
      </c>
      <c r="H288" s="6"/>
      <c r="I288" s="6"/>
      <c r="J288" s="6"/>
      <c r="K288" s="6"/>
      <c r="L288" s="6"/>
      <c r="M288" s="6"/>
      <c r="N288" s="6"/>
      <c r="O288" s="6" t="s">
        <v>388</v>
      </c>
      <c r="P288" s="6"/>
      <c r="Q288" s="6"/>
      <c r="R288" s="6"/>
      <c r="S288" s="6"/>
      <c r="T288" s="6"/>
      <c r="U288" s="6"/>
      <c r="V288" s="6" t="s">
        <v>388</v>
      </c>
      <c r="W288" s="6" t="s">
        <v>388</v>
      </c>
      <c r="X288" s="6" t="s">
        <v>388</v>
      </c>
      <c r="Y288" s="6" t="s">
        <v>388</v>
      </c>
      <c r="Z288" s="6" t="s">
        <v>388</v>
      </c>
      <c r="AA288" s="6"/>
      <c r="AB288" s="6"/>
      <c r="AC288" s="12" t="s">
        <v>388</v>
      </c>
      <c r="AD288" s="12"/>
      <c r="AE288" s="83">
        <v>3</v>
      </c>
      <c r="AF288" s="5" t="s">
        <v>389</v>
      </c>
      <c r="AG288" s="34" t="s">
        <v>1934</v>
      </c>
      <c r="AH288" s="1"/>
      <c r="AI288" s="4" t="s">
        <v>237</v>
      </c>
      <c r="AJ288" s="4"/>
      <c r="AK288" s="2"/>
      <c r="AL288" s="178" t="s">
        <v>1690</v>
      </c>
      <c r="AM288" s="5" t="s">
        <v>388</v>
      </c>
      <c r="AN288" s="281"/>
      <c r="AO288" s="281"/>
      <c r="AP288" s="5" t="s">
        <v>388</v>
      </c>
    </row>
    <row r="289" spans="1:42" s="480" customFormat="1" ht="11.25" customHeight="1">
      <c r="A289" s="144" t="s">
        <v>60</v>
      </c>
      <c r="B289" s="2" t="s">
        <v>61</v>
      </c>
      <c r="C289" s="2" t="s">
        <v>2292</v>
      </c>
      <c r="D289" s="34" t="s">
        <v>387</v>
      </c>
      <c r="E289" s="34" t="s">
        <v>624</v>
      </c>
      <c r="F289" s="34" t="s">
        <v>625</v>
      </c>
      <c r="G289" s="83">
        <v>2</v>
      </c>
      <c r="H289" s="6"/>
      <c r="I289" s="6"/>
      <c r="J289" s="6"/>
      <c r="K289" s="6" t="s">
        <v>388</v>
      </c>
      <c r="L289" s="6"/>
      <c r="M289" s="6"/>
      <c r="N289" s="6"/>
      <c r="O289" s="6"/>
      <c r="P289" s="6"/>
      <c r="Q289" s="6"/>
      <c r="R289" s="6"/>
      <c r="S289" s="6"/>
      <c r="T289" s="6" t="s">
        <v>388</v>
      </c>
      <c r="U289" s="6"/>
      <c r="V289" s="6" t="s">
        <v>388</v>
      </c>
      <c r="W289" s="6" t="s">
        <v>388</v>
      </c>
      <c r="X289" s="6" t="s">
        <v>388</v>
      </c>
      <c r="Y289" s="6" t="s">
        <v>388</v>
      </c>
      <c r="Z289" s="6" t="s">
        <v>388</v>
      </c>
      <c r="AA289" s="6" t="s">
        <v>388</v>
      </c>
      <c r="AB289" s="6" t="s">
        <v>388</v>
      </c>
      <c r="AC289" s="12"/>
      <c r="AD289" s="12"/>
      <c r="AE289" s="83">
        <v>3</v>
      </c>
      <c r="AF289" s="6" t="s">
        <v>394</v>
      </c>
      <c r="AG289" s="34" t="s">
        <v>1933</v>
      </c>
      <c r="AH289" s="2"/>
      <c r="AI289" s="34" t="s">
        <v>1105</v>
      </c>
      <c r="AJ289" s="34"/>
      <c r="AK289" s="2"/>
      <c r="AL289" s="178" t="s">
        <v>1690</v>
      </c>
      <c r="AM289" s="283"/>
      <c r="AN289" s="283"/>
      <c r="AO289" s="6" t="s">
        <v>388</v>
      </c>
      <c r="AP289" s="6" t="s">
        <v>388</v>
      </c>
    </row>
    <row r="290" spans="1:42" s="480" customFormat="1" ht="11.25" customHeight="1">
      <c r="A290" s="144" t="s">
        <v>63</v>
      </c>
      <c r="B290" s="1" t="s">
        <v>2255</v>
      </c>
      <c r="C290" s="1" t="s">
        <v>239</v>
      </c>
      <c r="D290" s="4" t="s">
        <v>387</v>
      </c>
      <c r="E290" s="4" t="s">
        <v>625</v>
      </c>
      <c r="F290" s="4"/>
      <c r="G290" s="83">
        <v>2</v>
      </c>
      <c r="H290" s="6"/>
      <c r="I290" s="6"/>
      <c r="J290" s="6"/>
      <c r="K290" s="6"/>
      <c r="L290" s="6"/>
      <c r="M290" s="6" t="s">
        <v>388</v>
      </c>
      <c r="N290" s="6"/>
      <c r="O290" s="6"/>
      <c r="P290" s="6" t="s">
        <v>388</v>
      </c>
      <c r="Q290" s="6"/>
      <c r="R290" s="6"/>
      <c r="S290" s="6"/>
      <c r="T290" s="6"/>
      <c r="U290" s="6" t="s">
        <v>388</v>
      </c>
      <c r="V290" s="6"/>
      <c r="W290" s="6"/>
      <c r="X290" s="6"/>
      <c r="Y290" s="6"/>
      <c r="Z290" s="6"/>
      <c r="AA290" s="6"/>
      <c r="AB290" s="6"/>
      <c r="AC290" s="12"/>
      <c r="AD290" s="12"/>
      <c r="AE290" s="83">
        <v>3</v>
      </c>
      <c r="AF290" s="5" t="s">
        <v>389</v>
      </c>
      <c r="AG290" s="34" t="s">
        <v>1841</v>
      </c>
      <c r="AH290" s="1"/>
      <c r="AI290" s="4"/>
      <c r="AJ290" s="4"/>
      <c r="AK290" s="2"/>
      <c r="AL290" s="178" t="s">
        <v>1690</v>
      </c>
      <c r="AM290" s="281"/>
      <c r="AN290" s="5" t="s">
        <v>388</v>
      </c>
      <c r="AO290" s="5" t="s">
        <v>388</v>
      </c>
      <c r="AP290" s="5" t="s">
        <v>388</v>
      </c>
    </row>
    <row r="291" spans="1:42" s="181" customFormat="1" ht="11.25" customHeight="1">
      <c r="A291" s="144" t="s">
        <v>63</v>
      </c>
      <c r="B291" s="2" t="s">
        <v>64</v>
      </c>
      <c r="C291" s="2" t="s">
        <v>65</v>
      </c>
      <c r="D291" s="34" t="s">
        <v>387</v>
      </c>
      <c r="E291" s="34" t="s">
        <v>624</v>
      </c>
      <c r="F291" s="34" t="s">
        <v>625</v>
      </c>
      <c r="G291" s="83">
        <v>2</v>
      </c>
      <c r="H291" s="6"/>
      <c r="I291" s="6"/>
      <c r="J291" s="6"/>
      <c r="K291" s="6" t="s">
        <v>388</v>
      </c>
      <c r="L291" s="6"/>
      <c r="M291" s="6" t="s">
        <v>388</v>
      </c>
      <c r="N291" s="6"/>
      <c r="O291" s="6"/>
      <c r="P291" s="6" t="s">
        <v>388</v>
      </c>
      <c r="Q291" s="6"/>
      <c r="R291" s="6" t="s">
        <v>388</v>
      </c>
      <c r="S291" s="6"/>
      <c r="T291" s="6"/>
      <c r="U291" s="6" t="s">
        <v>388</v>
      </c>
      <c r="V291" s="6"/>
      <c r="W291" s="6" t="s">
        <v>388</v>
      </c>
      <c r="X291" s="6" t="s">
        <v>388</v>
      </c>
      <c r="Y291" s="6"/>
      <c r="Z291" s="6"/>
      <c r="AA291" s="6"/>
      <c r="AB291" s="6"/>
      <c r="AC291" s="6"/>
      <c r="AD291" s="6"/>
      <c r="AE291" s="83">
        <v>3</v>
      </c>
      <c r="AF291" s="6" t="s">
        <v>394</v>
      </c>
      <c r="AG291" s="34" t="s">
        <v>1842</v>
      </c>
      <c r="AH291" s="2"/>
      <c r="AI291" s="34" t="s">
        <v>1684</v>
      </c>
      <c r="AJ291" s="4"/>
      <c r="AK291" s="2"/>
      <c r="AL291" s="178" t="s">
        <v>1690</v>
      </c>
      <c r="AM291" s="281"/>
      <c r="AN291" s="281"/>
      <c r="AO291" s="5" t="s">
        <v>388</v>
      </c>
      <c r="AP291" s="5" t="s">
        <v>388</v>
      </c>
    </row>
    <row r="292" spans="1:42" s="480" customFormat="1" ht="11.25" customHeight="1">
      <c r="A292" s="144" t="s">
        <v>2130</v>
      </c>
      <c r="B292" s="2" t="s">
        <v>433</v>
      </c>
      <c r="C292" s="2" t="s">
        <v>434</v>
      </c>
      <c r="D292" s="34" t="s">
        <v>387</v>
      </c>
      <c r="E292" s="34" t="s">
        <v>626</v>
      </c>
      <c r="F292" s="34"/>
      <c r="G292" s="83">
        <v>2</v>
      </c>
      <c r="H292" s="6"/>
      <c r="I292" s="6"/>
      <c r="J292" s="6"/>
      <c r="K292" s="6"/>
      <c r="L292" s="6" t="s">
        <v>388</v>
      </c>
      <c r="M292" s="6"/>
      <c r="N292" s="6"/>
      <c r="O292" s="6"/>
      <c r="P292" s="6"/>
      <c r="Q292" s="6" t="s">
        <v>388</v>
      </c>
      <c r="R292" s="6"/>
      <c r="S292" s="6"/>
      <c r="T292" s="6"/>
      <c r="U292" s="6"/>
      <c r="V292" s="6"/>
      <c r="W292" s="6"/>
      <c r="X292" s="6"/>
      <c r="Y292" s="6"/>
      <c r="Z292" s="6"/>
      <c r="AA292" s="6"/>
      <c r="AB292" s="6"/>
      <c r="AC292" s="6"/>
      <c r="AD292" s="6"/>
      <c r="AE292" s="83">
        <v>2</v>
      </c>
      <c r="AF292" s="5" t="s">
        <v>394</v>
      </c>
      <c r="AG292" s="34" t="s">
        <v>614</v>
      </c>
      <c r="AH292" s="2"/>
      <c r="AI292" s="34"/>
      <c r="AJ292" s="34"/>
      <c r="AK292" s="2"/>
      <c r="AL292" s="179" t="s">
        <v>1691</v>
      </c>
      <c r="AM292" s="283"/>
      <c r="AN292" s="6" t="s">
        <v>388</v>
      </c>
      <c r="AO292" s="283"/>
      <c r="AP292" s="6" t="s">
        <v>388</v>
      </c>
    </row>
    <row r="293" spans="1:42" s="181" customFormat="1" ht="11.25" customHeight="1">
      <c r="A293" s="17" t="s">
        <v>74</v>
      </c>
      <c r="B293" s="1" t="s">
        <v>244</v>
      </c>
      <c r="C293" s="1" t="s">
        <v>245</v>
      </c>
      <c r="D293" s="4" t="s">
        <v>387</v>
      </c>
      <c r="E293" s="4" t="s">
        <v>625</v>
      </c>
      <c r="F293" s="4"/>
      <c r="G293" s="83">
        <v>2</v>
      </c>
      <c r="H293" s="6"/>
      <c r="I293" s="6"/>
      <c r="J293" s="6"/>
      <c r="K293" s="6"/>
      <c r="L293" s="6"/>
      <c r="M293" s="6"/>
      <c r="N293" s="6"/>
      <c r="O293" s="6"/>
      <c r="P293" s="6"/>
      <c r="Q293" s="6"/>
      <c r="R293" s="6"/>
      <c r="S293" s="6"/>
      <c r="T293" s="6" t="s">
        <v>388</v>
      </c>
      <c r="U293" s="6"/>
      <c r="V293" s="6"/>
      <c r="W293" s="6"/>
      <c r="X293" s="6"/>
      <c r="Y293" s="6" t="s">
        <v>388</v>
      </c>
      <c r="Z293" s="6"/>
      <c r="AA293" s="6" t="s">
        <v>388</v>
      </c>
      <c r="AB293" s="6" t="s">
        <v>388</v>
      </c>
      <c r="AC293" s="12"/>
      <c r="AD293" s="12"/>
      <c r="AE293" s="83">
        <v>3</v>
      </c>
      <c r="AF293" s="5" t="s">
        <v>389</v>
      </c>
      <c r="AG293" s="34" t="s">
        <v>1930</v>
      </c>
      <c r="AH293" s="1"/>
      <c r="AI293" s="4"/>
      <c r="AJ293" s="4"/>
      <c r="AK293" s="2"/>
      <c r="AL293" s="178" t="s">
        <v>1690</v>
      </c>
      <c r="AM293" s="283"/>
      <c r="AN293" s="283"/>
      <c r="AO293" s="6" t="s">
        <v>388</v>
      </c>
      <c r="AP293" s="6" t="s">
        <v>388</v>
      </c>
    </row>
    <row r="294" spans="1:42" s="181" customFormat="1" ht="11.25" customHeight="1">
      <c r="A294" s="144" t="s">
        <v>77</v>
      </c>
      <c r="B294" s="2" t="s">
        <v>78</v>
      </c>
      <c r="C294" s="1" t="s">
        <v>79</v>
      </c>
      <c r="D294" s="4" t="s">
        <v>387</v>
      </c>
      <c r="E294" s="4" t="s">
        <v>624</v>
      </c>
      <c r="F294" s="4" t="s">
        <v>625</v>
      </c>
      <c r="G294" s="83">
        <v>2</v>
      </c>
      <c r="H294" s="6"/>
      <c r="I294" s="6"/>
      <c r="J294" s="6"/>
      <c r="K294" s="6" t="s">
        <v>388</v>
      </c>
      <c r="L294" s="6"/>
      <c r="M294" s="6" t="s">
        <v>388</v>
      </c>
      <c r="N294" s="6" t="s">
        <v>388</v>
      </c>
      <c r="O294" s="6"/>
      <c r="P294" s="6"/>
      <c r="Q294" s="6"/>
      <c r="R294" s="6"/>
      <c r="S294" s="6"/>
      <c r="T294" s="6" t="s">
        <v>388</v>
      </c>
      <c r="U294" s="6"/>
      <c r="V294" s="6"/>
      <c r="W294" s="6"/>
      <c r="X294" s="6"/>
      <c r="Y294" s="6" t="s">
        <v>388</v>
      </c>
      <c r="Z294" s="6" t="s">
        <v>388</v>
      </c>
      <c r="AA294" s="6" t="s">
        <v>388</v>
      </c>
      <c r="AB294" s="6" t="s">
        <v>388</v>
      </c>
      <c r="AC294" s="12"/>
      <c r="AD294" s="12"/>
      <c r="AE294" s="83">
        <v>3</v>
      </c>
      <c r="AF294" s="5" t="s">
        <v>389</v>
      </c>
      <c r="AG294" s="34" t="s">
        <v>1840</v>
      </c>
      <c r="AH294" s="1"/>
      <c r="AI294" s="4"/>
      <c r="AJ294" s="4"/>
      <c r="AK294" s="2"/>
      <c r="AL294" s="178" t="s">
        <v>1690</v>
      </c>
      <c r="AM294" s="281"/>
      <c r="AN294" s="5"/>
      <c r="AO294" s="5" t="s">
        <v>388</v>
      </c>
      <c r="AP294" s="5" t="s">
        <v>388</v>
      </c>
    </row>
    <row r="295" spans="1:42" s="181" customFormat="1" ht="11.25" customHeight="1">
      <c r="A295" s="144" t="s">
        <v>87</v>
      </c>
      <c r="B295" s="1" t="s">
        <v>88</v>
      </c>
      <c r="C295" s="1" t="s">
        <v>89</v>
      </c>
      <c r="D295" s="4" t="s">
        <v>387</v>
      </c>
      <c r="E295" s="4" t="s">
        <v>624</v>
      </c>
      <c r="F295" s="4" t="s">
        <v>625</v>
      </c>
      <c r="G295" s="83">
        <v>2</v>
      </c>
      <c r="H295" s="6" t="s">
        <v>388</v>
      </c>
      <c r="I295" s="6"/>
      <c r="J295" s="6"/>
      <c r="K295" s="6"/>
      <c r="L295" s="6" t="s">
        <v>388</v>
      </c>
      <c r="M295" s="6" t="s">
        <v>388</v>
      </c>
      <c r="N295" s="6"/>
      <c r="O295" s="6"/>
      <c r="P295" s="6"/>
      <c r="Q295" s="6" t="s">
        <v>388</v>
      </c>
      <c r="R295" s="6"/>
      <c r="S295" s="6"/>
      <c r="T295" s="6" t="s">
        <v>388</v>
      </c>
      <c r="U295" s="6" t="s">
        <v>388</v>
      </c>
      <c r="V295" s="6"/>
      <c r="W295" s="6"/>
      <c r="X295" s="6"/>
      <c r="Y295" s="6"/>
      <c r="Z295" s="6"/>
      <c r="AA295" s="6"/>
      <c r="AB295" s="6"/>
      <c r="AC295" s="12"/>
      <c r="AD295" s="12"/>
      <c r="AE295" s="83">
        <v>3</v>
      </c>
      <c r="AF295" s="5" t="s">
        <v>394</v>
      </c>
      <c r="AG295" s="4" t="s">
        <v>2382</v>
      </c>
      <c r="AH295" s="1"/>
      <c r="AI295" s="4"/>
      <c r="AJ295" s="4"/>
      <c r="AK295" s="2"/>
      <c r="AL295" s="178" t="s">
        <v>1690</v>
      </c>
      <c r="AM295" s="281"/>
      <c r="AN295" s="5" t="s">
        <v>388</v>
      </c>
      <c r="AO295" s="5" t="s">
        <v>388</v>
      </c>
      <c r="AP295" s="281"/>
    </row>
    <row r="296" spans="1:42" s="480" customFormat="1" ht="11.25" customHeight="1">
      <c r="A296" s="144" t="s">
        <v>87</v>
      </c>
      <c r="B296" s="373" t="s">
        <v>2233</v>
      </c>
      <c r="C296" s="373" t="s">
        <v>2232</v>
      </c>
      <c r="D296" s="374" t="s">
        <v>387</v>
      </c>
      <c r="E296" s="374" t="s">
        <v>1869</v>
      </c>
      <c r="F296" s="374"/>
      <c r="G296" s="367">
        <v>2</v>
      </c>
      <c r="H296" s="6" t="s">
        <v>388</v>
      </c>
      <c r="I296" s="368"/>
      <c r="J296" s="368"/>
      <c r="K296" s="368"/>
      <c r="L296" s="368"/>
      <c r="M296" s="6" t="s">
        <v>388</v>
      </c>
      <c r="N296" s="368"/>
      <c r="O296" s="368"/>
      <c r="P296" s="368"/>
      <c r="Q296" s="368"/>
      <c r="R296" s="368"/>
      <c r="S296" s="368"/>
      <c r="T296" s="6" t="s">
        <v>388</v>
      </c>
      <c r="U296" s="368"/>
      <c r="V296" s="368"/>
      <c r="W296" s="368"/>
      <c r="X296" s="368"/>
      <c r="Y296" s="368"/>
      <c r="Z296" s="368"/>
      <c r="AA296" s="368"/>
      <c r="AB296" s="369"/>
      <c r="AC296" s="369"/>
      <c r="AD296" s="369"/>
      <c r="AE296" s="370">
        <v>3</v>
      </c>
      <c r="AF296" s="372" t="s">
        <v>389</v>
      </c>
      <c r="AG296" s="4" t="s">
        <v>2234</v>
      </c>
      <c r="AH296" s="373"/>
      <c r="AI296" s="375"/>
      <c r="AJ296" s="374"/>
      <c r="AK296" s="365"/>
      <c r="AL296" s="178" t="s">
        <v>1690</v>
      </c>
      <c r="AM296" s="372"/>
      <c r="AN296" s="5" t="s">
        <v>388</v>
      </c>
      <c r="AO296" s="5" t="s">
        <v>388</v>
      </c>
      <c r="AP296" s="372"/>
    </row>
    <row r="297" spans="1:42" s="480" customFormat="1" ht="11.25" customHeight="1">
      <c r="A297" s="144" t="s">
        <v>99</v>
      </c>
      <c r="B297" s="1" t="s">
        <v>261</v>
      </c>
      <c r="C297" s="1" t="s">
        <v>395</v>
      </c>
      <c r="D297" s="4" t="s">
        <v>387</v>
      </c>
      <c r="E297" s="4" t="s">
        <v>625</v>
      </c>
      <c r="F297" s="4"/>
      <c r="G297" s="83">
        <v>2</v>
      </c>
      <c r="H297" s="6"/>
      <c r="I297" s="6"/>
      <c r="J297" s="6"/>
      <c r="K297" s="6"/>
      <c r="L297" s="6"/>
      <c r="M297" s="6" t="s">
        <v>388</v>
      </c>
      <c r="N297" s="6"/>
      <c r="O297" s="6"/>
      <c r="P297" s="6"/>
      <c r="Q297" s="6"/>
      <c r="R297" s="6"/>
      <c r="S297" s="6"/>
      <c r="T297" s="6" t="s">
        <v>388</v>
      </c>
      <c r="U297" s="6"/>
      <c r="V297" s="6"/>
      <c r="W297" s="6"/>
      <c r="X297" s="6"/>
      <c r="Y297" s="6"/>
      <c r="Z297" s="6"/>
      <c r="AA297" s="6"/>
      <c r="AB297" s="6"/>
      <c r="AC297" s="12"/>
      <c r="AD297" s="12"/>
      <c r="AE297" s="83">
        <v>3</v>
      </c>
      <c r="AF297" s="5" t="s">
        <v>389</v>
      </c>
      <c r="AG297" s="34" t="s">
        <v>2381</v>
      </c>
      <c r="AH297" s="1"/>
      <c r="AI297" s="4"/>
      <c r="AJ297" s="4"/>
      <c r="AK297" s="2"/>
      <c r="AL297" s="178" t="s">
        <v>1690</v>
      </c>
      <c r="AM297" s="281"/>
      <c r="AN297" s="5" t="s">
        <v>388</v>
      </c>
      <c r="AO297" s="281"/>
      <c r="AP297" s="281"/>
    </row>
    <row r="298" spans="1:42" s="480" customFormat="1" ht="11.25" customHeight="1">
      <c r="A298" s="16" t="s">
        <v>1444</v>
      </c>
      <c r="B298" s="1" t="s">
        <v>1445</v>
      </c>
      <c r="C298" s="1" t="s">
        <v>1443</v>
      </c>
      <c r="D298" s="4" t="s">
        <v>387</v>
      </c>
      <c r="E298" s="34" t="s">
        <v>625</v>
      </c>
      <c r="F298" s="34"/>
      <c r="G298" s="83">
        <v>2</v>
      </c>
      <c r="H298" s="6"/>
      <c r="I298" s="6"/>
      <c r="J298" s="6"/>
      <c r="K298" s="6"/>
      <c r="L298" s="6"/>
      <c r="M298" s="6"/>
      <c r="N298" s="6"/>
      <c r="O298" s="6"/>
      <c r="P298" s="6" t="s">
        <v>388</v>
      </c>
      <c r="Q298" s="6"/>
      <c r="R298" s="6" t="s">
        <v>388</v>
      </c>
      <c r="S298" s="6" t="s">
        <v>388</v>
      </c>
      <c r="T298" s="6"/>
      <c r="U298" s="6"/>
      <c r="V298" s="6"/>
      <c r="W298" s="6"/>
      <c r="X298" s="6"/>
      <c r="Y298" s="6"/>
      <c r="Z298" s="6"/>
      <c r="AA298" s="6"/>
      <c r="AB298" s="6"/>
      <c r="AC298" s="12"/>
      <c r="AD298" s="12"/>
      <c r="AE298" s="83" t="s">
        <v>648</v>
      </c>
      <c r="AF298" s="5" t="s">
        <v>389</v>
      </c>
      <c r="AG298" s="4" t="s">
        <v>1446</v>
      </c>
      <c r="AH298" s="1"/>
      <c r="AI298" s="4"/>
      <c r="AJ298" s="4"/>
      <c r="AK298" s="2"/>
      <c r="AL298" s="179" t="s">
        <v>1702</v>
      </c>
      <c r="AM298" s="281"/>
      <c r="AN298" s="281"/>
      <c r="AO298" s="5" t="s">
        <v>388</v>
      </c>
      <c r="AP298" s="5" t="s">
        <v>388</v>
      </c>
    </row>
    <row r="299" spans="1:42" s="181" customFormat="1" ht="11.25" customHeight="1">
      <c r="A299" s="144" t="s">
        <v>111</v>
      </c>
      <c r="B299" s="1" t="s">
        <v>112</v>
      </c>
      <c r="C299" s="1" t="s">
        <v>390</v>
      </c>
      <c r="D299" s="4" t="s">
        <v>387</v>
      </c>
      <c r="E299" s="4" t="s">
        <v>624</v>
      </c>
      <c r="F299" s="4" t="s">
        <v>625</v>
      </c>
      <c r="G299" s="83">
        <v>2</v>
      </c>
      <c r="H299" s="6"/>
      <c r="I299" s="6"/>
      <c r="J299" s="6"/>
      <c r="K299" s="6" t="s">
        <v>388</v>
      </c>
      <c r="L299" s="6" t="s">
        <v>388</v>
      </c>
      <c r="M299" s="6" t="s">
        <v>388</v>
      </c>
      <c r="N299" s="6"/>
      <c r="O299" s="6"/>
      <c r="P299" s="6"/>
      <c r="Q299" s="6"/>
      <c r="R299" s="6"/>
      <c r="S299" s="6"/>
      <c r="T299" s="6" t="s">
        <v>388</v>
      </c>
      <c r="U299" s="6" t="s">
        <v>388</v>
      </c>
      <c r="V299" s="6"/>
      <c r="W299" s="6"/>
      <c r="X299" s="6"/>
      <c r="Y299" s="6"/>
      <c r="Z299" s="6"/>
      <c r="AA299" s="6" t="s">
        <v>388</v>
      </c>
      <c r="AB299" s="6" t="s">
        <v>388</v>
      </c>
      <c r="AC299" s="12"/>
      <c r="AD299" s="12"/>
      <c r="AE299" s="83">
        <v>3</v>
      </c>
      <c r="AF299" s="5" t="s">
        <v>641</v>
      </c>
      <c r="AG299" s="4" t="s">
        <v>1489</v>
      </c>
      <c r="AH299" s="1"/>
      <c r="AI299" s="4" t="s">
        <v>113</v>
      </c>
      <c r="AJ299" s="4"/>
      <c r="AK299" s="2"/>
      <c r="AL299" s="178" t="s">
        <v>1690</v>
      </c>
      <c r="AM299" s="281"/>
      <c r="AN299" s="5" t="s">
        <v>388</v>
      </c>
      <c r="AO299" s="5" t="s">
        <v>388</v>
      </c>
      <c r="AP299" s="5" t="s">
        <v>388</v>
      </c>
    </row>
    <row r="300" spans="1:42" s="181" customFormat="1" ht="11.25" customHeight="1">
      <c r="A300" s="144" t="s">
        <v>111</v>
      </c>
      <c r="B300" s="1" t="s">
        <v>274</v>
      </c>
      <c r="C300" s="1" t="s">
        <v>397</v>
      </c>
      <c r="D300" s="4" t="s">
        <v>387</v>
      </c>
      <c r="E300" s="4" t="s">
        <v>625</v>
      </c>
      <c r="F300" s="4"/>
      <c r="G300" s="83">
        <v>2</v>
      </c>
      <c r="H300" s="6"/>
      <c r="I300" s="6"/>
      <c r="J300" s="6"/>
      <c r="K300" s="6"/>
      <c r="L300" s="6"/>
      <c r="M300" s="6" t="s">
        <v>388</v>
      </c>
      <c r="N300" s="6"/>
      <c r="O300" s="6"/>
      <c r="P300" s="6"/>
      <c r="Q300" s="6"/>
      <c r="R300" s="6"/>
      <c r="S300" s="6"/>
      <c r="T300" s="6"/>
      <c r="U300" s="6"/>
      <c r="V300" s="6"/>
      <c r="W300" s="6"/>
      <c r="X300" s="6"/>
      <c r="Y300" s="6"/>
      <c r="Z300" s="6"/>
      <c r="AA300" s="6"/>
      <c r="AB300" s="6"/>
      <c r="AC300" s="6" t="s">
        <v>388</v>
      </c>
      <c r="AD300" s="6"/>
      <c r="AE300" s="83">
        <v>3</v>
      </c>
      <c r="AF300" s="5" t="s">
        <v>389</v>
      </c>
      <c r="AG300" s="34" t="s">
        <v>1837</v>
      </c>
      <c r="AH300" s="1"/>
      <c r="AI300" s="4" t="s">
        <v>275</v>
      </c>
      <c r="AJ300" s="4"/>
      <c r="AK300" s="2"/>
      <c r="AL300" s="178" t="s">
        <v>1690</v>
      </c>
      <c r="AM300" s="281"/>
      <c r="AN300" s="281"/>
      <c r="AO300" s="5" t="s">
        <v>388</v>
      </c>
      <c r="AP300" s="5" t="s">
        <v>388</v>
      </c>
    </row>
    <row r="301" spans="1:42" s="181" customFormat="1" ht="11.25" customHeight="1">
      <c r="A301" s="19" t="s">
        <v>651</v>
      </c>
      <c r="B301" s="2" t="s">
        <v>635</v>
      </c>
      <c r="C301" s="2" t="s">
        <v>629</v>
      </c>
      <c r="D301" s="34" t="s">
        <v>387</v>
      </c>
      <c r="E301" s="34" t="s">
        <v>625</v>
      </c>
      <c r="F301" s="34"/>
      <c r="G301" s="83">
        <v>2</v>
      </c>
      <c r="H301" s="6"/>
      <c r="I301" s="6"/>
      <c r="J301" s="6" t="s">
        <v>388</v>
      </c>
      <c r="K301" s="6"/>
      <c r="L301" s="6"/>
      <c r="M301" s="6" t="s">
        <v>388</v>
      </c>
      <c r="N301" s="6"/>
      <c r="O301" s="6"/>
      <c r="P301" s="6" t="s">
        <v>388</v>
      </c>
      <c r="Q301" s="6"/>
      <c r="R301" s="6"/>
      <c r="S301" s="6"/>
      <c r="T301" s="6"/>
      <c r="U301" s="6"/>
      <c r="V301" s="6"/>
      <c r="W301" s="6"/>
      <c r="X301" s="6"/>
      <c r="Y301" s="6"/>
      <c r="Z301" s="6"/>
      <c r="AA301" s="6"/>
      <c r="AB301" s="6"/>
      <c r="AC301" s="12"/>
      <c r="AD301" s="12"/>
      <c r="AE301" s="83" t="s">
        <v>648</v>
      </c>
      <c r="AF301" s="6" t="s">
        <v>389</v>
      </c>
      <c r="AG301" s="34" t="s">
        <v>652</v>
      </c>
      <c r="AH301" s="2"/>
      <c r="AI301" s="34"/>
      <c r="AJ301" s="34"/>
      <c r="AK301" s="2"/>
      <c r="AL301" s="388" t="s">
        <v>1692</v>
      </c>
      <c r="AM301" s="281"/>
      <c r="AN301" s="281"/>
      <c r="AO301" s="281"/>
      <c r="AP301" s="281"/>
    </row>
    <row r="302" spans="1:42" s="181" customFormat="1" ht="11.25" customHeight="1">
      <c r="A302" s="17" t="s">
        <v>1715</v>
      </c>
      <c r="B302" s="1" t="s">
        <v>2243</v>
      </c>
      <c r="C302" s="1" t="s">
        <v>2244</v>
      </c>
      <c r="D302" s="4" t="s">
        <v>387</v>
      </c>
      <c r="E302" s="4" t="s">
        <v>1869</v>
      </c>
      <c r="F302" s="4"/>
      <c r="G302" s="83">
        <v>2</v>
      </c>
      <c r="H302" s="6"/>
      <c r="I302" s="6"/>
      <c r="J302" s="6"/>
      <c r="K302" s="6" t="s">
        <v>388</v>
      </c>
      <c r="L302" s="6" t="s">
        <v>388</v>
      </c>
      <c r="M302" s="6" t="s">
        <v>388</v>
      </c>
      <c r="N302" s="6" t="s">
        <v>388</v>
      </c>
      <c r="O302" s="6"/>
      <c r="P302" s="6"/>
      <c r="Q302" s="6" t="s">
        <v>388</v>
      </c>
      <c r="R302" s="6"/>
      <c r="S302" s="6"/>
      <c r="T302" s="6" t="s">
        <v>388</v>
      </c>
      <c r="U302" s="6"/>
      <c r="V302" s="6"/>
      <c r="W302" s="6" t="s">
        <v>388</v>
      </c>
      <c r="X302" s="6"/>
      <c r="Y302" s="6"/>
      <c r="Z302" s="6"/>
      <c r="AA302" s="6"/>
      <c r="AB302" s="12"/>
      <c r="AC302" s="12"/>
      <c r="AD302" s="12"/>
      <c r="AE302" s="251">
        <v>3</v>
      </c>
      <c r="AF302" s="5" t="s">
        <v>389</v>
      </c>
      <c r="AG302" s="4" t="s">
        <v>2245</v>
      </c>
      <c r="AH302" s="1"/>
      <c r="AI302" s="143"/>
      <c r="AJ302" s="4"/>
      <c r="AK302" s="2"/>
      <c r="AL302" s="387" t="s">
        <v>1690</v>
      </c>
      <c r="AM302" s="376"/>
      <c r="AN302" s="376"/>
      <c r="AO302" s="376"/>
      <c r="AP302" s="376"/>
    </row>
    <row r="303" spans="1:42" s="181" customFormat="1" ht="11.25" customHeight="1">
      <c r="A303" s="144" t="s">
        <v>1715</v>
      </c>
      <c r="B303" s="2" t="s">
        <v>637</v>
      </c>
      <c r="C303" s="2" t="s">
        <v>630</v>
      </c>
      <c r="D303" s="34" t="s">
        <v>387</v>
      </c>
      <c r="E303" s="34" t="s">
        <v>625</v>
      </c>
      <c r="F303" s="34"/>
      <c r="G303" s="83">
        <v>2</v>
      </c>
      <c r="H303" s="6"/>
      <c r="I303" s="6"/>
      <c r="J303" s="6"/>
      <c r="K303" s="6" t="s">
        <v>388</v>
      </c>
      <c r="L303" s="6"/>
      <c r="M303" s="6" t="s">
        <v>388</v>
      </c>
      <c r="N303" s="6"/>
      <c r="O303" s="6"/>
      <c r="P303" s="6"/>
      <c r="Q303" s="6"/>
      <c r="R303" s="6" t="s">
        <v>388</v>
      </c>
      <c r="S303" s="6"/>
      <c r="T303" s="6"/>
      <c r="U303" s="6" t="s">
        <v>388</v>
      </c>
      <c r="V303" s="6"/>
      <c r="W303" s="6" t="s">
        <v>388</v>
      </c>
      <c r="X303" s="6"/>
      <c r="Y303" s="6"/>
      <c r="Z303" s="6"/>
      <c r="AA303" s="6"/>
      <c r="AB303" s="6"/>
      <c r="AC303" s="12"/>
      <c r="AD303" s="12"/>
      <c r="AE303" s="83" t="s">
        <v>668</v>
      </c>
      <c r="AF303" s="6" t="s">
        <v>389</v>
      </c>
      <c r="AG303" s="34" t="s">
        <v>2380</v>
      </c>
      <c r="AH303" s="2"/>
      <c r="AI303" s="34"/>
      <c r="AJ303" s="34"/>
      <c r="AK303" s="2"/>
      <c r="AL303" s="388" t="s">
        <v>1692</v>
      </c>
      <c r="AM303" s="281"/>
      <c r="AN303" s="281"/>
      <c r="AO303" s="281"/>
      <c r="AP303" s="281"/>
    </row>
    <row r="304" spans="1:42" s="181" customFormat="1" ht="11.25" customHeight="1">
      <c r="A304" s="144" t="s">
        <v>279</v>
      </c>
      <c r="B304" s="1" t="s">
        <v>280</v>
      </c>
      <c r="C304" s="1" t="s">
        <v>281</v>
      </c>
      <c r="D304" s="4" t="s">
        <v>387</v>
      </c>
      <c r="E304" s="4" t="s">
        <v>625</v>
      </c>
      <c r="F304" s="4"/>
      <c r="G304" s="83">
        <v>2</v>
      </c>
      <c r="H304" s="6"/>
      <c r="I304" s="6"/>
      <c r="J304" s="6"/>
      <c r="K304" s="6"/>
      <c r="L304" s="6"/>
      <c r="M304" s="6"/>
      <c r="N304" s="6"/>
      <c r="O304" s="6" t="s">
        <v>388</v>
      </c>
      <c r="P304" s="6"/>
      <c r="Q304" s="6"/>
      <c r="R304" s="6"/>
      <c r="S304" s="6"/>
      <c r="T304" s="6"/>
      <c r="U304" s="6"/>
      <c r="V304" s="6" t="s">
        <v>388</v>
      </c>
      <c r="W304" s="6" t="s">
        <v>388</v>
      </c>
      <c r="X304" s="6" t="s">
        <v>388</v>
      </c>
      <c r="Y304" s="6" t="s">
        <v>388</v>
      </c>
      <c r="Z304" s="6" t="s">
        <v>388</v>
      </c>
      <c r="AA304" s="6" t="s">
        <v>388</v>
      </c>
      <c r="AB304" s="6"/>
      <c r="AC304" s="6" t="s">
        <v>388</v>
      </c>
      <c r="AD304" s="6"/>
      <c r="AE304" s="83">
        <v>3</v>
      </c>
      <c r="AF304" s="5" t="s">
        <v>389</v>
      </c>
      <c r="AG304" s="34"/>
      <c r="AH304" s="1"/>
      <c r="AI304" s="4"/>
      <c r="AJ304" s="4"/>
      <c r="AK304" s="2"/>
      <c r="AL304" s="387" t="s">
        <v>1690</v>
      </c>
      <c r="AM304" s="5" t="s">
        <v>388</v>
      </c>
      <c r="AN304" s="281"/>
      <c r="AO304" s="281"/>
      <c r="AP304" s="5" t="s">
        <v>388</v>
      </c>
    </row>
    <row r="305" spans="1:42" s="181" customFormat="1" ht="11.25" customHeight="1">
      <c r="A305" s="144" t="s">
        <v>120</v>
      </c>
      <c r="B305" s="1" t="s">
        <v>121</v>
      </c>
      <c r="C305" s="1" t="s">
        <v>391</v>
      </c>
      <c r="D305" s="4" t="s">
        <v>387</v>
      </c>
      <c r="E305" s="4" t="s">
        <v>624</v>
      </c>
      <c r="F305" s="4" t="s">
        <v>625</v>
      </c>
      <c r="G305" s="83">
        <v>2</v>
      </c>
      <c r="H305" s="6"/>
      <c r="I305" s="6"/>
      <c r="J305" s="6"/>
      <c r="K305" s="6" t="s">
        <v>388</v>
      </c>
      <c r="L305" s="6" t="s">
        <v>388</v>
      </c>
      <c r="M305" s="6" t="s">
        <v>388</v>
      </c>
      <c r="N305" s="6" t="s">
        <v>388</v>
      </c>
      <c r="O305" s="6"/>
      <c r="P305" s="6"/>
      <c r="Q305" s="6" t="s">
        <v>388</v>
      </c>
      <c r="R305" s="6"/>
      <c r="S305" s="6"/>
      <c r="T305" s="6" t="s">
        <v>388</v>
      </c>
      <c r="U305" s="6"/>
      <c r="V305" s="6"/>
      <c r="W305" s="6" t="s">
        <v>388</v>
      </c>
      <c r="X305" s="6"/>
      <c r="Y305" s="6"/>
      <c r="Z305" s="6"/>
      <c r="AA305" s="6"/>
      <c r="AB305" s="6"/>
      <c r="AC305" s="12"/>
      <c r="AD305" s="12"/>
      <c r="AE305" s="83">
        <v>3</v>
      </c>
      <c r="AF305" s="5" t="s">
        <v>394</v>
      </c>
      <c r="AG305" s="4" t="s">
        <v>1778</v>
      </c>
      <c r="AH305" s="1"/>
      <c r="AI305" s="4" t="s">
        <v>122</v>
      </c>
      <c r="AJ305" s="4"/>
      <c r="AK305" s="2"/>
      <c r="AL305" s="387" t="s">
        <v>1690</v>
      </c>
      <c r="AM305" s="285"/>
      <c r="AN305" s="285"/>
      <c r="AO305" s="285"/>
      <c r="AP305" s="285"/>
    </row>
    <row r="306" spans="1:42" s="181" customFormat="1" ht="11.25" customHeight="1">
      <c r="A306" s="17" t="s">
        <v>1393</v>
      </c>
      <c r="B306" s="2" t="s">
        <v>1394</v>
      </c>
      <c r="C306" s="3" t="s">
        <v>1392</v>
      </c>
      <c r="D306" s="13" t="s">
        <v>739</v>
      </c>
      <c r="E306" s="1" t="s">
        <v>625</v>
      </c>
      <c r="F306" s="13"/>
      <c r="G306" s="83">
        <v>2</v>
      </c>
      <c r="H306" s="6"/>
      <c r="I306" s="6"/>
      <c r="J306" s="6"/>
      <c r="K306" s="6" t="s">
        <v>388</v>
      </c>
      <c r="L306" s="6"/>
      <c r="M306" s="6" t="s">
        <v>388</v>
      </c>
      <c r="N306" s="6"/>
      <c r="O306" s="6"/>
      <c r="P306" s="6"/>
      <c r="Q306" s="6"/>
      <c r="R306" s="6" t="s">
        <v>388</v>
      </c>
      <c r="S306" s="6"/>
      <c r="T306" s="6" t="s">
        <v>388</v>
      </c>
      <c r="U306" s="6"/>
      <c r="V306" s="6"/>
      <c r="W306" s="6"/>
      <c r="X306" s="6"/>
      <c r="Y306" s="6" t="s">
        <v>388</v>
      </c>
      <c r="Z306" s="6" t="s">
        <v>388</v>
      </c>
      <c r="AA306" s="6" t="s">
        <v>388</v>
      </c>
      <c r="AB306" s="6" t="s">
        <v>388</v>
      </c>
      <c r="AC306" s="12"/>
      <c r="AD306" s="12"/>
      <c r="AE306" s="83" t="s">
        <v>648</v>
      </c>
      <c r="AF306" s="5" t="s">
        <v>394</v>
      </c>
      <c r="AG306" s="4" t="s">
        <v>1395</v>
      </c>
      <c r="AH306" s="1"/>
      <c r="AI306" s="4"/>
      <c r="AJ306" s="4"/>
      <c r="AK306" s="2"/>
      <c r="AL306" s="387" t="s">
        <v>1696</v>
      </c>
      <c r="AM306" s="281"/>
      <c r="AN306" s="281"/>
      <c r="AO306" s="5" t="s">
        <v>388</v>
      </c>
      <c r="AP306" s="281"/>
    </row>
    <row r="307" spans="1:42" s="181" customFormat="1" ht="11.25" customHeight="1">
      <c r="A307" s="144" t="s">
        <v>123</v>
      </c>
      <c r="B307" s="2" t="s">
        <v>124</v>
      </c>
      <c r="C307" s="2" t="s">
        <v>125</v>
      </c>
      <c r="D307" s="34" t="s">
        <v>387</v>
      </c>
      <c r="E307" s="34" t="s">
        <v>624</v>
      </c>
      <c r="F307" s="34" t="s">
        <v>625</v>
      </c>
      <c r="G307" s="83">
        <v>2</v>
      </c>
      <c r="H307" s="6"/>
      <c r="I307" s="6"/>
      <c r="J307" s="6"/>
      <c r="K307" s="6"/>
      <c r="L307" s="6"/>
      <c r="M307" s="6"/>
      <c r="N307" s="6"/>
      <c r="O307" s="6"/>
      <c r="P307" s="6" t="s">
        <v>388</v>
      </c>
      <c r="Q307" s="6"/>
      <c r="R307" s="6" t="s">
        <v>388</v>
      </c>
      <c r="S307" s="6" t="s">
        <v>388</v>
      </c>
      <c r="T307" s="6"/>
      <c r="U307" s="6"/>
      <c r="V307" s="6"/>
      <c r="W307" s="6"/>
      <c r="X307" s="6"/>
      <c r="Y307" s="6"/>
      <c r="Z307" s="6"/>
      <c r="AA307" s="6" t="s">
        <v>388</v>
      </c>
      <c r="AB307" s="6"/>
      <c r="AC307" s="12"/>
      <c r="AD307" s="12"/>
      <c r="AE307" s="83">
        <v>3</v>
      </c>
      <c r="AF307" s="6" t="s">
        <v>394</v>
      </c>
      <c r="AG307" s="34" t="s">
        <v>1836</v>
      </c>
      <c r="AH307" s="2"/>
      <c r="AI307" s="34" t="s">
        <v>126</v>
      </c>
      <c r="AJ307" s="34"/>
      <c r="AK307" s="2"/>
      <c r="AL307" s="178" t="s">
        <v>1690</v>
      </c>
      <c r="AM307" s="281"/>
      <c r="AN307" s="281"/>
      <c r="AO307" s="5" t="s">
        <v>388</v>
      </c>
      <c r="AP307" s="5" t="s">
        <v>388</v>
      </c>
    </row>
    <row r="308" spans="1:42" s="181" customFormat="1" ht="11.25" customHeight="1">
      <c r="A308" s="144" t="s">
        <v>131</v>
      </c>
      <c r="B308" s="1" t="s">
        <v>132</v>
      </c>
      <c r="C308" s="1" t="s">
        <v>133</v>
      </c>
      <c r="D308" s="4" t="s">
        <v>387</v>
      </c>
      <c r="E308" s="4" t="s">
        <v>624</v>
      </c>
      <c r="F308" s="4" t="s">
        <v>625</v>
      </c>
      <c r="G308" s="83">
        <v>2</v>
      </c>
      <c r="H308" s="6"/>
      <c r="I308" s="6"/>
      <c r="J308" s="6"/>
      <c r="K308" s="6"/>
      <c r="L308" s="6" t="s">
        <v>388</v>
      </c>
      <c r="M308" s="6" t="s">
        <v>388</v>
      </c>
      <c r="N308" s="6"/>
      <c r="O308" s="6"/>
      <c r="P308" s="6"/>
      <c r="Q308" s="6"/>
      <c r="R308" s="6"/>
      <c r="S308" s="6"/>
      <c r="T308" s="6" t="s">
        <v>388</v>
      </c>
      <c r="U308" s="6"/>
      <c r="V308" s="6"/>
      <c r="W308" s="6"/>
      <c r="X308" s="6"/>
      <c r="Y308" s="6"/>
      <c r="Z308" s="6"/>
      <c r="AA308" s="6"/>
      <c r="AB308" s="6"/>
      <c r="AC308" s="12"/>
      <c r="AD308" s="12" t="s">
        <v>388</v>
      </c>
      <c r="AE308" s="83">
        <v>3</v>
      </c>
      <c r="AF308" s="5" t="s">
        <v>394</v>
      </c>
      <c r="AG308" s="34" t="s">
        <v>2379</v>
      </c>
      <c r="AH308" s="1"/>
      <c r="AI308" s="4"/>
      <c r="AJ308" s="4"/>
      <c r="AK308" s="2"/>
      <c r="AL308" s="178" t="s">
        <v>1690</v>
      </c>
      <c r="AM308" s="281"/>
      <c r="AN308" s="5" t="s">
        <v>388</v>
      </c>
      <c r="AO308" s="281"/>
      <c r="AP308" s="281"/>
    </row>
    <row r="309" spans="1:42" s="480" customFormat="1" ht="11.25" customHeight="1">
      <c r="A309" s="19" t="s">
        <v>289</v>
      </c>
      <c r="B309" s="2" t="s">
        <v>290</v>
      </c>
      <c r="C309" s="1" t="s">
        <v>291</v>
      </c>
      <c r="D309" s="4" t="s">
        <v>387</v>
      </c>
      <c r="E309" s="4" t="s">
        <v>625</v>
      </c>
      <c r="F309" s="4" t="s">
        <v>625</v>
      </c>
      <c r="G309" s="83">
        <v>2</v>
      </c>
      <c r="H309" s="6" t="s">
        <v>388</v>
      </c>
      <c r="I309" s="6"/>
      <c r="J309" s="6"/>
      <c r="K309" s="6"/>
      <c r="L309" s="6" t="s">
        <v>388</v>
      </c>
      <c r="M309" s="6" t="s">
        <v>388</v>
      </c>
      <c r="N309" s="6"/>
      <c r="O309" s="6"/>
      <c r="P309" s="6"/>
      <c r="Q309" s="6"/>
      <c r="R309" s="6"/>
      <c r="S309" s="6"/>
      <c r="T309" s="6"/>
      <c r="U309" s="6" t="s">
        <v>388</v>
      </c>
      <c r="V309" s="6"/>
      <c r="W309" s="6"/>
      <c r="X309" s="6"/>
      <c r="Y309" s="6"/>
      <c r="Z309" s="6"/>
      <c r="AA309" s="6"/>
      <c r="AB309" s="6"/>
      <c r="AC309" s="12"/>
      <c r="AD309" s="12"/>
      <c r="AE309" s="83">
        <v>3</v>
      </c>
      <c r="AF309" s="5" t="s">
        <v>389</v>
      </c>
      <c r="AG309" s="34" t="s">
        <v>1724</v>
      </c>
      <c r="AH309" s="1"/>
      <c r="AI309" s="4"/>
      <c r="AJ309" s="4"/>
      <c r="AK309" s="2" t="s">
        <v>2142</v>
      </c>
      <c r="AL309" s="178" t="s">
        <v>1690</v>
      </c>
      <c r="AM309" s="283"/>
      <c r="AN309" s="283"/>
      <c r="AO309" s="283"/>
      <c r="AP309" s="283"/>
    </row>
    <row r="310" spans="1:42" s="480" customFormat="1" ht="11.25" customHeight="1">
      <c r="A310" s="525" t="s">
        <v>644</v>
      </c>
      <c r="B310" s="526" t="s">
        <v>636</v>
      </c>
      <c r="C310" s="526" t="s">
        <v>654</v>
      </c>
      <c r="D310" s="527" t="s">
        <v>387</v>
      </c>
      <c r="E310" s="527" t="s">
        <v>625</v>
      </c>
      <c r="F310" s="527"/>
      <c r="G310" s="528">
        <v>2</v>
      </c>
      <c r="H310" s="529"/>
      <c r="I310" s="529"/>
      <c r="J310" s="529" t="s">
        <v>388</v>
      </c>
      <c r="K310" s="529"/>
      <c r="L310" s="529" t="s">
        <v>388</v>
      </c>
      <c r="M310" s="529" t="s">
        <v>388</v>
      </c>
      <c r="N310" s="529" t="s">
        <v>388</v>
      </c>
      <c r="O310" s="529"/>
      <c r="P310" s="529" t="s">
        <v>388</v>
      </c>
      <c r="Q310" s="529"/>
      <c r="R310" s="529"/>
      <c r="S310" s="529"/>
      <c r="T310" s="529"/>
      <c r="U310" s="529"/>
      <c r="V310" s="529"/>
      <c r="W310" s="529"/>
      <c r="X310" s="529"/>
      <c r="Y310" s="529"/>
      <c r="Z310" s="529"/>
      <c r="AA310" s="529"/>
      <c r="AB310" s="529"/>
      <c r="AC310" s="530"/>
      <c r="AD310" s="530" t="s">
        <v>388</v>
      </c>
      <c r="AE310" s="528" t="s">
        <v>645</v>
      </c>
      <c r="AF310" s="529" t="s">
        <v>389</v>
      </c>
      <c r="AG310" s="47"/>
      <c r="AH310" s="2"/>
      <c r="AI310" s="34"/>
      <c r="AJ310" s="2" t="s">
        <v>2143</v>
      </c>
      <c r="AK310" s="2"/>
      <c r="AL310" s="179" t="s">
        <v>1692</v>
      </c>
      <c r="AM310" s="283"/>
      <c r="AN310" s="6" t="s">
        <v>388</v>
      </c>
      <c r="AO310" s="283"/>
      <c r="AP310" s="283"/>
    </row>
    <row r="311" spans="1:42" s="480" customFormat="1" ht="11.25" customHeight="1">
      <c r="A311" s="144" t="s">
        <v>140</v>
      </c>
      <c r="B311" s="1" t="s">
        <v>295</v>
      </c>
      <c r="C311" s="1" t="s">
        <v>296</v>
      </c>
      <c r="D311" s="4" t="s">
        <v>387</v>
      </c>
      <c r="E311" s="4" t="s">
        <v>625</v>
      </c>
      <c r="F311" s="4"/>
      <c r="G311" s="83">
        <v>2</v>
      </c>
      <c r="H311" s="6"/>
      <c r="I311" s="6"/>
      <c r="J311" s="6"/>
      <c r="K311" s="6"/>
      <c r="L311" s="6"/>
      <c r="M311" s="6" t="s">
        <v>388</v>
      </c>
      <c r="N311" s="6" t="s">
        <v>388</v>
      </c>
      <c r="O311" s="6"/>
      <c r="P311" s="6"/>
      <c r="Q311" s="6"/>
      <c r="R311" s="6"/>
      <c r="S311" s="6"/>
      <c r="T311" s="6" t="s">
        <v>388</v>
      </c>
      <c r="U311" s="6"/>
      <c r="V311" s="6"/>
      <c r="W311" s="6"/>
      <c r="X311" s="6"/>
      <c r="Y311" s="6" t="s">
        <v>388</v>
      </c>
      <c r="Z311" s="6" t="s">
        <v>388</v>
      </c>
      <c r="AA311" s="6"/>
      <c r="AB311" s="6"/>
      <c r="AC311" s="6"/>
      <c r="AD311" s="6"/>
      <c r="AE311" s="83">
        <v>3</v>
      </c>
      <c r="AF311" s="5" t="s">
        <v>389</v>
      </c>
      <c r="AG311" s="34" t="s">
        <v>1835</v>
      </c>
      <c r="AH311" s="1"/>
      <c r="AI311" s="4"/>
      <c r="AJ311" s="4"/>
      <c r="AK311" s="2"/>
      <c r="AL311" s="178" t="s">
        <v>1690</v>
      </c>
      <c r="AM311" s="283"/>
      <c r="AN311" s="283"/>
      <c r="AO311" s="6" t="s">
        <v>388</v>
      </c>
      <c r="AP311" s="6" t="s">
        <v>388</v>
      </c>
    </row>
    <row r="312" spans="1:42" s="181" customFormat="1" ht="11.25" customHeight="1">
      <c r="A312" s="144" t="s">
        <v>140</v>
      </c>
      <c r="B312" s="1" t="s">
        <v>1651</v>
      </c>
      <c r="C312" s="1" t="s">
        <v>141</v>
      </c>
      <c r="D312" s="4" t="s">
        <v>387</v>
      </c>
      <c r="E312" s="4" t="s">
        <v>624</v>
      </c>
      <c r="F312" s="4" t="s">
        <v>625</v>
      </c>
      <c r="G312" s="83">
        <v>2</v>
      </c>
      <c r="H312" s="6"/>
      <c r="I312" s="6"/>
      <c r="J312" s="6"/>
      <c r="K312" s="6"/>
      <c r="L312" s="6" t="s">
        <v>388</v>
      </c>
      <c r="M312" s="6" t="s">
        <v>388</v>
      </c>
      <c r="N312" s="6" t="s">
        <v>388</v>
      </c>
      <c r="O312" s="6"/>
      <c r="P312" s="6"/>
      <c r="Q312" s="6"/>
      <c r="R312" s="6"/>
      <c r="S312" s="6"/>
      <c r="T312" s="6"/>
      <c r="U312" s="6" t="s">
        <v>388</v>
      </c>
      <c r="V312" s="6"/>
      <c r="W312" s="6"/>
      <c r="X312" s="6"/>
      <c r="Y312" s="6"/>
      <c r="Z312" s="6"/>
      <c r="AA312" s="6"/>
      <c r="AB312" s="6"/>
      <c r="AC312" s="12"/>
      <c r="AD312" s="12"/>
      <c r="AE312" s="83">
        <v>3</v>
      </c>
      <c r="AF312" s="5" t="s">
        <v>394</v>
      </c>
      <c r="AG312" s="4" t="s">
        <v>1804</v>
      </c>
      <c r="AH312" s="1"/>
      <c r="AI312" s="4"/>
      <c r="AJ312" s="4"/>
      <c r="AK312" s="2"/>
      <c r="AL312" s="178" t="s">
        <v>1690</v>
      </c>
      <c r="AM312" s="5" t="s">
        <v>388</v>
      </c>
      <c r="AN312" s="281"/>
      <c r="AO312" s="5" t="s">
        <v>388</v>
      </c>
      <c r="AP312" s="281"/>
    </row>
    <row r="313" spans="1:42" s="181" customFormat="1" ht="11.25" customHeight="1">
      <c r="A313" s="144" t="s">
        <v>142</v>
      </c>
      <c r="B313" s="1" t="s">
        <v>143</v>
      </c>
      <c r="C313" s="1" t="s">
        <v>144</v>
      </c>
      <c r="D313" s="4" t="s">
        <v>387</v>
      </c>
      <c r="E313" s="4" t="s">
        <v>624</v>
      </c>
      <c r="F313" s="4" t="s">
        <v>625</v>
      </c>
      <c r="G313" s="83">
        <v>2</v>
      </c>
      <c r="H313" s="6"/>
      <c r="I313" s="6"/>
      <c r="J313" s="6"/>
      <c r="K313" s="6"/>
      <c r="L313" s="6"/>
      <c r="M313" s="6"/>
      <c r="N313" s="6"/>
      <c r="O313" s="6"/>
      <c r="P313" s="6"/>
      <c r="Q313" s="6"/>
      <c r="R313" s="6"/>
      <c r="S313" s="6"/>
      <c r="T313" s="6"/>
      <c r="U313" s="6"/>
      <c r="V313" s="6"/>
      <c r="W313" s="6"/>
      <c r="X313" s="6"/>
      <c r="Y313" s="6"/>
      <c r="Z313" s="6"/>
      <c r="AA313" s="6"/>
      <c r="AB313" s="6"/>
      <c r="AC313" s="12" t="s">
        <v>388</v>
      </c>
      <c r="AD313" s="12" t="s">
        <v>388</v>
      </c>
      <c r="AE313" s="83">
        <v>3</v>
      </c>
      <c r="AF313" s="5" t="s">
        <v>394</v>
      </c>
      <c r="AG313" s="34" t="s">
        <v>1834</v>
      </c>
      <c r="AH313" s="1"/>
      <c r="AI313" s="4"/>
      <c r="AJ313" s="4"/>
      <c r="AK313" s="2"/>
      <c r="AL313" s="178" t="s">
        <v>1690</v>
      </c>
      <c r="AM313" s="5" t="s">
        <v>388</v>
      </c>
      <c r="AN313" s="281"/>
      <c r="AO313" s="281"/>
      <c r="AP313" s="281"/>
    </row>
    <row r="314" spans="1:42" s="181" customFormat="1" ht="11.25" customHeight="1">
      <c r="A314" s="19" t="s">
        <v>302</v>
      </c>
      <c r="B314" s="1" t="s">
        <v>303</v>
      </c>
      <c r="C314" s="1" t="s">
        <v>304</v>
      </c>
      <c r="D314" s="4" t="s">
        <v>387</v>
      </c>
      <c r="E314" s="4" t="s">
        <v>625</v>
      </c>
      <c r="F314" s="4"/>
      <c r="G314" s="83">
        <v>2</v>
      </c>
      <c r="H314" s="6"/>
      <c r="I314" s="6"/>
      <c r="J314" s="6"/>
      <c r="K314" s="6" t="s">
        <v>388</v>
      </c>
      <c r="L314" s="6"/>
      <c r="M314" s="6" t="s">
        <v>388</v>
      </c>
      <c r="N314" s="6"/>
      <c r="O314" s="6"/>
      <c r="P314" s="6"/>
      <c r="Q314" s="6"/>
      <c r="R314" s="6" t="s">
        <v>388</v>
      </c>
      <c r="S314" s="6"/>
      <c r="T314" s="6" t="s">
        <v>388</v>
      </c>
      <c r="U314" s="6" t="s">
        <v>388</v>
      </c>
      <c r="V314" s="6"/>
      <c r="W314" s="6"/>
      <c r="X314" s="6" t="s">
        <v>388</v>
      </c>
      <c r="Y314" s="6" t="s">
        <v>388</v>
      </c>
      <c r="Z314" s="6" t="s">
        <v>388</v>
      </c>
      <c r="AA314" s="6" t="s">
        <v>388</v>
      </c>
      <c r="AB314" s="6" t="s">
        <v>388</v>
      </c>
      <c r="AC314" s="12" t="s">
        <v>388</v>
      </c>
      <c r="AD314" s="12"/>
      <c r="AE314" s="83">
        <v>3</v>
      </c>
      <c r="AF314" s="5" t="s">
        <v>389</v>
      </c>
      <c r="AG314" s="4" t="s">
        <v>1803</v>
      </c>
      <c r="AH314" s="1"/>
      <c r="AI314" s="4"/>
      <c r="AJ314" s="4"/>
      <c r="AK314" s="2"/>
      <c r="AL314" s="178" t="s">
        <v>1690</v>
      </c>
      <c r="AM314" s="5" t="s">
        <v>388</v>
      </c>
      <c r="AN314" s="281"/>
      <c r="AO314" s="5" t="s">
        <v>388</v>
      </c>
      <c r="AP314" s="5" t="s">
        <v>388</v>
      </c>
    </row>
    <row r="315" spans="1:42" s="181" customFormat="1" ht="11.25" customHeight="1">
      <c r="A315" s="16" t="s">
        <v>1243</v>
      </c>
      <c r="B315" s="1" t="s">
        <v>2050</v>
      </c>
      <c r="C315" s="1" t="s">
        <v>2120</v>
      </c>
      <c r="D315" s="1" t="s">
        <v>387</v>
      </c>
      <c r="E315" s="1" t="s">
        <v>1869</v>
      </c>
      <c r="F315" s="1"/>
      <c r="G315" s="83">
        <v>2</v>
      </c>
      <c r="H315" s="6"/>
      <c r="I315" s="6"/>
      <c r="J315" s="6"/>
      <c r="K315" s="6" t="s">
        <v>388</v>
      </c>
      <c r="L315" s="6" t="s">
        <v>388</v>
      </c>
      <c r="M315" s="6" t="s">
        <v>388</v>
      </c>
      <c r="N315" s="6"/>
      <c r="O315" s="6"/>
      <c r="P315" s="6"/>
      <c r="Q315" s="6"/>
      <c r="R315" s="6"/>
      <c r="S315" s="6"/>
      <c r="T315" s="6" t="s">
        <v>388</v>
      </c>
      <c r="U315" s="6" t="s">
        <v>388</v>
      </c>
      <c r="V315" s="6"/>
      <c r="W315" s="6"/>
      <c r="X315" s="6"/>
      <c r="Y315" s="6" t="s">
        <v>388</v>
      </c>
      <c r="Z315" s="6"/>
      <c r="AA315" s="6" t="s">
        <v>388</v>
      </c>
      <c r="AB315" s="151"/>
      <c r="AC315" s="151"/>
      <c r="AD315" s="12"/>
      <c r="AE315" s="251">
        <v>3</v>
      </c>
      <c r="AF315" s="5" t="s">
        <v>389</v>
      </c>
      <c r="AG315" s="34" t="s">
        <v>2218</v>
      </c>
      <c r="AH315" s="1"/>
      <c r="AI315" s="143" t="s">
        <v>2051</v>
      </c>
      <c r="AJ315" s="4"/>
      <c r="AK315" s="1"/>
      <c r="AL315" s="179" t="s">
        <v>2044</v>
      </c>
      <c r="AM315" s="281"/>
      <c r="AN315" s="5" t="s">
        <v>388</v>
      </c>
      <c r="AO315" s="281"/>
      <c r="AP315" s="5" t="s">
        <v>388</v>
      </c>
    </row>
    <row r="316" spans="1:42" s="181" customFormat="1" ht="11.25" customHeight="1">
      <c r="A316" s="16" t="s">
        <v>1097</v>
      </c>
      <c r="B316" s="1" t="s">
        <v>2249</v>
      </c>
      <c r="C316" s="1" t="s">
        <v>2250</v>
      </c>
      <c r="D316" s="1" t="s">
        <v>387</v>
      </c>
      <c r="E316" s="1" t="s">
        <v>1869</v>
      </c>
      <c r="F316" s="1"/>
      <c r="G316" s="83">
        <v>2</v>
      </c>
      <c r="H316" s="6"/>
      <c r="I316" s="6"/>
      <c r="J316" s="6"/>
      <c r="K316" s="6"/>
      <c r="L316" s="6" t="s">
        <v>388</v>
      </c>
      <c r="M316" s="6"/>
      <c r="N316" s="6" t="s">
        <v>388</v>
      </c>
      <c r="O316" s="6"/>
      <c r="P316" s="6"/>
      <c r="Q316" s="6"/>
      <c r="R316" s="6"/>
      <c r="S316" s="6"/>
      <c r="T316" s="6" t="s">
        <v>388</v>
      </c>
      <c r="U316" s="6" t="s">
        <v>388</v>
      </c>
      <c r="V316" s="6"/>
      <c r="W316" s="6"/>
      <c r="X316" s="6"/>
      <c r="Y316" s="6"/>
      <c r="Z316" s="6"/>
      <c r="AA316" s="6"/>
      <c r="AB316" s="151"/>
      <c r="AC316" s="151"/>
      <c r="AD316" s="12"/>
      <c r="AE316" s="251">
        <v>3</v>
      </c>
      <c r="AF316" s="5" t="s">
        <v>389</v>
      </c>
      <c r="AG316" s="34" t="s">
        <v>2251</v>
      </c>
      <c r="AH316" s="1"/>
      <c r="AI316" s="143" t="s">
        <v>2248</v>
      </c>
      <c r="AJ316" s="4"/>
      <c r="AK316" s="1"/>
      <c r="AL316" s="179" t="s">
        <v>1701</v>
      </c>
      <c r="AM316" s="5"/>
      <c r="AN316" s="5" t="s">
        <v>388</v>
      </c>
      <c r="AO316" s="5"/>
      <c r="AP316" s="5" t="s">
        <v>388</v>
      </c>
    </row>
    <row r="317" spans="1:42" s="181" customFormat="1" ht="11.25" customHeight="1">
      <c r="A317" s="19" t="s">
        <v>2148</v>
      </c>
      <c r="B317" s="1" t="s">
        <v>150</v>
      </c>
      <c r="C317" s="1" t="s">
        <v>151</v>
      </c>
      <c r="D317" s="4" t="s">
        <v>387</v>
      </c>
      <c r="E317" s="4" t="s">
        <v>624</v>
      </c>
      <c r="F317" s="4" t="s">
        <v>625</v>
      </c>
      <c r="G317" s="83">
        <v>2</v>
      </c>
      <c r="H317" s="6"/>
      <c r="I317" s="6"/>
      <c r="J317" s="6"/>
      <c r="K317" s="6"/>
      <c r="L317" s="6"/>
      <c r="M317" s="6" t="s">
        <v>388</v>
      </c>
      <c r="N317" s="6"/>
      <c r="O317" s="6"/>
      <c r="P317" s="6" t="s">
        <v>388</v>
      </c>
      <c r="Q317" s="6"/>
      <c r="R317" s="6"/>
      <c r="S317" s="6"/>
      <c r="T317" s="6"/>
      <c r="U317" s="6"/>
      <c r="V317" s="6"/>
      <c r="W317" s="6"/>
      <c r="X317" s="6"/>
      <c r="Y317" s="6"/>
      <c r="Z317" s="6"/>
      <c r="AA317" s="6"/>
      <c r="AB317" s="6"/>
      <c r="AC317" s="12"/>
      <c r="AD317" s="12"/>
      <c r="AE317" s="83">
        <v>1</v>
      </c>
      <c r="AF317" s="5" t="s">
        <v>394</v>
      </c>
      <c r="AG317" s="34" t="s">
        <v>1903</v>
      </c>
      <c r="AH317" s="1"/>
      <c r="AI317" s="4"/>
      <c r="AJ317" s="4"/>
      <c r="AK317" s="2"/>
      <c r="AL317" s="178" t="s">
        <v>1690</v>
      </c>
      <c r="AM317" s="281"/>
      <c r="AN317" s="281"/>
      <c r="AO317" s="5" t="s">
        <v>388</v>
      </c>
      <c r="AP317" s="5" t="s">
        <v>388</v>
      </c>
    </row>
    <row r="318" spans="1:42" s="181" customFormat="1" ht="11.25" customHeight="1">
      <c r="A318" s="144" t="s">
        <v>305</v>
      </c>
      <c r="B318" s="1" t="s">
        <v>306</v>
      </c>
      <c r="C318" s="1" t="s">
        <v>307</v>
      </c>
      <c r="D318" s="4" t="s">
        <v>387</v>
      </c>
      <c r="E318" s="4" t="s">
        <v>625</v>
      </c>
      <c r="F318" s="4"/>
      <c r="G318" s="83">
        <v>2</v>
      </c>
      <c r="H318" s="6"/>
      <c r="I318" s="6"/>
      <c r="J318" s="6" t="s">
        <v>388</v>
      </c>
      <c r="K318" s="6"/>
      <c r="L318" s="6"/>
      <c r="M318" s="6"/>
      <c r="N318" s="6" t="s">
        <v>388</v>
      </c>
      <c r="O318" s="6"/>
      <c r="P318" s="6"/>
      <c r="Q318" s="6"/>
      <c r="R318" s="6"/>
      <c r="S318" s="6"/>
      <c r="T318" s="6" t="s">
        <v>388</v>
      </c>
      <c r="U318" s="6"/>
      <c r="V318" s="6"/>
      <c r="W318" s="6"/>
      <c r="X318" s="6"/>
      <c r="Y318" s="6"/>
      <c r="Z318" s="6"/>
      <c r="AA318" s="6"/>
      <c r="AB318" s="6"/>
      <c r="AC318" s="12" t="s">
        <v>388</v>
      </c>
      <c r="AD318" s="12"/>
      <c r="AE318" s="83">
        <v>3</v>
      </c>
      <c r="AF318" s="5" t="s">
        <v>389</v>
      </c>
      <c r="AG318" s="4" t="s">
        <v>1802</v>
      </c>
      <c r="AH318" s="1"/>
      <c r="AI318" s="4"/>
      <c r="AJ318" s="4"/>
      <c r="AK318" s="2"/>
      <c r="AL318" s="178" t="s">
        <v>1690</v>
      </c>
      <c r="AM318" s="5" t="s">
        <v>388</v>
      </c>
      <c r="AN318" s="281"/>
      <c r="AO318" s="281"/>
      <c r="AP318" s="5" t="s">
        <v>388</v>
      </c>
    </row>
    <row r="319" spans="1:42" s="181" customFormat="1" ht="11.25" customHeight="1">
      <c r="A319" s="144" t="s">
        <v>2316</v>
      </c>
      <c r="B319" s="2" t="s">
        <v>813</v>
      </c>
      <c r="C319" s="2" t="s">
        <v>814</v>
      </c>
      <c r="D319" s="34" t="s">
        <v>739</v>
      </c>
      <c r="E319" s="34" t="s">
        <v>625</v>
      </c>
      <c r="F319" s="34"/>
      <c r="G319" s="83">
        <v>2</v>
      </c>
      <c r="H319" s="6"/>
      <c r="I319" s="6"/>
      <c r="J319" s="6" t="s">
        <v>388</v>
      </c>
      <c r="K319" s="6"/>
      <c r="L319" s="6"/>
      <c r="M319" s="6" t="s">
        <v>388</v>
      </c>
      <c r="N319" s="6" t="s">
        <v>388</v>
      </c>
      <c r="O319" s="6"/>
      <c r="P319" s="6"/>
      <c r="Q319" s="6"/>
      <c r="R319" s="6"/>
      <c r="S319" s="6"/>
      <c r="T319" s="6"/>
      <c r="U319" s="6" t="s">
        <v>388</v>
      </c>
      <c r="V319" s="6"/>
      <c r="W319" s="6"/>
      <c r="X319" s="6"/>
      <c r="Y319" s="6" t="s">
        <v>388</v>
      </c>
      <c r="Z319" s="6"/>
      <c r="AA319" s="6"/>
      <c r="AB319" s="6"/>
      <c r="AC319" s="12"/>
      <c r="AD319" s="12"/>
      <c r="AE319" s="83" t="s">
        <v>648</v>
      </c>
      <c r="AF319" s="6" t="s">
        <v>394</v>
      </c>
      <c r="AG319" s="34" t="s">
        <v>815</v>
      </c>
      <c r="AH319" s="2"/>
      <c r="AI319" s="34" t="s">
        <v>1560</v>
      </c>
      <c r="AJ319" s="34" t="s">
        <v>763</v>
      </c>
      <c r="AK319" s="2"/>
      <c r="AL319" s="178" t="s">
        <v>476</v>
      </c>
      <c r="AM319" s="281"/>
      <c r="AN319" s="5" t="s">
        <v>388</v>
      </c>
      <c r="AO319" s="281"/>
      <c r="AP319" s="5" t="s">
        <v>388</v>
      </c>
    </row>
    <row r="320" spans="1:42" s="181" customFormat="1" ht="11.25" customHeight="1">
      <c r="A320" s="144" t="s">
        <v>152</v>
      </c>
      <c r="B320" s="1" t="s">
        <v>153</v>
      </c>
      <c r="C320" s="1" t="s">
        <v>1662</v>
      </c>
      <c r="D320" s="4" t="s">
        <v>387</v>
      </c>
      <c r="E320" s="4" t="s">
        <v>624</v>
      </c>
      <c r="F320" s="4" t="s">
        <v>625</v>
      </c>
      <c r="G320" s="83">
        <v>2</v>
      </c>
      <c r="H320" s="6"/>
      <c r="I320" s="6"/>
      <c r="J320" s="6"/>
      <c r="K320" s="6"/>
      <c r="L320" s="6"/>
      <c r="M320" s="6" t="s">
        <v>388</v>
      </c>
      <c r="N320" s="6" t="s">
        <v>388</v>
      </c>
      <c r="O320" s="6"/>
      <c r="P320" s="6" t="s">
        <v>388</v>
      </c>
      <c r="Q320" s="6"/>
      <c r="R320" s="6"/>
      <c r="S320" s="6"/>
      <c r="T320" s="6"/>
      <c r="U320" s="6"/>
      <c r="V320" s="6"/>
      <c r="W320" s="6"/>
      <c r="X320" s="6"/>
      <c r="Y320" s="6"/>
      <c r="Z320" s="6"/>
      <c r="AA320" s="6"/>
      <c r="AB320" s="6"/>
      <c r="AC320" s="12"/>
      <c r="AD320" s="12"/>
      <c r="AE320" s="83">
        <v>3</v>
      </c>
      <c r="AF320" s="5" t="s">
        <v>394</v>
      </c>
      <c r="AG320" s="34" t="s">
        <v>1728</v>
      </c>
      <c r="AH320" s="1"/>
      <c r="AI320" s="4"/>
      <c r="AJ320" s="4"/>
      <c r="AK320" s="2"/>
      <c r="AL320" s="178" t="s">
        <v>1690</v>
      </c>
      <c r="AM320" s="281"/>
      <c r="AN320" s="5" t="s">
        <v>388</v>
      </c>
      <c r="AO320" s="281"/>
      <c r="AP320" s="281"/>
    </row>
    <row r="321" spans="1:42" s="181" customFormat="1" ht="11.25" customHeight="1">
      <c r="A321" s="144" t="s">
        <v>683</v>
      </c>
      <c r="B321" s="2" t="s">
        <v>639</v>
      </c>
      <c r="C321" s="2" t="s">
        <v>632</v>
      </c>
      <c r="D321" s="34" t="s">
        <v>387</v>
      </c>
      <c r="E321" s="34" t="s">
        <v>625</v>
      </c>
      <c r="F321" s="34"/>
      <c r="G321" s="83">
        <v>2</v>
      </c>
      <c r="H321" s="6" t="s">
        <v>388</v>
      </c>
      <c r="I321" s="6"/>
      <c r="J321" s="6" t="s">
        <v>388</v>
      </c>
      <c r="K321" s="6" t="s">
        <v>388</v>
      </c>
      <c r="L321" s="6"/>
      <c r="M321" s="6" t="s">
        <v>388</v>
      </c>
      <c r="N321" s="6" t="s">
        <v>388</v>
      </c>
      <c r="O321" s="6"/>
      <c r="P321" s="6"/>
      <c r="Q321" s="6" t="s">
        <v>388</v>
      </c>
      <c r="R321" s="6" t="s">
        <v>388</v>
      </c>
      <c r="S321" s="6"/>
      <c r="T321" s="6"/>
      <c r="U321" s="6" t="s">
        <v>388</v>
      </c>
      <c r="V321" s="6"/>
      <c r="W321" s="6" t="s">
        <v>388</v>
      </c>
      <c r="X321" s="6" t="s">
        <v>388</v>
      </c>
      <c r="Y321" s="6"/>
      <c r="Z321" s="6"/>
      <c r="AA321" s="6"/>
      <c r="AB321" s="6"/>
      <c r="AC321" s="12"/>
      <c r="AD321" s="12"/>
      <c r="AE321" s="83" t="s">
        <v>648</v>
      </c>
      <c r="AF321" s="6" t="s">
        <v>394</v>
      </c>
      <c r="AG321" s="34" t="s">
        <v>2378</v>
      </c>
      <c r="AH321" s="2"/>
      <c r="AI321" s="34"/>
      <c r="AJ321" s="34"/>
      <c r="AK321" s="2"/>
      <c r="AL321" s="179" t="s">
        <v>1692</v>
      </c>
      <c r="AM321" s="281"/>
      <c r="AN321" s="281"/>
      <c r="AO321" s="5" t="s">
        <v>388</v>
      </c>
      <c r="AP321" s="5"/>
    </row>
    <row r="322" spans="1:42" s="181" customFormat="1" ht="11.25" customHeight="1">
      <c r="A322" s="256" t="s">
        <v>1899</v>
      </c>
      <c r="B322" s="1" t="s">
        <v>1624</v>
      </c>
      <c r="C322" s="1" t="s">
        <v>2123</v>
      </c>
      <c r="D322" s="1" t="s">
        <v>739</v>
      </c>
      <c r="E322" s="1" t="s">
        <v>625</v>
      </c>
      <c r="F322" s="1"/>
      <c r="G322" s="83">
        <v>2</v>
      </c>
      <c r="H322" s="6" t="s">
        <v>388</v>
      </c>
      <c r="I322" s="6" t="s">
        <v>388</v>
      </c>
      <c r="J322" s="6"/>
      <c r="K322" s="6"/>
      <c r="L322" s="6"/>
      <c r="M322" s="6"/>
      <c r="N322" s="6"/>
      <c r="O322" s="6"/>
      <c r="P322" s="6"/>
      <c r="Q322" s="6" t="s">
        <v>388</v>
      </c>
      <c r="R322" s="6"/>
      <c r="S322" s="6"/>
      <c r="T322" s="6"/>
      <c r="U322" s="6" t="s">
        <v>388</v>
      </c>
      <c r="V322" s="6"/>
      <c r="W322" s="6"/>
      <c r="X322" s="6"/>
      <c r="Y322" s="6"/>
      <c r="Z322" s="6"/>
      <c r="AA322" s="6"/>
      <c r="AB322" s="151"/>
      <c r="AC322" s="151"/>
      <c r="AD322" s="12"/>
      <c r="AE322" s="251">
        <v>3</v>
      </c>
      <c r="AF322" s="5" t="s">
        <v>389</v>
      </c>
      <c r="AG322" s="34" t="s">
        <v>1894</v>
      </c>
      <c r="AH322" s="1"/>
      <c r="AI322" s="143" t="s">
        <v>1893</v>
      </c>
      <c r="AJ322" s="4"/>
      <c r="AK322" s="1"/>
      <c r="AL322" s="179" t="s">
        <v>1703</v>
      </c>
      <c r="AM322" s="281"/>
      <c r="AN322" s="281"/>
      <c r="AO322" s="281"/>
      <c r="AP322" s="281"/>
    </row>
    <row r="323" spans="1:42" s="181" customFormat="1" ht="11.25" customHeight="1">
      <c r="A323" s="19" t="s">
        <v>2086</v>
      </c>
      <c r="B323" s="2" t="s">
        <v>2085</v>
      </c>
      <c r="C323" s="2" t="s">
        <v>2084</v>
      </c>
      <c r="D323" s="34" t="s">
        <v>387</v>
      </c>
      <c r="E323" s="34" t="s">
        <v>1869</v>
      </c>
      <c r="F323" s="34"/>
      <c r="G323" s="83">
        <v>2</v>
      </c>
      <c r="H323" s="6"/>
      <c r="I323" s="6" t="s">
        <v>388</v>
      </c>
      <c r="J323" s="6"/>
      <c r="K323" s="6"/>
      <c r="L323" s="6"/>
      <c r="M323" s="6"/>
      <c r="N323" s="6"/>
      <c r="O323" s="6"/>
      <c r="P323" s="6"/>
      <c r="Q323" s="6"/>
      <c r="R323" s="6"/>
      <c r="S323" s="6"/>
      <c r="T323" s="6"/>
      <c r="U323" s="6" t="s">
        <v>388</v>
      </c>
      <c r="V323" s="6"/>
      <c r="W323" s="6"/>
      <c r="X323" s="6"/>
      <c r="Y323" s="6"/>
      <c r="Z323" s="6"/>
      <c r="AA323" s="6"/>
      <c r="AB323" s="12"/>
      <c r="AC323" s="12"/>
      <c r="AD323" s="12"/>
      <c r="AE323" s="251">
        <v>2</v>
      </c>
      <c r="AF323" s="6" t="s">
        <v>394</v>
      </c>
      <c r="AG323" s="34" t="s">
        <v>2087</v>
      </c>
      <c r="AH323" s="2"/>
      <c r="AI323" s="252"/>
      <c r="AJ323" s="34"/>
      <c r="AK323" s="2"/>
      <c r="AL323" s="178" t="s">
        <v>1691</v>
      </c>
      <c r="AM323" s="5" t="s">
        <v>388</v>
      </c>
      <c r="AN323" s="281"/>
      <c r="AO323" s="281"/>
      <c r="AP323" s="281"/>
    </row>
    <row r="324" spans="1:42" s="181" customFormat="1" ht="11.25" customHeight="1">
      <c r="A324" s="19" t="s">
        <v>171</v>
      </c>
      <c r="B324" s="1" t="s">
        <v>172</v>
      </c>
      <c r="C324" s="1" t="s">
        <v>392</v>
      </c>
      <c r="D324" s="4" t="s">
        <v>387</v>
      </c>
      <c r="E324" s="4" t="s">
        <v>624</v>
      </c>
      <c r="F324" s="4" t="s">
        <v>625</v>
      </c>
      <c r="G324" s="83">
        <v>2</v>
      </c>
      <c r="H324" s="6"/>
      <c r="I324" s="6"/>
      <c r="J324" s="6"/>
      <c r="K324" s="6" t="s">
        <v>388</v>
      </c>
      <c r="L324" s="6" t="s">
        <v>388</v>
      </c>
      <c r="M324" s="6" t="s">
        <v>388</v>
      </c>
      <c r="N324" s="6"/>
      <c r="O324" s="6"/>
      <c r="P324" s="6"/>
      <c r="Q324" s="6"/>
      <c r="R324" s="6"/>
      <c r="S324" s="6"/>
      <c r="T324" s="6"/>
      <c r="U324" s="6"/>
      <c r="V324" s="6"/>
      <c r="W324" s="6"/>
      <c r="X324" s="6"/>
      <c r="Y324" s="6"/>
      <c r="Z324" s="6"/>
      <c r="AA324" s="6"/>
      <c r="AB324" s="6"/>
      <c r="AC324" s="12"/>
      <c r="AD324" s="12"/>
      <c r="AE324" s="83">
        <v>2</v>
      </c>
      <c r="AF324" s="5" t="s">
        <v>394</v>
      </c>
      <c r="AG324" s="34" t="s">
        <v>1832</v>
      </c>
      <c r="AH324" s="1"/>
      <c r="AI324" s="4"/>
      <c r="AJ324" s="4"/>
      <c r="AK324" s="2"/>
      <c r="AL324" s="387" t="s">
        <v>1690</v>
      </c>
      <c r="AM324" s="281"/>
      <c r="AN324" s="5" t="s">
        <v>388</v>
      </c>
      <c r="AO324" s="281"/>
      <c r="AP324" s="281"/>
    </row>
    <row r="325" spans="1:42" s="181" customFormat="1" ht="11.25" customHeight="1">
      <c r="A325" s="144" t="s">
        <v>325</v>
      </c>
      <c r="B325" s="2" t="s">
        <v>326</v>
      </c>
      <c r="C325" s="2" t="s">
        <v>327</v>
      </c>
      <c r="D325" s="34" t="s">
        <v>387</v>
      </c>
      <c r="E325" s="34" t="s">
        <v>625</v>
      </c>
      <c r="F325" s="34"/>
      <c r="G325" s="83">
        <v>2</v>
      </c>
      <c r="H325" s="6"/>
      <c r="I325" s="6"/>
      <c r="J325" s="6"/>
      <c r="K325" s="6"/>
      <c r="L325" s="6"/>
      <c r="M325" s="6"/>
      <c r="N325" s="6"/>
      <c r="O325" s="6"/>
      <c r="P325" s="6"/>
      <c r="Q325" s="6"/>
      <c r="R325" s="6"/>
      <c r="S325" s="6"/>
      <c r="T325" s="6" t="s">
        <v>388</v>
      </c>
      <c r="U325" s="6"/>
      <c r="V325" s="6"/>
      <c r="W325" s="6" t="s">
        <v>388</v>
      </c>
      <c r="X325" s="6"/>
      <c r="Y325" s="6"/>
      <c r="Z325" s="6" t="s">
        <v>388</v>
      </c>
      <c r="AA325" s="6"/>
      <c r="AB325" s="6"/>
      <c r="AC325" s="12" t="s">
        <v>388</v>
      </c>
      <c r="AD325" s="12"/>
      <c r="AE325" s="83">
        <v>3</v>
      </c>
      <c r="AF325" s="6" t="s">
        <v>389</v>
      </c>
      <c r="AG325" s="34" t="s">
        <v>1883</v>
      </c>
      <c r="AH325" s="2"/>
      <c r="AI325" s="34"/>
      <c r="AJ325" s="34"/>
      <c r="AK325" s="2"/>
      <c r="AL325" s="387" t="s">
        <v>1690</v>
      </c>
      <c r="AM325" s="452" t="s">
        <v>388</v>
      </c>
      <c r="AN325" s="381"/>
      <c r="AO325" s="381"/>
      <c r="AP325" s="452" t="s">
        <v>388</v>
      </c>
    </row>
    <row r="326" spans="1:42" s="181" customFormat="1" ht="11.25" customHeight="1">
      <c r="A326" s="19" t="s">
        <v>711</v>
      </c>
      <c r="B326" s="2" t="s">
        <v>709</v>
      </c>
      <c r="C326" s="2" t="s">
        <v>710</v>
      </c>
      <c r="D326" s="34" t="s">
        <v>387</v>
      </c>
      <c r="E326" s="34" t="s">
        <v>625</v>
      </c>
      <c r="F326" s="34"/>
      <c r="G326" s="83">
        <v>2</v>
      </c>
      <c r="H326" s="6"/>
      <c r="I326" s="6"/>
      <c r="J326" s="6"/>
      <c r="K326" s="6" t="s">
        <v>388</v>
      </c>
      <c r="L326" s="6" t="s">
        <v>388</v>
      </c>
      <c r="M326" s="6" t="s">
        <v>388</v>
      </c>
      <c r="N326" s="6"/>
      <c r="O326" s="6" t="s">
        <v>388</v>
      </c>
      <c r="P326" s="6"/>
      <c r="Q326" s="6"/>
      <c r="R326" s="6" t="s">
        <v>388</v>
      </c>
      <c r="S326" s="6"/>
      <c r="T326" s="6"/>
      <c r="U326" s="6"/>
      <c r="V326" s="6" t="s">
        <v>388</v>
      </c>
      <c r="W326" s="6" t="s">
        <v>388</v>
      </c>
      <c r="X326" s="6" t="s">
        <v>388</v>
      </c>
      <c r="Y326" s="6"/>
      <c r="Z326" s="6" t="s">
        <v>388</v>
      </c>
      <c r="AA326" s="6"/>
      <c r="AB326" s="6"/>
      <c r="AC326" s="6" t="s">
        <v>388</v>
      </c>
      <c r="AD326" s="6"/>
      <c r="AE326" s="83">
        <v>3</v>
      </c>
      <c r="AF326" s="6" t="s">
        <v>389</v>
      </c>
      <c r="AG326" s="34" t="s">
        <v>1881</v>
      </c>
      <c r="AH326" s="2"/>
      <c r="AI326" s="34"/>
      <c r="AJ326" s="34"/>
      <c r="AK326" s="2"/>
      <c r="AL326" s="387" t="s">
        <v>1699</v>
      </c>
      <c r="AM326" s="281"/>
      <c r="AN326" s="5" t="s">
        <v>388</v>
      </c>
      <c r="AO326" s="5" t="s">
        <v>388</v>
      </c>
      <c r="AP326" s="5" t="s">
        <v>388</v>
      </c>
    </row>
    <row r="327" spans="1:42" s="181" customFormat="1" ht="11.25" customHeight="1">
      <c r="A327" s="144" t="s">
        <v>175</v>
      </c>
      <c r="B327" s="2" t="s">
        <v>1523</v>
      </c>
      <c r="C327" s="2" t="s">
        <v>821</v>
      </c>
      <c r="D327" s="34" t="s">
        <v>1150</v>
      </c>
      <c r="E327" s="34" t="s">
        <v>625</v>
      </c>
      <c r="F327" s="34"/>
      <c r="G327" s="83">
        <v>2</v>
      </c>
      <c r="H327" s="6"/>
      <c r="I327" s="6"/>
      <c r="J327" s="6"/>
      <c r="K327" s="6" t="s">
        <v>388</v>
      </c>
      <c r="L327" s="6"/>
      <c r="M327" s="6" t="s">
        <v>388</v>
      </c>
      <c r="N327" s="6" t="s">
        <v>388</v>
      </c>
      <c r="O327" s="6" t="s">
        <v>388</v>
      </c>
      <c r="P327" s="6"/>
      <c r="Q327" s="6"/>
      <c r="R327" s="6"/>
      <c r="S327" s="6"/>
      <c r="T327" s="6" t="s">
        <v>388</v>
      </c>
      <c r="U327" s="6" t="s">
        <v>388</v>
      </c>
      <c r="V327" s="6"/>
      <c r="W327" s="6" t="s">
        <v>388</v>
      </c>
      <c r="X327" s="6" t="s">
        <v>388</v>
      </c>
      <c r="Y327" s="6"/>
      <c r="Z327" s="6" t="s">
        <v>388</v>
      </c>
      <c r="AA327" s="6" t="s">
        <v>388</v>
      </c>
      <c r="AB327" s="6" t="s">
        <v>388</v>
      </c>
      <c r="AC327" s="12"/>
      <c r="AD327" s="12"/>
      <c r="AE327" s="83" t="s">
        <v>648</v>
      </c>
      <c r="AF327" s="6" t="s">
        <v>389</v>
      </c>
      <c r="AG327" s="34" t="s">
        <v>822</v>
      </c>
      <c r="AH327" s="2"/>
      <c r="AI327" s="34" t="s">
        <v>2315</v>
      </c>
      <c r="AJ327" s="34"/>
      <c r="AK327" s="2"/>
      <c r="AL327" s="387" t="s">
        <v>476</v>
      </c>
      <c r="AM327" s="5" t="s">
        <v>388</v>
      </c>
      <c r="AN327" s="5" t="s">
        <v>388</v>
      </c>
      <c r="AO327" s="281"/>
      <c r="AP327" s="281"/>
    </row>
    <row r="328" spans="1:42" s="181" customFormat="1" ht="11.25" customHeight="1">
      <c r="A328" s="144" t="s">
        <v>2311</v>
      </c>
      <c r="B328" s="1" t="s">
        <v>2313</v>
      </c>
      <c r="C328" s="2" t="s">
        <v>342</v>
      </c>
      <c r="D328" s="34" t="s">
        <v>739</v>
      </c>
      <c r="E328" s="34" t="s">
        <v>625</v>
      </c>
      <c r="F328" s="34"/>
      <c r="G328" s="83">
        <v>2</v>
      </c>
      <c r="H328" s="6"/>
      <c r="I328" s="6"/>
      <c r="J328" s="6"/>
      <c r="K328" s="6"/>
      <c r="L328" s="6"/>
      <c r="M328" s="6"/>
      <c r="N328" s="6"/>
      <c r="O328" s="6"/>
      <c r="P328" s="6"/>
      <c r="Q328" s="6"/>
      <c r="R328" s="6"/>
      <c r="S328" s="6"/>
      <c r="T328" s="6" t="s">
        <v>388</v>
      </c>
      <c r="U328" s="6"/>
      <c r="V328" s="6"/>
      <c r="W328" s="6"/>
      <c r="X328" s="6"/>
      <c r="Y328" s="6"/>
      <c r="Z328" s="6" t="s">
        <v>388</v>
      </c>
      <c r="AA328" s="6"/>
      <c r="AB328" s="6"/>
      <c r="AC328" s="12" t="s">
        <v>388</v>
      </c>
      <c r="AD328" s="12"/>
      <c r="AE328" s="83">
        <v>3</v>
      </c>
      <c r="AF328" s="5" t="s">
        <v>389</v>
      </c>
      <c r="AG328" s="34" t="s">
        <v>1831</v>
      </c>
      <c r="AH328" s="1"/>
      <c r="AI328" s="4" t="s">
        <v>2314</v>
      </c>
      <c r="AJ328" s="4" t="s">
        <v>2312</v>
      </c>
      <c r="AK328" s="2"/>
      <c r="AL328" s="387" t="s">
        <v>1693</v>
      </c>
      <c r="AM328" s="5" t="s">
        <v>388</v>
      </c>
      <c r="AN328" s="281"/>
      <c r="AO328" s="281"/>
      <c r="AP328" s="5" t="s">
        <v>388</v>
      </c>
    </row>
    <row r="329" spans="1:42" s="181" customFormat="1" ht="11.25" customHeight="1">
      <c r="A329" s="144" t="s">
        <v>1664</v>
      </c>
      <c r="B329" s="1" t="s">
        <v>423</v>
      </c>
      <c r="C329" s="1" t="s">
        <v>424</v>
      </c>
      <c r="D329" s="4" t="s">
        <v>387</v>
      </c>
      <c r="E329" s="4" t="s">
        <v>626</v>
      </c>
      <c r="F329" s="4"/>
      <c r="G329" s="83">
        <v>2</v>
      </c>
      <c r="H329" s="6" t="s">
        <v>388</v>
      </c>
      <c r="I329" s="6" t="s">
        <v>388</v>
      </c>
      <c r="J329" s="6"/>
      <c r="K329" s="6"/>
      <c r="L329" s="6"/>
      <c r="M329" s="6"/>
      <c r="N329" s="6"/>
      <c r="O329" s="6"/>
      <c r="P329" s="6"/>
      <c r="Q329" s="6" t="s">
        <v>388</v>
      </c>
      <c r="R329" s="6"/>
      <c r="S329" s="6"/>
      <c r="T329" s="6"/>
      <c r="U329" s="6" t="s">
        <v>388</v>
      </c>
      <c r="V329" s="6"/>
      <c r="W329" s="6"/>
      <c r="X329" s="6"/>
      <c r="Y329" s="6"/>
      <c r="Z329" s="6"/>
      <c r="AA329" s="6"/>
      <c r="AB329" s="6"/>
      <c r="AC329" s="12"/>
      <c r="AD329" s="12"/>
      <c r="AE329" s="83">
        <v>4</v>
      </c>
      <c r="AF329" s="5" t="s">
        <v>394</v>
      </c>
      <c r="AG329" s="4" t="s">
        <v>613</v>
      </c>
      <c r="AH329" s="2"/>
      <c r="AI329" s="4"/>
      <c r="AJ329" s="4"/>
      <c r="AK329" s="2"/>
      <c r="AL329" s="388" t="s">
        <v>1691</v>
      </c>
      <c r="AM329" s="281"/>
      <c r="AN329" s="281"/>
      <c r="AO329" s="281"/>
      <c r="AP329" s="281"/>
    </row>
    <row r="330" spans="1:42" s="181" customFormat="1" ht="11.25" customHeight="1">
      <c r="A330" s="19" t="s">
        <v>2147</v>
      </c>
      <c r="B330" s="2" t="s">
        <v>1658</v>
      </c>
      <c r="C330" s="2" t="s">
        <v>722</v>
      </c>
      <c r="D330" s="34" t="s">
        <v>387</v>
      </c>
      <c r="E330" s="34" t="s">
        <v>625</v>
      </c>
      <c r="F330" s="34"/>
      <c r="G330" s="83">
        <v>2</v>
      </c>
      <c r="H330" s="6"/>
      <c r="I330" s="6"/>
      <c r="J330" s="6"/>
      <c r="K330" s="6"/>
      <c r="L330" s="6"/>
      <c r="M330" s="6"/>
      <c r="N330" s="6"/>
      <c r="O330" s="6" t="s">
        <v>388</v>
      </c>
      <c r="P330" s="6"/>
      <c r="Q330" s="6"/>
      <c r="R330" s="6"/>
      <c r="S330" s="6"/>
      <c r="T330" s="6"/>
      <c r="U330" s="6"/>
      <c r="V330" s="6" t="s">
        <v>388</v>
      </c>
      <c r="W330" s="6" t="s">
        <v>388</v>
      </c>
      <c r="X330" s="6"/>
      <c r="Y330" s="6"/>
      <c r="Z330" s="6"/>
      <c r="AA330" s="6"/>
      <c r="AB330" s="6"/>
      <c r="AC330" s="12"/>
      <c r="AD330" s="12"/>
      <c r="AE330" s="83" t="s">
        <v>648</v>
      </c>
      <c r="AF330" s="6" t="s">
        <v>723</v>
      </c>
      <c r="AG330" s="34" t="s">
        <v>1948</v>
      </c>
      <c r="AH330" s="2"/>
      <c r="AI330" s="34"/>
      <c r="AJ330" s="34"/>
      <c r="AK330" s="2"/>
      <c r="AL330" s="387" t="s">
        <v>1699</v>
      </c>
      <c r="AM330" s="5" t="s">
        <v>388</v>
      </c>
      <c r="AN330" s="281"/>
      <c r="AO330" s="281"/>
      <c r="AP330" s="5" t="s">
        <v>388</v>
      </c>
    </row>
    <row r="331" spans="1:42" s="181" customFormat="1" ht="11.25" customHeight="1">
      <c r="A331" s="144" t="s">
        <v>178</v>
      </c>
      <c r="B331" s="2" t="s">
        <v>181</v>
      </c>
      <c r="C331" s="1" t="s">
        <v>182</v>
      </c>
      <c r="D331" s="4" t="s">
        <v>387</v>
      </c>
      <c r="E331" s="4" t="s">
        <v>624</v>
      </c>
      <c r="F331" s="4" t="s">
        <v>625</v>
      </c>
      <c r="G331" s="83">
        <v>2</v>
      </c>
      <c r="H331" s="6"/>
      <c r="I331" s="6"/>
      <c r="J331" s="6"/>
      <c r="K331" s="6"/>
      <c r="L331" s="6"/>
      <c r="M331" s="6"/>
      <c r="N331" s="6"/>
      <c r="O331" s="6"/>
      <c r="P331" s="6"/>
      <c r="Q331" s="6"/>
      <c r="R331" s="6"/>
      <c r="S331" s="6"/>
      <c r="T331" s="6" t="s">
        <v>388</v>
      </c>
      <c r="U331" s="6"/>
      <c r="V331" s="6" t="s">
        <v>388</v>
      </c>
      <c r="W331" s="6"/>
      <c r="X331" s="6"/>
      <c r="Y331" s="6" t="s">
        <v>388</v>
      </c>
      <c r="Z331" s="6" t="s">
        <v>388</v>
      </c>
      <c r="AA331" s="6" t="s">
        <v>388</v>
      </c>
      <c r="AB331" s="6" t="s">
        <v>388</v>
      </c>
      <c r="AC331" s="12" t="s">
        <v>388</v>
      </c>
      <c r="AD331" s="12" t="s">
        <v>388</v>
      </c>
      <c r="AE331" s="83">
        <v>3</v>
      </c>
      <c r="AF331" s="5" t="s">
        <v>394</v>
      </c>
      <c r="AG331" s="34" t="s">
        <v>1735</v>
      </c>
      <c r="AH331" s="1"/>
      <c r="AI331" s="4"/>
      <c r="AJ331" s="4"/>
      <c r="AK331" s="2"/>
      <c r="AL331" s="387" t="s">
        <v>1690</v>
      </c>
      <c r="AM331" s="285"/>
      <c r="AN331" s="285"/>
      <c r="AO331" s="376" t="s">
        <v>388</v>
      </c>
      <c r="AP331" s="376" t="s">
        <v>388</v>
      </c>
    </row>
    <row r="332" spans="1:42" s="181" customFormat="1" ht="11.25" customHeight="1">
      <c r="A332" s="144" t="s">
        <v>178</v>
      </c>
      <c r="B332" s="2" t="s">
        <v>179</v>
      </c>
      <c r="C332" s="3" t="s">
        <v>180</v>
      </c>
      <c r="D332" s="13" t="s">
        <v>387</v>
      </c>
      <c r="E332" s="13" t="s">
        <v>624</v>
      </c>
      <c r="F332" s="13" t="s">
        <v>625</v>
      </c>
      <c r="G332" s="83">
        <v>2</v>
      </c>
      <c r="H332" s="6"/>
      <c r="I332" s="6"/>
      <c r="J332" s="6"/>
      <c r="K332" s="6" t="s">
        <v>388</v>
      </c>
      <c r="L332" s="6"/>
      <c r="M332" s="6"/>
      <c r="N332" s="6"/>
      <c r="O332" s="6"/>
      <c r="P332" s="6"/>
      <c r="Q332" s="6"/>
      <c r="R332" s="6"/>
      <c r="S332" s="6"/>
      <c r="T332" s="6" t="s">
        <v>388</v>
      </c>
      <c r="U332" s="6"/>
      <c r="V332" s="6"/>
      <c r="W332" s="6"/>
      <c r="X332" s="6"/>
      <c r="Y332" s="6" t="s">
        <v>388</v>
      </c>
      <c r="Z332" s="6"/>
      <c r="AA332" s="6" t="s">
        <v>388</v>
      </c>
      <c r="AB332" s="6" t="s">
        <v>388</v>
      </c>
      <c r="AC332" s="12"/>
      <c r="AD332" s="12"/>
      <c r="AE332" s="83">
        <v>3</v>
      </c>
      <c r="AF332" s="5" t="s">
        <v>394</v>
      </c>
      <c r="AG332" s="34" t="s">
        <v>1880</v>
      </c>
      <c r="AH332" s="1"/>
      <c r="AI332" s="4"/>
      <c r="AJ332" s="4"/>
      <c r="AK332" s="2"/>
      <c r="AL332" s="387" t="s">
        <v>1690</v>
      </c>
      <c r="AM332" s="281"/>
      <c r="AN332" s="281"/>
      <c r="AO332" s="5" t="s">
        <v>388</v>
      </c>
      <c r="AP332" s="5" t="s">
        <v>388</v>
      </c>
    </row>
    <row r="333" spans="1:42" s="181" customFormat="1" ht="11.25" customHeight="1">
      <c r="A333" s="144" t="s">
        <v>178</v>
      </c>
      <c r="B333" s="1" t="s">
        <v>2241</v>
      </c>
      <c r="C333" s="1" t="s">
        <v>345</v>
      </c>
      <c r="D333" s="4" t="s">
        <v>387</v>
      </c>
      <c r="E333" s="4" t="s">
        <v>625</v>
      </c>
      <c r="F333" s="4"/>
      <c r="G333" s="83">
        <v>2</v>
      </c>
      <c r="H333" s="6"/>
      <c r="I333" s="6"/>
      <c r="J333" s="6"/>
      <c r="K333" s="6"/>
      <c r="L333" s="6"/>
      <c r="M333" s="6"/>
      <c r="N333" s="6"/>
      <c r="O333" s="6"/>
      <c r="P333" s="6"/>
      <c r="Q333" s="6"/>
      <c r="R333" s="6"/>
      <c r="S333" s="6"/>
      <c r="T333" s="6" t="s">
        <v>388</v>
      </c>
      <c r="U333" s="6"/>
      <c r="V333" s="6"/>
      <c r="W333" s="6"/>
      <c r="X333" s="6"/>
      <c r="Y333" s="6"/>
      <c r="Z333" s="6"/>
      <c r="AA333" s="6" t="s">
        <v>388</v>
      </c>
      <c r="AB333" s="6" t="s">
        <v>388</v>
      </c>
      <c r="AC333" s="12" t="s">
        <v>388</v>
      </c>
      <c r="AD333" s="12"/>
      <c r="AE333" s="83">
        <v>3</v>
      </c>
      <c r="AF333" s="5" t="s">
        <v>389</v>
      </c>
      <c r="AG333" s="4" t="s">
        <v>1798</v>
      </c>
      <c r="AH333" s="1"/>
      <c r="AI333" s="4"/>
      <c r="AJ333" s="4"/>
      <c r="AK333" s="2"/>
      <c r="AL333" s="387" t="s">
        <v>1690</v>
      </c>
      <c r="AM333" s="285"/>
      <c r="AN333" s="285"/>
      <c r="AO333" s="376" t="s">
        <v>388</v>
      </c>
      <c r="AP333" s="376" t="s">
        <v>388</v>
      </c>
    </row>
    <row r="334" spans="1:42" s="480" customFormat="1" ht="11.25" customHeight="1">
      <c r="A334" s="144" t="s">
        <v>183</v>
      </c>
      <c r="B334" s="1" t="s">
        <v>184</v>
      </c>
      <c r="C334" s="1" t="s">
        <v>185</v>
      </c>
      <c r="D334" s="4" t="s">
        <v>387</v>
      </c>
      <c r="E334" s="4" t="s">
        <v>624</v>
      </c>
      <c r="F334" s="4" t="s">
        <v>625</v>
      </c>
      <c r="G334" s="83">
        <v>2</v>
      </c>
      <c r="H334" s="6"/>
      <c r="I334" s="6"/>
      <c r="J334" s="6"/>
      <c r="K334" s="6"/>
      <c r="L334" s="6"/>
      <c r="M334" s="6" t="s">
        <v>388</v>
      </c>
      <c r="N334" s="6" t="s">
        <v>388</v>
      </c>
      <c r="O334" s="6"/>
      <c r="P334" s="6" t="s">
        <v>388</v>
      </c>
      <c r="Q334" s="6"/>
      <c r="R334" s="6" t="s">
        <v>388</v>
      </c>
      <c r="S334" s="6"/>
      <c r="T334" s="6"/>
      <c r="U334" s="6"/>
      <c r="V334" s="6"/>
      <c r="W334" s="6"/>
      <c r="X334" s="6"/>
      <c r="Y334" s="6"/>
      <c r="Z334" s="6"/>
      <c r="AA334" s="6"/>
      <c r="AB334" s="6"/>
      <c r="AC334" s="12"/>
      <c r="AD334" s="12"/>
      <c r="AE334" s="83">
        <v>3</v>
      </c>
      <c r="AF334" s="5" t="s">
        <v>394</v>
      </c>
      <c r="AG334" s="34"/>
      <c r="AH334" s="1"/>
      <c r="AI334" s="4"/>
      <c r="AJ334" s="4"/>
      <c r="AK334" s="2"/>
      <c r="AL334" s="387" t="s">
        <v>1690</v>
      </c>
      <c r="AM334" s="281"/>
      <c r="AN334" s="281"/>
      <c r="AO334" s="5" t="s">
        <v>388</v>
      </c>
      <c r="AP334" s="5" t="s">
        <v>388</v>
      </c>
    </row>
    <row r="335" spans="1:42" s="480" customFormat="1" ht="11.25" customHeight="1">
      <c r="A335" s="144" t="s">
        <v>189</v>
      </c>
      <c r="B335" s="1" t="s">
        <v>352</v>
      </c>
      <c r="C335" s="1" t="s">
        <v>353</v>
      </c>
      <c r="D335" s="4" t="s">
        <v>387</v>
      </c>
      <c r="E335" s="4" t="s">
        <v>625</v>
      </c>
      <c r="F335" s="4"/>
      <c r="G335" s="83">
        <v>2</v>
      </c>
      <c r="H335" s="6"/>
      <c r="I335" s="6"/>
      <c r="J335" s="6"/>
      <c r="K335" s="6"/>
      <c r="L335" s="6"/>
      <c r="M335" s="6"/>
      <c r="N335" s="6"/>
      <c r="O335" s="6"/>
      <c r="P335" s="6"/>
      <c r="Q335" s="6"/>
      <c r="R335" s="6"/>
      <c r="S335" s="6"/>
      <c r="T335" s="6" t="s">
        <v>388</v>
      </c>
      <c r="U335" s="6"/>
      <c r="V335" s="6"/>
      <c r="W335" s="6"/>
      <c r="X335" s="6"/>
      <c r="Y335" s="6"/>
      <c r="Z335" s="6"/>
      <c r="AA335" s="6" t="s">
        <v>388</v>
      </c>
      <c r="AB335" s="6"/>
      <c r="AC335" s="12"/>
      <c r="AD335" s="12"/>
      <c r="AE335" s="83">
        <v>3</v>
      </c>
      <c r="AF335" s="5" t="s">
        <v>389</v>
      </c>
      <c r="AG335" s="34" t="s">
        <v>1829</v>
      </c>
      <c r="AH335" s="1"/>
      <c r="AI335" s="4"/>
      <c r="AJ335" s="4"/>
      <c r="AK335" s="2"/>
      <c r="AL335" s="387" t="s">
        <v>1690</v>
      </c>
      <c r="AM335" s="283"/>
      <c r="AN335" s="6" t="s">
        <v>388</v>
      </c>
      <c r="AO335" s="6" t="s">
        <v>388</v>
      </c>
      <c r="AP335" s="6" t="s">
        <v>388</v>
      </c>
    </row>
    <row r="336" spans="1:42" s="181" customFormat="1" ht="11.25" customHeight="1">
      <c r="A336" s="16" t="s">
        <v>1672</v>
      </c>
      <c r="B336" s="1" t="s">
        <v>2036</v>
      </c>
      <c r="C336" s="1" t="s">
        <v>2037</v>
      </c>
      <c r="D336" s="4" t="s">
        <v>1150</v>
      </c>
      <c r="E336" s="4" t="s">
        <v>1869</v>
      </c>
      <c r="F336" s="4"/>
      <c r="G336" s="83">
        <v>2</v>
      </c>
      <c r="H336" s="6"/>
      <c r="I336" s="6"/>
      <c r="J336" s="6"/>
      <c r="K336" s="6"/>
      <c r="L336" s="6"/>
      <c r="M336" s="6"/>
      <c r="N336" s="6"/>
      <c r="O336" s="6"/>
      <c r="P336" s="6"/>
      <c r="Q336" s="6"/>
      <c r="R336" s="6"/>
      <c r="S336" s="6" t="s">
        <v>388</v>
      </c>
      <c r="T336" s="6"/>
      <c r="U336" s="6"/>
      <c r="V336" s="6" t="s">
        <v>388</v>
      </c>
      <c r="W336" s="6" t="s">
        <v>388</v>
      </c>
      <c r="X336" s="6"/>
      <c r="Y336" s="6" t="s">
        <v>388</v>
      </c>
      <c r="Z336" s="6" t="s">
        <v>388</v>
      </c>
      <c r="AA336" s="6"/>
      <c r="AB336" s="12"/>
      <c r="AC336" s="12"/>
      <c r="AD336" s="12"/>
      <c r="AE336" s="251">
        <v>3</v>
      </c>
      <c r="AF336" s="5" t="s">
        <v>389</v>
      </c>
      <c r="AG336" s="34" t="s">
        <v>2377</v>
      </c>
      <c r="AH336" s="1"/>
      <c r="AI336" s="143" t="s">
        <v>2038</v>
      </c>
      <c r="AJ336" s="4" t="s">
        <v>2039</v>
      </c>
      <c r="AK336" s="2"/>
      <c r="AL336" s="388" t="s">
        <v>1693</v>
      </c>
      <c r="AM336" s="6" t="s">
        <v>388</v>
      </c>
      <c r="AN336" s="283"/>
      <c r="AO336" s="283"/>
      <c r="AP336" s="6" t="s">
        <v>388</v>
      </c>
    </row>
    <row r="337" spans="1:42" s="181" customFormat="1" ht="11.25" customHeight="1">
      <c r="A337" s="16" t="s">
        <v>2287</v>
      </c>
      <c r="B337" s="1" t="s">
        <v>1623</v>
      </c>
      <c r="C337" s="1" t="s">
        <v>2167</v>
      </c>
      <c r="D337" s="1" t="s">
        <v>739</v>
      </c>
      <c r="E337" s="1" t="s">
        <v>625</v>
      </c>
      <c r="F337" s="1"/>
      <c r="G337" s="83">
        <v>2</v>
      </c>
      <c r="H337" s="6"/>
      <c r="I337" s="6"/>
      <c r="J337" s="6"/>
      <c r="K337" s="6" t="s">
        <v>388</v>
      </c>
      <c r="L337" s="6"/>
      <c r="M337" s="6"/>
      <c r="N337" s="6"/>
      <c r="O337" s="6" t="s">
        <v>388</v>
      </c>
      <c r="P337" s="6" t="s">
        <v>388</v>
      </c>
      <c r="Q337" s="6"/>
      <c r="R337" s="6" t="s">
        <v>388</v>
      </c>
      <c r="S337" s="6" t="s">
        <v>388</v>
      </c>
      <c r="T337" s="6"/>
      <c r="U337" s="6"/>
      <c r="V337" s="6" t="s">
        <v>388</v>
      </c>
      <c r="W337" s="6" t="s">
        <v>388</v>
      </c>
      <c r="X337" s="6" t="s">
        <v>388</v>
      </c>
      <c r="Y337" s="6" t="s">
        <v>388</v>
      </c>
      <c r="Z337" s="6" t="s">
        <v>388</v>
      </c>
      <c r="AA337" s="6"/>
      <c r="AB337" s="151"/>
      <c r="AC337" s="151"/>
      <c r="AD337" s="12" t="s">
        <v>388</v>
      </c>
      <c r="AE337" s="251">
        <v>3</v>
      </c>
      <c r="AF337" s="5" t="s">
        <v>394</v>
      </c>
      <c r="AG337" s="4" t="s">
        <v>2168</v>
      </c>
      <c r="AH337" s="1"/>
      <c r="AI337" s="255" t="s">
        <v>1688</v>
      </c>
      <c r="AJ337" s="4"/>
      <c r="AK337" s="1"/>
      <c r="AL337" s="388" t="s">
        <v>1693</v>
      </c>
      <c r="AM337" s="376" t="s">
        <v>388</v>
      </c>
      <c r="AN337" s="285"/>
      <c r="AO337" s="376" t="s">
        <v>388</v>
      </c>
      <c r="AP337" s="376" t="s">
        <v>388</v>
      </c>
    </row>
    <row r="338" spans="1:42" s="480" customFormat="1" ht="11.25" customHeight="1">
      <c r="A338" s="16" t="s">
        <v>1900</v>
      </c>
      <c r="B338" s="1" t="s">
        <v>2310</v>
      </c>
      <c r="C338" s="1" t="s">
        <v>2376</v>
      </c>
      <c r="D338" s="1" t="s">
        <v>1150</v>
      </c>
      <c r="E338" s="34" t="s">
        <v>625</v>
      </c>
      <c r="F338" s="1"/>
      <c r="G338" s="83">
        <v>2</v>
      </c>
      <c r="H338" s="6"/>
      <c r="I338" s="6"/>
      <c r="J338" s="6"/>
      <c r="K338" s="6"/>
      <c r="L338" s="6"/>
      <c r="M338" s="6"/>
      <c r="N338" s="6"/>
      <c r="O338" s="6"/>
      <c r="P338" s="6"/>
      <c r="Q338" s="6"/>
      <c r="R338" s="6"/>
      <c r="S338" s="6" t="s">
        <v>388</v>
      </c>
      <c r="T338" s="6"/>
      <c r="U338" s="6"/>
      <c r="V338" s="6" t="s">
        <v>388</v>
      </c>
      <c r="W338" s="6"/>
      <c r="X338" s="6" t="s">
        <v>388</v>
      </c>
      <c r="Y338" s="6" t="s">
        <v>388</v>
      </c>
      <c r="Z338" s="6" t="s">
        <v>388</v>
      </c>
      <c r="AA338" s="6"/>
      <c r="AB338" s="151"/>
      <c r="AC338" s="151"/>
      <c r="AD338" s="12"/>
      <c r="AE338" s="251"/>
      <c r="AF338" s="5" t="s">
        <v>389</v>
      </c>
      <c r="AG338" s="34" t="s">
        <v>1727</v>
      </c>
      <c r="AH338" s="1"/>
      <c r="AI338" s="143"/>
      <c r="AJ338" s="4"/>
      <c r="AK338" s="1"/>
      <c r="AL338" s="388" t="s">
        <v>1693</v>
      </c>
      <c r="AM338" s="5" t="s">
        <v>388</v>
      </c>
      <c r="AN338" s="281"/>
      <c r="AO338" s="5" t="s">
        <v>388</v>
      </c>
      <c r="AP338" s="5" t="s">
        <v>388</v>
      </c>
    </row>
    <row r="339" spans="1:42" s="480" customFormat="1" ht="11.25" customHeight="1">
      <c r="A339" s="16" t="s">
        <v>1318</v>
      </c>
      <c r="B339" s="1" t="s">
        <v>1317</v>
      </c>
      <c r="C339" s="1" t="s">
        <v>1316</v>
      </c>
      <c r="D339" s="1" t="s">
        <v>1150</v>
      </c>
      <c r="E339" s="1" t="s">
        <v>625</v>
      </c>
      <c r="F339" s="1"/>
      <c r="G339" s="83">
        <v>2</v>
      </c>
      <c r="H339" s="6"/>
      <c r="I339" s="6"/>
      <c r="J339" s="6"/>
      <c r="K339" s="6" t="s">
        <v>388</v>
      </c>
      <c r="L339" s="6"/>
      <c r="M339" s="6"/>
      <c r="N339" s="6"/>
      <c r="O339" s="6"/>
      <c r="P339" s="6"/>
      <c r="Q339" s="6"/>
      <c r="R339" s="6"/>
      <c r="S339" s="6"/>
      <c r="T339" s="6" t="s">
        <v>388</v>
      </c>
      <c r="U339" s="6" t="s">
        <v>388</v>
      </c>
      <c r="V339" s="6"/>
      <c r="W339" s="6"/>
      <c r="X339" s="6"/>
      <c r="Y339" s="6"/>
      <c r="Z339" s="6"/>
      <c r="AA339" s="6" t="s">
        <v>388</v>
      </c>
      <c r="AB339" s="151" t="s">
        <v>388</v>
      </c>
      <c r="AC339" s="151"/>
      <c r="AD339" s="12"/>
      <c r="AE339" s="251" t="s">
        <v>648</v>
      </c>
      <c r="AF339" s="5" t="s">
        <v>389</v>
      </c>
      <c r="AG339" s="4" t="s">
        <v>1319</v>
      </c>
      <c r="AH339" s="1"/>
      <c r="AI339" s="143" t="s">
        <v>1320</v>
      </c>
      <c r="AJ339" s="4"/>
      <c r="AK339" s="1"/>
      <c r="AL339" s="388" t="s">
        <v>1694</v>
      </c>
      <c r="AM339" s="281"/>
      <c r="AN339" s="281"/>
      <c r="AO339" s="5" t="s">
        <v>388</v>
      </c>
      <c r="AP339" s="5" t="s">
        <v>388</v>
      </c>
    </row>
    <row r="340" spans="1:42" s="181" customFormat="1" ht="11.25" customHeight="1">
      <c r="A340" s="144" t="s">
        <v>1677</v>
      </c>
      <c r="B340" s="2" t="s">
        <v>1680</v>
      </c>
      <c r="C340" s="3" t="s">
        <v>403</v>
      </c>
      <c r="D340" s="13" t="s">
        <v>387</v>
      </c>
      <c r="E340" s="13" t="s">
        <v>626</v>
      </c>
      <c r="F340" s="13"/>
      <c r="G340" s="83">
        <v>2</v>
      </c>
      <c r="H340" s="6"/>
      <c r="I340" s="6"/>
      <c r="J340" s="6"/>
      <c r="K340" s="6"/>
      <c r="L340" s="6"/>
      <c r="M340" s="6"/>
      <c r="N340" s="6"/>
      <c r="O340" s="6"/>
      <c r="P340" s="6"/>
      <c r="Q340" s="6"/>
      <c r="R340" s="6" t="s">
        <v>388</v>
      </c>
      <c r="S340" s="6"/>
      <c r="T340" s="6"/>
      <c r="U340" s="6" t="s">
        <v>388</v>
      </c>
      <c r="V340" s="6"/>
      <c r="W340" s="6"/>
      <c r="X340" s="6"/>
      <c r="Y340" s="6"/>
      <c r="Z340" s="6"/>
      <c r="AA340" s="6"/>
      <c r="AB340" s="6"/>
      <c r="AC340" s="12"/>
      <c r="AD340" s="12"/>
      <c r="AE340" s="83"/>
      <c r="AF340" s="6" t="s">
        <v>389</v>
      </c>
      <c r="AG340" s="34" t="s">
        <v>1867</v>
      </c>
      <c r="AH340" s="2"/>
      <c r="AI340" s="34"/>
      <c r="AJ340" s="34"/>
      <c r="AK340" s="2"/>
      <c r="AL340" s="387" t="s">
        <v>1691</v>
      </c>
      <c r="AM340" s="283"/>
      <c r="AN340" s="283"/>
      <c r="AO340" s="283"/>
      <c r="AP340" s="283"/>
    </row>
    <row r="341" spans="1:42" s="181" customFormat="1" ht="11.25" customHeight="1">
      <c r="A341" s="144" t="s">
        <v>197</v>
      </c>
      <c r="B341" s="2" t="s">
        <v>198</v>
      </c>
      <c r="C341" s="2" t="s">
        <v>199</v>
      </c>
      <c r="D341" s="4" t="s">
        <v>387</v>
      </c>
      <c r="E341" s="4" t="s">
        <v>625</v>
      </c>
      <c r="F341" s="4"/>
      <c r="G341" s="83">
        <v>2</v>
      </c>
      <c r="H341" s="6"/>
      <c r="I341" s="6"/>
      <c r="J341" s="6"/>
      <c r="K341" s="6"/>
      <c r="L341" s="6"/>
      <c r="M341" s="6"/>
      <c r="N341" s="6"/>
      <c r="O341" s="6"/>
      <c r="P341" s="6"/>
      <c r="Q341" s="6"/>
      <c r="R341" s="6"/>
      <c r="S341" s="6"/>
      <c r="T341" s="6"/>
      <c r="U341" s="6"/>
      <c r="V341" s="6"/>
      <c r="W341" s="6"/>
      <c r="X341" s="6"/>
      <c r="Y341" s="6"/>
      <c r="Z341" s="6"/>
      <c r="AA341" s="6"/>
      <c r="AB341" s="6"/>
      <c r="AC341" s="12" t="s">
        <v>388</v>
      </c>
      <c r="AD341" s="12"/>
      <c r="AE341" s="83">
        <v>3</v>
      </c>
      <c r="AF341" s="5" t="s">
        <v>394</v>
      </c>
      <c r="AG341" s="4" t="s">
        <v>1796</v>
      </c>
      <c r="AH341" s="1"/>
      <c r="AI341" s="4" t="s">
        <v>200</v>
      </c>
      <c r="AJ341" s="4"/>
      <c r="AK341" s="2"/>
      <c r="AL341" s="387" t="s">
        <v>1690</v>
      </c>
      <c r="AM341" s="6" t="s">
        <v>388</v>
      </c>
      <c r="AN341" s="283"/>
      <c r="AO341" s="283"/>
      <c r="AP341" s="283"/>
    </row>
    <row r="342" spans="1:42" s="480" customFormat="1" ht="11.25" customHeight="1">
      <c r="A342" s="256" t="s">
        <v>1161</v>
      </c>
      <c r="B342" s="1" t="s">
        <v>1163</v>
      </c>
      <c r="C342" s="1" t="s">
        <v>1162</v>
      </c>
      <c r="D342" s="1" t="s">
        <v>739</v>
      </c>
      <c r="E342" s="1" t="s">
        <v>625</v>
      </c>
      <c r="F342" s="1"/>
      <c r="G342" s="83">
        <v>2</v>
      </c>
      <c r="H342" s="6"/>
      <c r="I342" s="6"/>
      <c r="J342" s="6"/>
      <c r="K342" s="6" t="s">
        <v>388</v>
      </c>
      <c r="L342" s="6" t="s">
        <v>388</v>
      </c>
      <c r="M342" s="6" t="s">
        <v>388</v>
      </c>
      <c r="N342" s="6"/>
      <c r="O342" s="6"/>
      <c r="P342" s="6"/>
      <c r="Q342" s="6"/>
      <c r="R342" s="6"/>
      <c r="S342" s="6"/>
      <c r="T342" s="6"/>
      <c r="U342" s="6" t="s">
        <v>388</v>
      </c>
      <c r="V342" s="6"/>
      <c r="W342" s="6" t="s">
        <v>388</v>
      </c>
      <c r="X342" s="6"/>
      <c r="Y342" s="6"/>
      <c r="Z342" s="6"/>
      <c r="AA342" s="6"/>
      <c r="AB342" s="151"/>
      <c r="AC342" s="151"/>
      <c r="AD342" s="12"/>
      <c r="AE342" s="251" t="s">
        <v>648</v>
      </c>
      <c r="AF342" s="5" t="s">
        <v>389</v>
      </c>
      <c r="AG342" s="4" t="s">
        <v>1164</v>
      </c>
      <c r="AH342" s="1"/>
      <c r="AI342" s="143" t="s">
        <v>1165</v>
      </c>
      <c r="AJ342" s="4"/>
      <c r="AK342" s="1"/>
      <c r="AL342" s="388" t="s">
        <v>1698</v>
      </c>
      <c r="AM342" s="281"/>
      <c r="AN342" s="5"/>
      <c r="AO342" s="281"/>
      <c r="AP342" s="281"/>
    </row>
    <row r="343" spans="1:42" s="181" customFormat="1" ht="11.25" customHeight="1">
      <c r="A343" s="17" t="s">
        <v>1178</v>
      </c>
      <c r="B343" s="1" t="s">
        <v>1180</v>
      </c>
      <c r="C343" s="1" t="s">
        <v>1179</v>
      </c>
      <c r="D343" s="1" t="s">
        <v>739</v>
      </c>
      <c r="E343" s="1" t="s">
        <v>625</v>
      </c>
      <c r="F343" s="1"/>
      <c r="G343" s="83">
        <v>2</v>
      </c>
      <c r="H343" s="6"/>
      <c r="I343" s="6"/>
      <c r="J343" s="6"/>
      <c r="K343" s="6" t="s">
        <v>388</v>
      </c>
      <c r="L343" s="6"/>
      <c r="M343" s="6"/>
      <c r="N343" s="6"/>
      <c r="O343" s="6"/>
      <c r="P343" s="6"/>
      <c r="Q343" s="6"/>
      <c r="R343" s="6" t="s">
        <v>388</v>
      </c>
      <c r="S343" s="6" t="s">
        <v>388</v>
      </c>
      <c r="T343" s="6" t="s">
        <v>388</v>
      </c>
      <c r="U343" s="6"/>
      <c r="V343" s="6"/>
      <c r="W343" s="6" t="s">
        <v>388</v>
      </c>
      <c r="X343" s="6"/>
      <c r="Y343" s="6" t="s">
        <v>388</v>
      </c>
      <c r="Z343" s="6" t="s">
        <v>388</v>
      </c>
      <c r="AA343" s="6" t="s">
        <v>388</v>
      </c>
      <c r="AB343" s="151"/>
      <c r="AC343" s="151"/>
      <c r="AD343" s="12"/>
      <c r="AE343" s="251" t="s">
        <v>648</v>
      </c>
      <c r="AF343" s="5" t="s">
        <v>389</v>
      </c>
      <c r="AG343" s="4" t="s">
        <v>1181</v>
      </c>
      <c r="AH343" s="1"/>
      <c r="AI343" s="143" t="s">
        <v>1182</v>
      </c>
      <c r="AJ343" s="4"/>
      <c r="AK343" s="1"/>
      <c r="AL343" s="388" t="s">
        <v>1698</v>
      </c>
      <c r="AM343" s="281"/>
      <c r="AN343" s="5" t="s">
        <v>388</v>
      </c>
      <c r="AO343" s="5" t="s">
        <v>388</v>
      </c>
      <c r="AP343" s="5" t="s">
        <v>388</v>
      </c>
    </row>
    <row r="344" spans="1:42" s="181" customFormat="1" ht="11.25" customHeight="1">
      <c r="A344" s="144" t="s">
        <v>359</v>
      </c>
      <c r="B344" s="1" t="s">
        <v>1648</v>
      </c>
      <c r="C344" s="1" t="s">
        <v>360</v>
      </c>
      <c r="D344" s="4" t="s">
        <v>387</v>
      </c>
      <c r="E344" s="4" t="s">
        <v>625</v>
      </c>
      <c r="F344" s="4"/>
      <c r="G344" s="83">
        <v>2</v>
      </c>
      <c r="H344" s="6"/>
      <c r="I344" s="6"/>
      <c r="J344" s="6" t="s">
        <v>388</v>
      </c>
      <c r="K344" s="6"/>
      <c r="L344" s="6"/>
      <c r="M344" s="6"/>
      <c r="N344" s="6"/>
      <c r="O344" s="6"/>
      <c r="P344" s="6"/>
      <c r="Q344" s="6"/>
      <c r="R344" s="6"/>
      <c r="S344" s="6"/>
      <c r="T344" s="6" t="s">
        <v>388</v>
      </c>
      <c r="U344" s="6"/>
      <c r="V344" s="6"/>
      <c r="W344" s="6"/>
      <c r="X344" s="6"/>
      <c r="Y344" s="6"/>
      <c r="Z344" s="6"/>
      <c r="AA344" s="6" t="s">
        <v>388</v>
      </c>
      <c r="AB344" s="6"/>
      <c r="AC344" s="12"/>
      <c r="AD344" s="12"/>
      <c r="AE344" s="83">
        <v>3</v>
      </c>
      <c r="AF344" s="5" t="s">
        <v>389</v>
      </c>
      <c r="AG344" s="34" t="s">
        <v>1864</v>
      </c>
      <c r="AH344" s="1"/>
      <c r="AI344" s="4"/>
      <c r="AJ344" s="4"/>
      <c r="AK344" s="2"/>
      <c r="AL344" s="178" t="s">
        <v>1690</v>
      </c>
      <c r="AM344" s="283"/>
      <c r="AN344" s="283"/>
      <c r="AO344" s="6" t="s">
        <v>388</v>
      </c>
      <c r="AP344" s="6" t="s">
        <v>388</v>
      </c>
    </row>
    <row r="345" spans="1:42" s="181" customFormat="1" ht="11.25" customHeight="1">
      <c r="A345" s="144" t="s">
        <v>361</v>
      </c>
      <c r="B345" s="1" t="s">
        <v>362</v>
      </c>
      <c r="C345" s="1" t="s">
        <v>399</v>
      </c>
      <c r="D345" s="4" t="s">
        <v>387</v>
      </c>
      <c r="E345" s="4" t="s">
        <v>625</v>
      </c>
      <c r="F345" s="4"/>
      <c r="G345" s="83">
        <v>2</v>
      </c>
      <c r="H345" s="6"/>
      <c r="I345" s="6"/>
      <c r="J345" s="6"/>
      <c r="K345" s="6" t="s">
        <v>388</v>
      </c>
      <c r="L345" s="6"/>
      <c r="M345" s="6" t="s">
        <v>388</v>
      </c>
      <c r="N345" s="6"/>
      <c r="O345" s="6"/>
      <c r="P345" s="6" t="s">
        <v>388</v>
      </c>
      <c r="Q345" s="6"/>
      <c r="R345" s="6" t="s">
        <v>388</v>
      </c>
      <c r="S345" s="6"/>
      <c r="T345" s="6" t="s">
        <v>388</v>
      </c>
      <c r="U345" s="6" t="s">
        <v>388</v>
      </c>
      <c r="V345" s="6"/>
      <c r="W345" s="6"/>
      <c r="X345" s="6" t="s">
        <v>388</v>
      </c>
      <c r="Y345" s="6" t="s">
        <v>388</v>
      </c>
      <c r="Z345" s="6" t="s">
        <v>388</v>
      </c>
      <c r="AA345" s="6" t="s">
        <v>388</v>
      </c>
      <c r="AB345" s="6" t="s">
        <v>388</v>
      </c>
      <c r="AC345" s="6"/>
      <c r="AD345" s="6"/>
      <c r="AE345" s="83">
        <v>6</v>
      </c>
      <c r="AF345" s="5" t="s">
        <v>389</v>
      </c>
      <c r="AG345" s="4" t="s">
        <v>1794</v>
      </c>
      <c r="AH345" s="1"/>
      <c r="AI345" s="4"/>
      <c r="AJ345" s="4"/>
      <c r="AK345" s="2"/>
      <c r="AL345" s="178" t="s">
        <v>1690</v>
      </c>
      <c r="AM345" s="281"/>
      <c r="AN345" s="5" t="s">
        <v>388</v>
      </c>
      <c r="AO345" s="5" t="s">
        <v>388</v>
      </c>
      <c r="AP345" s="281"/>
    </row>
    <row r="346" spans="1:42" s="181" customFormat="1" ht="11.25" customHeight="1">
      <c r="A346" s="19" t="s">
        <v>201</v>
      </c>
      <c r="B346" s="1" t="s">
        <v>202</v>
      </c>
      <c r="C346" s="1" t="s">
        <v>203</v>
      </c>
      <c r="D346" s="4" t="s">
        <v>1150</v>
      </c>
      <c r="E346" s="4" t="s">
        <v>625</v>
      </c>
      <c r="F346" s="4"/>
      <c r="G346" s="83">
        <v>2</v>
      </c>
      <c r="H346" s="6"/>
      <c r="I346" s="6"/>
      <c r="J346" s="6"/>
      <c r="K346" s="6"/>
      <c r="L346" s="6" t="s">
        <v>388</v>
      </c>
      <c r="M346" s="6"/>
      <c r="N346" s="6"/>
      <c r="O346" s="6"/>
      <c r="P346" s="6"/>
      <c r="Q346" s="6"/>
      <c r="R346" s="6"/>
      <c r="S346" s="6"/>
      <c r="T346" s="6" t="s">
        <v>388</v>
      </c>
      <c r="U346" s="6" t="s">
        <v>388</v>
      </c>
      <c r="V346" s="6"/>
      <c r="W346" s="6"/>
      <c r="X346" s="6"/>
      <c r="Y346" s="6"/>
      <c r="Z346" s="6"/>
      <c r="AA346" s="6"/>
      <c r="AB346" s="6"/>
      <c r="AC346" s="12"/>
      <c r="AD346" s="12"/>
      <c r="AE346" s="83">
        <v>3</v>
      </c>
      <c r="AF346" s="5" t="s">
        <v>394</v>
      </c>
      <c r="AG346" s="34" t="s">
        <v>1827</v>
      </c>
      <c r="AH346" s="1"/>
      <c r="AI346" s="4" t="s">
        <v>1205</v>
      </c>
      <c r="AJ346" s="4"/>
      <c r="AK346" s="2"/>
      <c r="AL346" s="178" t="s">
        <v>1690</v>
      </c>
      <c r="AM346" s="281"/>
      <c r="AN346" s="5" t="s">
        <v>388</v>
      </c>
      <c r="AO346" s="5" t="s">
        <v>388</v>
      </c>
      <c r="AP346" s="281"/>
    </row>
    <row r="347" spans="1:42" s="181" customFormat="1" ht="11.25" customHeight="1">
      <c r="A347" s="364" t="s">
        <v>2302</v>
      </c>
      <c r="B347" s="373" t="s">
        <v>2303</v>
      </c>
      <c r="C347" s="373" t="s">
        <v>2304</v>
      </c>
      <c r="D347" s="374" t="s">
        <v>739</v>
      </c>
      <c r="E347" s="374" t="s">
        <v>1869</v>
      </c>
      <c r="F347" s="374"/>
      <c r="G347" s="367">
        <v>2</v>
      </c>
      <c r="H347" s="368" t="s">
        <v>388</v>
      </c>
      <c r="I347" s="368"/>
      <c r="J347" s="368"/>
      <c r="K347" s="368"/>
      <c r="L347" s="368" t="s">
        <v>388</v>
      </c>
      <c r="M347" s="368"/>
      <c r="N347" s="368"/>
      <c r="O347" s="368"/>
      <c r="P347" s="368"/>
      <c r="Q347" s="368" t="s">
        <v>388</v>
      </c>
      <c r="R347" s="368"/>
      <c r="S347" s="368"/>
      <c r="T347" s="368"/>
      <c r="U347" s="368"/>
      <c r="V347" s="368"/>
      <c r="W347" s="368"/>
      <c r="X347" s="368"/>
      <c r="Y347" s="368"/>
      <c r="Z347" s="368"/>
      <c r="AA347" s="368"/>
      <c r="AB347" s="369"/>
      <c r="AC347" s="369"/>
      <c r="AD347" s="369"/>
      <c r="AE347" s="370"/>
      <c r="AF347" s="372" t="s">
        <v>389</v>
      </c>
      <c r="AG347" s="34" t="s">
        <v>2375</v>
      </c>
      <c r="AH347" s="373"/>
      <c r="AI347" s="375" t="s">
        <v>2305</v>
      </c>
      <c r="AJ347" s="374"/>
      <c r="AK347" s="365"/>
      <c r="AL347" s="178" t="s">
        <v>476</v>
      </c>
      <c r="AM347" s="372"/>
      <c r="AN347" s="5" t="s">
        <v>388</v>
      </c>
      <c r="AO347" s="372"/>
      <c r="AP347" s="372"/>
    </row>
    <row r="348" spans="1:42" s="480" customFormat="1" ht="11.25" customHeight="1">
      <c r="A348" s="144" t="s">
        <v>366</v>
      </c>
      <c r="B348" s="1" t="s">
        <v>367</v>
      </c>
      <c r="C348" s="1" t="s">
        <v>368</v>
      </c>
      <c r="D348" s="4" t="s">
        <v>387</v>
      </c>
      <c r="E348" s="4" t="s">
        <v>625</v>
      </c>
      <c r="F348" s="4"/>
      <c r="G348" s="83">
        <v>2</v>
      </c>
      <c r="H348" s="6"/>
      <c r="I348" s="6"/>
      <c r="J348" s="6"/>
      <c r="K348" s="6"/>
      <c r="L348" s="6"/>
      <c r="M348" s="6" t="s">
        <v>388</v>
      </c>
      <c r="N348" s="6"/>
      <c r="O348" s="6"/>
      <c r="P348" s="6"/>
      <c r="Q348" s="6"/>
      <c r="R348" s="6"/>
      <c r="S348" s="6"/>
      <c r="T348" s="6"/>
      <c r="U348" s="6"/>
      <c r="V348" s="6"/>
      <c r="W348" s="6"/>
      <c r="X348" s="6"/>
      <c r="Y348" s="6" t="s">
        <v>388</v>
      </c>
      <c r="Z348" s="6"/>
      <c r="AA348" s="6" t="s">
        <v>388</v>
      </c>
      <c r="AB348" s="6" t="s">
        <v>388</v>
      </c>
      <c r="AC348" s="12"/>
      <c r="AD348" s="12"/>
      <c r="AE348" s="83">
        <v>3</v>
      </c>
      <c r="AF348" s="5" t="s">
        <v>389</v>
      </c>
      <c r="AG348" s="34" t="s">
        <v>1825</v>
      </c>
      <c r="AH348" s="1"/>
      <c r="AI348" s="4"/>
      <c r="AJ348" s="4"/>
      <c r="AK348" s="2"/>
      <c r="AL348" s="178" t="s">
        <v>1690</v>
      </c>
      <c r="AM348" s="281"/>
      <c r="AN348" s="5" t="s">
        <v>388</v>
      </c>
      <c r="AO348" s="5" t="s">
        <v>388</v>
      </c>
      <c r="AP348" s="5" t="s">
        <v>388</v>
      </c>
    </row>
    <row r="349" spans="1:42" s="181" customFormat="1" ht="11.25" customHeight="1">
      <c r="A349" s="144" t="s">
        <v>204</v>
      </c>
      <c r="B349" s="1" t="s">
        <v>205</v>
      </c>
      <c r="C349" s="1" t="s">
        <v>206</v>
      </c>
      <c r="D349" s="4" t="s">
        <v>387</v>
      </c>
      <c r="E349" s="4" t="s">
        <v>625</v>
      </c>
      <c r="F349" s="4"/>
      <c r="G349" s="83">
        <v>2</v>
      </c>
      <c r="H349" s="6"/>
      <c r="I349" s="6"/>
      <c r="J349" s="6"/>
      <c r="K349" s="6"/>
      <c r="L349" s="6"/>
      <c r="M349" s="6"/>
      <c r="N349" s="6"/>
      <c r="O349" s="6"/>
      <c r="P349" s="6"/>
      <c r="Q349" s="6"/>
      <c r="R349" s="6"/>
      <c r="S349" s="6"/>
      <c r="T349" s="6" t="s">
        <v>388</v>
      </c>
      <c r="U349" s="6"/>
      <c r="V349" s="6"/>
      <c r="W349" s="6"/>
      <c r="X349" s="6" t="s">
        <v>388</v>
      </c>
      <c r="Y349" s="6" t="s">
        <v>388</v>
      </c>
      <c r="Z349" s="6" t="s">
        <v>388</v>
      </c>
      <c r="AA349" s="6" t="s">
        <v>388</v>
      </c>
      <c r="AB349" s="6" t="s">
        <v>388</v>
      </c>
      <c r="AC349" s="12" t="s">
        <v>388</v>
      </c>
      <c r="AD349" s="12"/>
      <c r="AE349" s="83">
        <v>3</v>
      </c>
      <c r="AF349" s="5" t="s">
        <v>394</v>
      </c>
      <c r="AG349" s="4" t="s">
        <v>1822</v>
      </c>
      <c r="AH349" s="1"/>
      <c r="AI349" s="4" t="s">
        <v>1119</v>
      </c>
      <c r="AJ349" s="4"/>
      <c r="AK349" s="2"/>
      <c r="AL349" s="178" t="s">
        <v>1690</v>
      </c>
      <c r="AM349" s="5" t="s">
        <v>388</v>
      </c>
      <c r="AN349" s="281"/>
      <c r="AO349" s="281"/>
      <c r="AP349" s="5" t="s">
        <v>388</v>
      </c>
    </row>
    <row r="350" spans="1:42" s="181" customFormat="1" ht="11.25" customHeight="1">
      <c r="A350" s="16" t="s">
        <v>1424</v>
      </c>
      <c r="B350" s="2" t="s">
        <v>1425</v>
      </c>
      <c r="C350" s="2" t="s">
        <v>990</v>
      </c>
      <c r="D350" s="4" t="s">
        <v>739</v>
      </c>
      <c r="E350" s="1" t="s">
        <v>625</v>
      </c>
      <c r="F350" s="1"/>
      <c r="G350" s="83">
        <v>2</v>
      </c>
      <c r="H350" s="6"/>
      <c r="I350" s="6"/>
      <c r="J350" s="6"/>
      <c r="K350" s="6"/>
      <c r="L350" s="6"/>
      <c r="M350" s="6"/>
      <c r="N350" s="6"/>
      <c r="O350" s="6"/>
      <c r="P350" s="6"/>
      <c r="Q350" s="6"/>
      <c r="R350" s="6" t="s">
        <v>388</v>
      </c>
      <c r="S350" s="6"/>
      <c r="T350" s="6"/>
      <c r="U350" s="6"/>
      <c r="V350" s="6"/>
      <c r="W350" s="6"/>
      <c r="X350" s="6"/>
      <c r="Y350" s="6"/>
      <c r="Z350" s="6"/>
      <c r="AA350" s="6"/>
      <c r="AB350" s="12"/>
      <c r="AC350" s="12"/>
      <c r="AD350" s="12"/>
      <c r="AE350" s="83" t="s">
        <v>648</v>
      </c>
      <c r="AF350" s="6" t="s">
        <v>394</v>
      </c>
      <c r="AG350" s="34" t="s">
        <v>1426</v>
      </c>
      <c r="AH350" s="2"/>
      <c r="AI350" s="34" t="s">
        <v>1428</v>
      </c>
      <c r="AJ350" s="34" t="s">
        <v>1427</v>
      </c>
      <c r="AK350" s="2"/>
      <c r="AL350" s="178" t="s">
        <v>1696</v>
      </c>
      <c r="AM350" s="6" t="s">
        <v>388</v>
      </c>
      <c r="AN350" s="283"/>
      <c r="AO350" s="283"/>
      <c r="AP350" s="6" t="s">
        <v>388</v>
      </c>
    </row>
    <row r="351" spans="1:42" s="181" customFormat="1" ht="11.25" customHeight="1">
      <c r="A351" s="16" t="s">
        <v>1172</v>
      </c>
      <c r="B351" s="1" t="s">
        <v>1337</v>
      </c>
      <c r="C351" s="1" t="s">
        <v>1173</v>
      </c>
      <c r="D351" s="1" t="s">
        <v>1150</v>
      </c>
      <c r="E351" s="1" t="s">
        <v>625</v>
      </c>
      <c r="F351" s="1"/>
      <c r="G351" s="83">
        <v>2</v>
      </c>
      <c r="H351" s="6"/>
      <c r="I351" s="6"/>
      <c r="J351" s="6"/>
      <c r="K351" s="6" t="s">
        <v>388</v>
      </c>
      <c r="L351" s="6"/>
      <c r="M351" s="6"/>
      <c r="N351" s="6"/>
      <c r="O351" s="6"/>
      <c r="P351" s="6"/>
      <c r="Q351" s="6"/>
      <c r="R351" s="6"/>
      <c r="S351" s="6"/>
      <c r="T351" s="6" t="s">
        <v>388</v>
      </c>
      <c r="U351" s="6"/>
      <c r="V351" s="6" t="s">
        <v>388</v>
      </c>
      <c r="W351" s="6" t="s">
        <v>388</v>
      </c>
      <c r="X351" s="6" t="s">
        <v>388</v>
      </c>
      <c r="Y351" s="6" t="s">
        <v>388</v>
      </c>
      <c r="Z351" s="6" t="s">
        <v>388</v>
      </c>
      <c r="AA351" s="6" t="s">
        <v>388</v>
      </c>
      <c r="AB351" s="151" t="s">
        <v>388</v>
      </c>
      <c r="AC351" s="151"/>
      <c r="AD351" s="12" t="s">
        <v>388</v>
      </c>
      <c r="AE351" s="251" t="s">
        <v>648</v>
      </c>
      <c r="AF351" s="5" t="s">
        <v>389</v>
      </c>
      <c r="AG351" s="4" t="s">
        <v>1175</v>
      </c>
      <c r="AH351" s="1"/>
      <c r="AI351" s="143" t="s">
        <v>1339</v>
      </c>
      <c r="AJ351" s="4" t="s">
        <v>1338</v>
      </c>
      <c r="AK351" s="1"/>
      <c r="AL351" s="179" t="s">
        <v>1694</v>
      </c>
      <c r="AM351" s="281"/>
      <c r="AN351" s="281"/>
      <c r="AO351" s="5" t="s">
        <v>388</v>
      </c>
      <c r="AP351" s="5" t="s">
        <v>388</v>
      </c>
    </row>
    <row r="352" spans="1:42" s="181" customFormat="1" ht="11.25" customHeight="1">
      <c r="A352" s="16" t="s">
        <v>2162</v>
      </c>
      <c r="B352" s="1" t="s">
        <v>2163</v>
      </c>
      <c r="C352" s="1" t="s">
        <v>2164</v>
      </c>
      <c r="D352" s="1" t="s">
        <v>387</v>
      </c>
      <c r="E352" s="1" t="s">
        <v>1869</v>
      </c>
      <c r="F352" s="1"/>
      <c r="G352" s="83">
        <v>2</v>
      </c>
      <c r="H352" s="6"/>
      <c r="I352" s="6" t="s">
        <v>388</v>
      </c>
      <c r="J352" s="6" t="s">
        <v>388</v>
      </c>
      <c r="K352" s="6"/>
      <c r="L352" s="6"/>
      <c r="M352" s="6"/>
      <c r="N352" s="6"/>
      <c r="O352" s="6"/>
      <c r="P352" s="6"/>
      <c r="Q352" s="6"/>
      <c r="R352" s="6"/>
      <c r="S352" s="6"/>
      <c r="T352" s="6"/>
      <c r="U352" s="6"/>
      <c r="V352" s="6"/>
      <c r="W352" s="6"/>
      <c r="X352" s="6"/>
      <c r="Y352" s="6"/>
      <c r="Z352" s="6"/>
      <c r="AA352" s="6"/>
      <c r="AB352" s="151"/>
      <c r="AC352" s="151" t="s">
        <v>388</v>
      </c>
      <c r="AD352" s="12"/>
      <c r="AE352" s="251">
        <v>3</v>
      </c>
      <c r="AF352" s="5" t="s">
        <v>389</v>
      </c>
      <c r="AG352" s="4" t="s">
        <v>2165</v>
      </c>
      <c r="AH352" s="1"/>
      <c r="AI352" s="143"/>
      <c r="AJ352" s="4"/>
      <c r="AK352" s="1"/>
      <c r="AL352" s="179" t="s">
        <v>1691</v>
      </c>
      <c r="AM352" s="5" t="s">
        <v>388</v>
      </c>
      <c r="AN352" s="281"/>
      <c r="AO352" s="281"/>
      <c r="AP352" s="281"/>
    </row>
    <row r="353" spans="1:42" s="181" customFormat="1" ht="11.25" customHeight="1">
      <c r="A353" s="144" t="s">
        <v>376</v>
      </c>
      <c r="B353" s="2" t="s">
        <v>377</v>
      </c>
      <c r="C353" s="2" t="s">
        <v>2146</v>
      </c>
      <c r="D353" s="34" t="s">
        <v>387</v>
      </c>
      <c r="E353" s="34" t="s">
        <v>625</v>
      </c>
      <c r="F353" s="34"/>
      <c r="G353" s="83">
        <v>2</v>
      </c>
      <c r="H353" s="6"/>
      <c r="I353" s="6"/>
      <c r="J353" s="6"/>
      <c r="K353" s="6"/>
      <c r="L353" s="6"/>
      <c r="M353" s="6"/>
      <c r="N353" s="6"/>
      <c r="O353" s="6"/>
      <c r="P353" s="6"/>
      <c r="Q353" s="6"/>
      <c r="R353" s="6"/>
      <c r="S353" s="6"/>
      <c r="T353" s="6"/>
      <c r="U353" s="6"/>
      <c r="V353" s="6"/>
      <c r="W353" s="6"/>
      <c r="X353" s="6"/>
      <c r="Y353" s="6"/>
      <c r="Z353" s="6"/>
      <c r="AA353" s="6"/>
      <c r="AB353" s="6"/>
      <c r="AC353" s="12" t="s">
        <v>388</v>
      </c>
      <c r="AD353" s="12"/>
      <c r="AE353" s="83" t="s">
        <v>102</v>
      </c>
      <c r="AF353" s="6" t="s">
        <v>389</v>
      </c>
      <c r="AG353" s="34" t="s">
        <v>1856</v>
      </c>
      <c r="AH353" s="1"/>
      <c r="AI353" s="4"/>
      <c r="AJ353" s="4"/>
      <c r="AK353" s="2" t="s">
        <v>2142</v>
      </c>
      <c r="AL353" s="178" t="s">
        <v>1690</v>
      </c>
      <c r="AM353" s="281"/>
      <c r="AN353" s="5" t="s">
        <v>388</v>
      </c>
      <c r="AO353" s="5" t="s">
        <v>388</v>
      </c>
      <c r="AP353" s="281"/>
    </row>
    <row r="354" spans="1:42" s="181" customFormat="1" ht="11.25" customHeight="1">
      <c r="A354" s="16" t="s">
        <v>2033</v>
      </c>
      <c r="B354" s="1" t="s">
        <v>2032</v>
      </c>
      <c r="C354" s="1" t="s">
        <v>2031</v>
      </c>
      <c r="D354" s="1" t="s">
        <v>739</v>
      </c>
      <c r="E354" s="1" t="s">
        <v>1869</v>
      </c>
      <c r="F354" s="1"/>
      <c r="G354" s="83">
        <v>2</v>
      </c>
      <c r="H354" s="6"/>
      <c r="I354" s="6"/>
      <c r="J354" s="6"/>
      <c r="K354" s="6"/>
      <c r="L354" s="6"/>
      <c r="M354" s="6"/>
      <c r="N354" s="6"/>
      <c r="O354" s="6"/>
      <c r="P354" s="6"/>
      <c r="Q354" s="6"/>
      <c r="R354" s="6" t="s">
        <v>388</v>
      </c>
      <c r="S354" s="6"/>
      <c r="T354" s="6"/>
      <c r="U354" s="6"/>
      <c r="V354" s="6" t="s">
        <v>388</v>
      </c>
      <c r="W354" s="6"/>
      <c r="X354" s="6"/>
      <c r="Y354" s="6"/>
      <c r="Z354" s="6"/>
      <c r="AA354" s="6"/>
      <c r="AB354" s="151"/>
      <c r="AC354" s="151" t="s">
        <v>388</v>
      </c>
      <c r="AD354" s="12"/>
      <c r="AE354" s="251">
        <v>3</v>
      </c>
      <c r="AF354" s="5" t="s">
        <v>389</v>
      </c>
      <c r="AG354" s="4" t="s">
        <v>2374</v>
      </c>
      <c r="AH354" s="1"/>
      <c r="AI354" s="143" t="s">
        <v>2034</v>
      </c>
      <c r="AJ354" s="4" t="s">
        <v>2035</v>
      </c>
      <c r="AK354" s="1"/>
      <c r="AL354" s="179" t="s">
        <v>1693</v>
      </c>
      <c r="AM354" s="5" t="s">
        <v>388</v>
      </c>
      <c r="AN354" s="281"/>
      <c r="AO354" s="281"/>
      <c r="AP354" s="5" t="s">
        <v>388</v>
      </c>
    </row>
    <row r="355" spans="1:42" s="181" customFormat="1" ht="11.25" customHeight="1">
      <c r="A355" s="16" t="s">
        <v>207</v>
      </c>
      <c r="B355" s="1" t="s">
        <v>1157</v>
      </c>
      <c r="C355" s="1" t="s">
        <v>1158</v>
      </c>
      <c r="D355" s="1" t="s">
        <v>739</v>
      </c>
      <c r="E355" s="34" t="s">
        <v>625</v>
      </c>
      <c r="F355" s="1"/>
      <c r="G355" s="83">
        <v>2</v>
      </c>
      <c r="H355" s="6"/>
      <c r="I355" s="6"/>
      <c r="J355" s="6"/>
      <c r="K355" s="6"/>
      <c r="L355" s="6"/>
      <c r="M355" s="6"/>
      <c r="N355" s="6"/>
      <c r="O355" s="6"/>
      <c r="P355" s="6"/>
      <c r="Q355" s="6"/>
      <c r="R355" s="6"/>
      <c r="S355" s="6"/>
      <c r="T355" s="6" t="s">
        <v>388</v>
      </c>
      <c r="U355" s="6" t="s">
        <v>388</v>
      </c>
      <c r="V355" s="6"/>
      <c r="W355" s="6" t="s">
        <v>388</v>
      </c>
      <c r="X355" s="6" t="s">
        <v>388</v>
      </c>
      <c r="Y355" s="6" t="s">
        <v>388</v>
      </c>
      <c r="Z355" s="6" t="s">
        <v>388</v>
      </c>
      <c r="AA355" s="6" t="s">
        <v>388</v>
      </c>
      <c r="AB355" s="151" t="s">
        <v>388</v>
      </c>
      <c r="AC355" s="151" t="s">
        <v>388</v>
      </c>
      <c r="AD355" s="12"/>
      <c r="AE355" s="251" t="s">
        <v>648</v>
      </c>
      <c r="AF355" s="5" t="s">
        <v>389</v>
      </c>
      <c r="AG355" s="4" t="s">
        <v>1159</v>
      </c>
      <c r="AH355" s="1"/>
      <c r="AI355" s="143" t="s">
        <v>1160</v>
      </c>
      <c r="AJ355" s="4"/>
      <c r="AK355" s="1"/>
      <c r="AL355" s="179" t="s">
        <v>1698</v>
      </c>
      <c r="AM355" s="5" t="s">
        <v>388</v>
      </c>
      <c r="AN355" s="281"/>
      <c r="AO355" s="281"/>
      <c r="AP355" s="5" t="s">
        <v>388</v>
      </c>
    </row>
    <row r="356" spans="1:42" s="480" customFormat="1" ht="11.25" customHeight="1">
      <c r="A356" s="144" t="s">
        <v>207</v>
      </c>
      <c r="B356" s="1" t="s">
        <v>379</v>
      </c>
      <c r="C356" s="1" t="s">
        <v>380</v>
      </c>
      <c r="D356" s="4" t="s">
        <v>387</v>
      </c>
      <c r="E356" s="4" t="s">
        <v>625</v>
      </c>
      <c r="F356" s="4"/>
      <c r="G356" s="83">
        <v>2</v>
      </c>
      <c r="H356" s="6"/>
      <c r="I356" s="6"/>
      <c r="J356" s="6"/>
      <c r="K356" s="6" t="s">
        <v>388</v>
      </c>
      <c r="L356" s="6"/>
      <c r="M356" s="6"/>
      <c r="N356" s="6"/>
      <c r="O356" s="6"/>
      <c r="P356" s="6" t="s">
        <v>388</v>
      </c>
      <c r="Q356" s="6"/>
      <c r="R356" s="6"/>
      <c r="S356" s="6"/>
      <c r="T356" s="6" t="s">
        <v>388</v>
      </c>
      <c r="U356" s="6" t="s">
        <v>388</v>
      </c>
      <c r="V356" s="6"/>
      <c r="W356" s="6"/>
      <c r="X356" s="6" t="s">
        <v>388</v>
      </c>
      <c r="Y356" s="6" t="s">
        <v>388</v>
      </c>
      <c r="Z356" s="6" t="s">
        <v>388</v>
      </c>
      <c r="AA356" s="6" t="s">
        <v>388</v>
      </c>
      <c r="AB356" s="6" t="s">
        <v>388</v>
      </c>
      <c r="AC356" s="12" t="s">
        <v>388</v>
      </c>
      <c r="AD356" s="12"/>
      <c r="AE356" s="83">
        <v>3</v>
      </c>
      <c r="AF356" s="5" t="s">
        <v>389</v>
      </c>
      <c r="AG356" s="4" t="s">
        <v>1821</v>
      </c>
      <c r="AH356" s="1"/>
      <c r="AI356" s="4"/>
      <c r="AJ356" s="4"/>
      <c r="AK356" s="2"/>
      <c r="AL356" s="178" t="s">
        <v>1690</v>
      </c>
      <c r="AM356" s="5" t="s">
        <v>388</v>
      </c>
      <c r="AN356" s="281"/>
      <c r="AO356" s="281"/>
      <c r="AP356" s="5" t="s">
        <v>388</v>
      </c>
    </row>
    <row r="357" spans="1:42" s="480" customFormat="1" ht="11.25" customHeight="1">
      <c r="A357" s="144" t="s">
        <v>207</v>
      </c>
      <c r="B357" s="2" t="s">
        <v>208</v>
      </c>
      <c r="C357" s="1" t="s">
        <v>209</v>
      </c>
      <c r="D357" s="4" t="s">
        <v>387</v>
      </c>
      <c r="E357" s="4" t="s">
        <v>625</v>
      </c>
      <c r="F357" s="4"/>
      <c r="G357" s="83">
        <v>2</v>
      </c>
      <c r="H357" s="6"/>
      <c r="I357" s="6"/>
      <c r="J357" s="6"/>
      <c r="K357" s="6" t="s">
        <v>388</v>
      </c>
      <c r="L357" s="6"/>
      <c r="M357" s="6"/>
      <c r="N357" s="6"/>
      <c r="O357" s="6"/>
      <c r="P357" s="6" t="s">
        <v>388</v>
      </c>
      <c r="Q357" s="6"/>
      <c r="R357" s="6"/>
      <c r="S357" s="6"/>
      <c r="T357" s="6" t="s">
        <v>388</v>
      </c>
      <c r="U357" s="6" t="s">
        <v>388</v>
      </c>
      <c r="V357" s="6"/>
      <c r="W357" s="6"/>
      <c r="X357" s="6"/>
      <c r="Y357" s="6"/>
      <c r="Z357" s="6"/>
      <c r="AA357" s="6"/>
      <c r="AB357" s="6"/>
      <c r="AC357" s="12" t="s">
        <v>388</v>
      </c>
      <c r="AD357" s="12"/>
      <c r="AE357" s="83">
        <v>3</v>
      </c>
      <c r="AF357" s="5" t="s">
        <v>394</v>
      </c>
      <c r="AG357" s="4" t="s">
        <v>1820</v>
      </c>
      <c r="AH357" s="1"/>
      <c r="AI357" s="4"/>
      <c r="AJ357" s="4"/>
      <c r="AK357" s="2"/>
      <c r="AL357" s="178" t="s">
        <v>1690</v>
      </c>
      <c r="AM357" s="5" t="s">
        <v>388</v>
      </c>
      <c r="AN357" s="281"/>
      <c r="AO357" s="281"/>
      <c r="AP357" s="5" t="s">
        <v>388</v>
      </c>
    </row>
    <row r="358" spans="1:42" s="181" customFormat="1" ht="11.25" customHeight="1">
      <c r="A358" s="144" t="s">
        <v>213</v>
      </c>
      <c r="B358" s="2" t="s">
        <v>214</v>
      </c>
      <c r="C358" s="2" t="s">
        <v>215</v>
      </c>
      <c r="D358" s="34" t="s">
        <v>387</v>
      </c>
      <c r="E358" s="34" t="s">
        <v>625</v>
      </c>
      <c r="F358" s="34"/>
      <c r="G358" s="83">
        <v>2</v>
      </c>
      <c r="H358" s="6"/>
      <c r="I358" s="6"/>
      <c r="J358" s="6" t="s">
        <v>388</v>
      </c>
      <c r="K358" s="6"/>
      <c r="L358" s="6"/>
      <c r="M358" s="6"/>
      <c r="N358" s="6" t="s">
        <v>388</v>
      </c>
      <c r="O358" s="6"/>
      <c r="P358" s="6"/>
      <c r="Q358" s="6"/>
      <c r="R358" s="6"/>
      <c r="S358" s="6"/>
      <c r="T358" s="6"/>
      <c r="U358" s="6"/>
      <c r="V358" s="6"/>
      <c r="W358" s="6"/>
      <c r="X358" s="6"/>
      <c r="Y358" s="6"/>
      <c r="Z358" s="6"/>
      <c r="AA358" s="6"/>
      <c r="AB358" s="6"/>
      <c r="AC358" s="12" t="s">
        <v>388</v>
      </c>
      <c r="AD358" s="12" t="s">
        <v>388</v>
      </c>
      <c r="AE358" s="83">
        <v>3</v>
      </c>
      <c r="AF358" s="5" t="s">
        <v>394</v>
      </c>
      <c r="AG358" s="34" t="s">
        <v>1795</v>
      </c>
      <c r="AH358" s="1"/>
      <c r="AI358" s="4" t="s">
        <v>216</v>
      </c>
      <c r="AJ358" s="4"/>
      <c r="AK358" s="2"/>
      <c r="AL358" s="178" t="s">
        <v>1690</v>
      </c>
      <c r="AM358" s="6" t="s">
        <v>388</v>
      </c>
      <c r="AN358" s="283"/>
      <c r="AO358" s="283"/>
      <c r="AP358" s="6" t="s">
        <v>388</v>
      </c>
    </row>
    <row r="359" spans="1:42" s="181" customFormat="1" ht="11.25" customHeight="1">
      <c r="A359" s="16" t="s">
        <v>1673</v>
      </c>
      <c r="B359" s="1" t="s">
        <v>1618</v>
      </c>
      <c r="C359" s="1" t="s">
        <v>2124</v>
      </c>
      <c r="D359" s="1" t="s">
        <v>739</v>
      </c>
      <c r="E359" s="34" t="s">
        <v>625</v>
      </c>
      <c r="F359" s="1"/>
      <c r="G359" s="83">
        <v>2</v>
      </c>
      <c r="H359" s="6"/>
      <c r="I359" s="6"/>
      <c r="J359" s="6"/>
      <c r="K359" s="6"/>
      <c r="L359" s="6"/>
      <c r="M359" s="6"/>
      <c r="N359" s="6"/>
      <c r="O359" s="6"/>
      <c r="P359" s="6"/>
      <c r="Q359" s="6"/>
      <c r="R359" s="6"/>
      <c r="S359" s="6"/>
      <c r="T359" s="6" t="s">
        <v>388</v>
      </c>
      <c r="U359" s="6"/>
      <c r="V359" s="6"/>
      <c r="W359" s="6"/>
      <c r="X359" s="6"/>
      <c r="Y359" s="6"/>
      <c r="Z359" s="6" t="s">
        <v>388</v>
      </c>
      <c r="AA359" s="6" t="s">
        <v>388</v>
      </c>
      <c r="AB359" s="151"/>
      <c r="AC359" s="151"/>
      <c r="AD359" s="12"/>
      <c r="AE359" s="251"/>
      <c r="AF359" s="5" t="s">
        <v>389</v>
      </c>
      <c r="AG359" s="4" t="s">
        <v>2373</v>
      </c>
      <c r="AH359" s="1"/>
      <c r="AI359" s="143" t="s">
        <v>1815</v>
      </c>
      <c r="AJ359" s="4"/>
      <c r="AK359" s="1"/>
      <c r="AL359" s="179" t="s">
        <v>1693</v>
      </c>
      <c r="AM359" s="6" t="s">
        <v>388</v>
      </c>
      <c r="AN359" s="283"/>
      <c r="AO359" s="6" t="s">
        <v>388</v>
      </c>
      <c r="AP359" s="6" t="s">
        <v>388</v>
      </c>
    </row>
    <row r="360" spans="1:42" s="181" customFormat="1" ht="11.25" customHeight="1">
      <c r="A360" s="16" t="s">
        <v>1102</v>
      </c>
      <c r="B360" s="1" t="s">
        <v>1184</v>
      </c>
      <c r="C360" s="1" t="s">
        <v>1183</v>
      </c>
      <c r="D360" s="1" t="s">
        <v>739</v>
      </c>
      <c r="E360" s="1" t="s">
        <v>625</v>
      </c>
      <c r="F360" s="1"/>
      <c r="G360" s="83">
        <v>2</v>
      </c>
      <c r="H360" s="6"/>
      <c r="I360" s="6"/>
      <c r="J360" s="6"/>
      <c r="K360" s="6" t="s">
        <v>388</v>
      </c>
      <c r="L360" s="6"/>
      <c r="M360" s="6" t="s">
        <v>388</v>
      </c>
      <c r="N360" s="6"/>
      <c r="O360" s="6" t="s">
        <v>388</v>
      </c>
      <c r="P360" s="6" t="s">
        <v>388</v>
      </c>
      <c r="Q360" s="6"/>
      <c r="R360" s="6" t="s">
        <v>388</v>
      </c>
      <c r="S360" s="6"/>
      <c r="T360" s="6"/>
      <c r="U360" s="6" t="s">
        <v>388</v>
      </c>
      <c r="V360" s="6"/>
      <c r="W360" s="6"/>
      <c r="X360" s="6"/>
      <c r="Y360" s="6"/>
      <c r="Z360" s="6" t="s">
        <v>388</v>
      </c>
      <c r="AA360" s="6"/>
      <c r="AB360" s="151"/>
      <c r="AC360" s="151"/>
      <c r="AD360" s="12"/>
      <c r="AE360" s="251" t="s">
        <v>648</v>
      </c>
      <c r="AF360" s="5" t="s">
        <v>389</v>
      </c>
      <c r="AG360" s="4" t="s">
        <v>1185</v>
      </c>
      <c r="AH360" s="1"/>
      <c r="AI360" s="143"/>
      <c r="AJ360" s="4"/>
      <c r="AK360" s="1"/>
      <c r="AL360" s="179" t="s">
        <v>1698</v>
      </c>
      <c r="AM360" s="281"/>
      <c r="AN360" s="5" t="s">
        <v>388</v>
      </c>
      <c r="AO360" s="281"/>
      <c r="AP360" s="281"/>
    </row>
    <row r="361" spans="1:42" s="181" customFormat="1" ht="11.25" customHeight="1">
      <c r="A361" s="16" t="s">
        <v>1102</v>
      </c>
      <c r="B361" s="1" t="s">
        <v>1100</v>
      </c>
      <c r="C361" s="1" t="s">
        <v>1101</v>
      </c>
      <c r="D361" s="1" t="s">
        <v>739</v>
      </c>
      <c r="E361" s="34" t="s">
        <v>625</v>
      </c>
      <c r="F361" s="1"/>
      <c r="G361" s="83">
        <v>2</v>
      </c>
      <c r="H361" s="6"/>
      <c r="I361" s="6"/>
      <c r="J361" s="6"/>
      <c r="K361" s="6" t="s">
        <v>388</v>
      </c>
      <c r="L361" s="6" t="s">
        <v>388</v>
      </c>
      <c r="M361" s="6" t="s">
        <v>388</v>
      </c>
      <c r="N361" s="6"/>
      <c r="O361" s="6"/>
      <c r="P361" s="6" t="s">
        <v>388</v>
      </c>
      <c r="Q361" s="6"/>
      <c r="R361" s="6" t="s">
        <v>388</v>
      </c>
      <c r="S361" s="6"/>
      <c r="T361" s="6" t="s">
        <v>388</v>
      </c>
      <c r="U361" s="6"/>
      <c r="V361" s="6"/>
      <c r="W361" s="6" t="s">
        <v>388</v>
      </c>
      <c r="X361" s="6" t="s">
        <v>388</v>
      </c>
      <c r="Y361" s="6" t="s">
        <v>388</v>
      </c>
      <c r="Z361" s="6" t="s">
        <v>388</v>
      </c>
      <c r="AA361" s="6"/>
      <c r="AB361" s="151"/>
      <c r="AC361" s="151"/>
      <c r="AD361" s="12"/>
      <c r="AE361" s="251" t="s">
        <v>648</v>
      </c>
      <c r="AF361" s="5" t="s">
        <v>394</v>
      </c>
      <c r="AG361" s="4" t="s">
        <v>1103</v>
      </c>
      <c r="AH361" s="1"/>
      <c r="AI361" s="143" t="s">
        <v>1104</v>
      </c>
      <c r="AJ361" s="4"/>
      <c r="AK361" s="1"/>
      <c r="AL361" s="179" t="s">
        <v>1698</v>
      </c>
      <c r="AM361" s="281"/>
      <c r="AN361" s="5" t="s">
        <v>388</v>
      </c>
      <c r="AO361" s="281"/>
      <c r="AP361" s="281"/>
    </row>
    <row r="362" spans="1:42" s="181" customFormat="1" ht="11.25" customHeight="1">
      <c r="A362" s="144" t="s">
        <v>808</v>
      </c>
      <c r="B362" s="2" t="s">
        <v>809</v>
      </c>
      <c r="C362" s="2" t="s">
        <v>810</v>
      </c>
      <c r="D362" s="34" t="s">
        <v>739</v>
      </c>
      <c r="E362" s="34" t="s">
        <v>625</v>
      </c>
      <c r="F362" s="34"/>
      <c r="G362" s="83">
        <v>2</v>
      </c>
      <c r="H362" s="6"/>
      <c r="I362" s="6"/>
      <c r="J362" s="6" t="s">
        <v>388</v>
      </c>
      <c r="K362" s="6" t="s">
        <v>388</v>
      </c>
      <c r="L362" s="6"/>
      <c r="M362" s="6" t="s">
        <v>388</v>
      </c>
      <c r="N362" s="6" t="s">
        <v>388</v>
      </c>
      <c r="O362" s="6"/>
      <c r="P362" s="6"/>
      <c r="Q362" s="6"/>
      <c r="R362" s="6"/>
      <c r="S362" s="6"/>
      <c r="T362" s="6"/>
      <c r="U362" s="6"/>
      <c r="V362" s="6"/>
      <c r="W362" s="6"/>
      <c r="X362" s="6"/>
      <c r="Y362" s="6"/>
      <c r="Z362" s="6"/>
      <c r="AA362" s="6"/>
      <c r="AB362" s="6"/>
      <c r="AC362" s="12"/>
      <c r="AD362" s="12"/>
      <c r="AE362" s="83" t="s">
        <v>648</v>
      </c>
      <c r="AF362" s="6" t="s">
        <v>394</v>
      </c>
      <c r="AG362" s="34" t="s">
        <v>811</v>
      </c>
      <c r="AH362" s="2"/>
      <c r="AI362" s="34"/>
      <c r="AJ362" s="34" t="s">
        <v>763</v>
      </c>
      <c r="AK362" s="2"/>
      <c r="AL362" s="178" t="s">
        <v>476</v>
      </c>
      <c r="AM362" s="5" t="s">
        <v>388</v>
      </c>
      <c r="AN362" s="5" t="s">
        <v>388</v>
      </c>
      <c r="AO362" s="281"/>
      <c r="AP362" s="5" t="s">
        <v>388</v>
      </c>
    </row>
    <row r="363" spans="1:42" s="181" customFormat="1" ht="11.25" customHeight="1">
      <c r="A363" s="17" t="s">
        <v>2149</v>
      </c>
      <c r="B363" s="2" t="s">
        <v>2150</v>
      </c>
      <c r="C363" s="2" t="s">
        <v>2151</v>
      </c>
      <c r="D363" s="34" t="s">
        <v>739</v>
      </c>
      <c r="E363" s="34" t="s">
        <v>1869</v>
      </c>
      <c r="F363" s="34"/>
      <c r="G363" s="83">
        <v>2</v>
      </c>
      <c r="H363" s="6"/>
      <c r="I363" s="6"/>
      <c r="J363" s="6"/>
      <c r="K363" s="6" t="s">
        <v>388</v>
      </c>
      <c r="L363" s="6"/>
      <c r="M363" s="6" t="s">
        <v>388</v>
      </c>
      <c r="N363" s="6"/>
      <c r="O363" s="6"/>
      <c r="P363" s="6"/>
      <c r="Q363" s="6"/>
      <c r="R363" s="6"/>
      <c r="S363" s="6"/>
      <c r="T363" s="6"/>
      <c r="U363" s="6" t="s">
        <v>388</v>
      </c>
      <c r="V363" s="6" t="s">
        <v>388</v>
      </c>
      <c r="W363" s="6" t="s">
        <v>388</v>
      </c>
      <c r="X363" s="6"/>
      <c r="Y363" s="6"/>
      <c r="Z363" s="6" t="s">
        <v>388</v>
      </c>
      <c r="AA363" s="6"/>
      <c r="AB363" s="12"/>
      <c r="AC363" s="12"/>
      <c r="AD363" s="12"/>
      <c r="AE363" s="251">
        <v>3</v>
      </c>
      <c r="AF363" s="6" t="s">
        <v>394</v>
      </c>
      <c r="AG363" s="34" t="s">
        <v>2152</v>
      </c>
      <c r="AH363" s="2"/>
      <c r="AI363" s="252"/>
      <c r="AJ363" s="34"/>
      <c r="AK363" s="2" t="s">
        <v>2153</v>
      </c>
      <c r="AL363" s="178" t="s">
        <v>1693</v>
      </c>
      <c r="AM363" s="281"/>
      <c r="AN363" s="5" t="s">
        <v>388</v>
      </c>
      <c r="AO363" s="5" t="s">
        <v>388</v>
      </c>
      <c r="AP363" s="5" t="s">
        <v>388</v>
      </c>
    </row>
    <row r="364" spans="1:42" s="480" customFormat="1" ht="11.25" customHeight="1">
      <c r="A364" s="144" t="s">
        <v>35</v>
      </c>
      <c r="B364" s="1" t="s">
        <v>39</v>
      </c>
      <c r="C364" s="1" t="s">
        <v>40</v>
      </c>
      <c r="D364" s="4" t="s">
        <v>387</v>
      </c>
      <c r="E364" s="4" t="s">
        <v>624</v>
      </c>
      <c r="F364" s="4" t="s">
        <v>625</v>
      </c>
      <c r="G364" s="83">
        <v>3</v>
      </c>
      <c r="H364" s="6" t="s">
        <v>388</v>
      </c>
      <c r="I364" s="6"/>
      <c r="J364" s="6"/>
      <c r="K364" s="6" t="s">
        <v>388</v>
      </c>
      <c r="L364" s="6" t="s">
        <v>388</v>
      </c>
      <c r="M364" s="6" t="s">
        <v>388</v>
      </c>
      <c r="N364" s="6"/>
      <c r="O364" s="6" t="s">
        <v>388</v>
      </c>
      <c r="P364" s="6"/>
      <c r="Q364" s="6"/>
      <c r="R364" s="6" t="s">
        <v>388</v>
      </c>
      <c r="S364" s="6"/>
      <c r="T364" s="6" t="s">
        <v>388</v>
      </c>
      <c r="U364" s="6"/>
      <c r="V364" s="6" t="s">
        <v>388</v>
      </c>
      <c r="W364" s="6"/>
      <c r="X364" s="6"/>
      <c r="Y364" s="6"/>
      <c r="Z364" s="6" t="s">
        <v>388</v>
      </c>
      <c r="AA364" s="6" t="s">
        <v>388</v>
      </c>
      <c r="AB364" s="6"/>
      <c r="AC364" s="12"/>
      <c r="AD364" s="12"/>
      <c r="AE364" s="83">
        <v>3</v>
      </c>
      <c r="AF364" s="5" t="s">
        <v>394</v>
      </c>
      <c r="AG364" s="4" t="s">
        <v>1814</v>
      </c>
      <c r="AH364" s="1"/>
      <c r="AI364" s="4"/>
      <c r="AJ364" s="4"/>
      <c r="AK364" s="2"/>
      <c r="AL364" s="387" t="s">
        <v>1690</v>
      </c>
      <c r="AM364" s="5" t="s">
        <v>388</v>
      </c>
      <c r="AN364" s="281"/>
      <c r="AO364" s="5" t="s">
        <v>388</v>
      </c>
      <c r="AP364" s="5" t="s">
        <v>388</v>
      </c>
    </row>
    <row r="365" spans="1:42" s="181" customFormat="1" ht="11.25" customHeight="1">
      <c r="A365" s="19" t="s">
        <v>41</v>
      </c>
      <c r="B365" s="1" t="s">
        <v>224</v>
      </c>
      <c r="C365" s="1" t="s">
        <v>225</v>
      </c>
      <c r="D365" s="4" t="s">
        <v>387</v>
      </c>
      <c r="E365" s="4" t="s">
        <v>625</v>
      </c>
      <c r="F365" s="4"/>
      <c r="G365" s="83">
        <v>3</v>
      </c>
      <c r="H365" s="6"/>
      <c r="I365" s="6"/>
      <c r="J365" s="6"/>
      <c r="K365" s="6"/>
      <c r="L365" s="6"/>
      <c r="M365" s="6"/>
      <c r="N365" s="6"/>
      <c r="O365" s="6"/>
      <c r="P365" s="6"/>
      <c r="Q365" s="6"/>
      <c r="R365" s="6"/>
      <c r="S365" s="6"/>
      <c r="T365" s="6" t="s">
        <v>388</v>
      </c>
      <c r="U365" s="6"/>
      <c r="V365" s="6"/>
      <c r="W365" s="6"/>
      <c r="X365" s="6" t="s">
        <v>388</v>
      </c>
      <c r="Y365" s="6" t="s">
        <v>388</v>
      </c>
      <c r="Z365" s="6" t="s">
        <v>388</v>
      </c>
      <c r="AA365" s="6" t="s">
        <v>388</v>
      </c>
      <c r="AB365" s="6" t="s">
        <v>388</v>
      </c>
      <c r="AC365" s="12" t="s">
        <v>388</v>
      </c>
      <c r="AD365" s="12"/>
      <c r="AE365" s="83">
        <v>6</v>
      </c>
      <c r="AF365" s="5" t="s">
        <v>389</v>
      </c>
      <c r="AG365" s="34" t="s">
        <v>1845</v>
      </c>
      <c r="AH365" s="1"/>
      <c r="AI365" s="4"/>
      <c r="AJ365" s="4"/>
      <c r="AK365" s="2"/>
      <c r="AL365" s="387" t="s">
        <v>1690</v>
      </c>
      <c r="AM365" s="281"/>
      <c r="AN365" s="281"/>
      <c r="AO365" s="5" t="s">
        <v>388</v>
      </c>
      <c r="AP365" s="281"/>
    </row>
    <row r="366" spans="1:42" s="181" customFormat="1" ht="11.25" customHeight="1">
      <c r="A366" s="144" t="s">
        <v>41</v>
      </c>
      <c r="B366" s="1" t="s">
        <v>219</v>
      </c>
      <c r="C366" s="1" t="s">
        <v>220</v>
      </c>
      <c r="D366" s="4" t="s">
        <v>387</v>
      </c>
      <c r="E366" s="4" t="s">
        <v>625</v>
      </c>
      <c r="F366" s="4"/>
      <c r="G366" s="83">
        <v>3</v>
      </c>
      <c r="H366" s="6"/>
      <c r="I366" s="6"/>
      <c r="J366" s="6"/>
      <c r="K366" s="6"/>
      <c r="L366" s="6"/>
      <c r="M366" s="6"/>
      <c r="N366" s="6"/>
      <c r="O366" s="6"/>
      <c r="P366" s="6"/>
      <c r="Q366" s="6"/>
      <c r="R366" s="6"/>
      <c r="S366" s="6"/>
      <c r="T366" s="6" t="s">
        <v>388</v>
      </c>
      <c r="U366" s="6"/>
      <c r="V366" s="6"/>
      <c r="W366" s="6"/>
      <c r="X366" s="6"/>
      <c r="Y366" s="6" t="s">
        <v>388</v>
      </c>
      <c r="Z366" s="6" t="s">
        <v>388</v>
      </c>
      <c r="AA366" s="6" t="s">
        <v>388</v>
      </c>
      <c r="AB366" s="6" t="s">
        <v>388</v>
      </c>
      <c r="AC366" s="12"/>
      <c r="AD366" s="12"/>
      <c r="AE366" s="83">
        <v>3</v>
      </c>
      <c r="AF366" s="5" t="s">
        <v>389</v>
      </c>
      <c r="AG366" s="34" t="s">
        <v>1941</v>
      </c>
      <c r="AH366" s="1"/>
      <c r="AI366" s="4"/>
      <c r="AJ366" s="4"/>
      <c r="AK366" s="2"/>
      <c r="AL366" s="387" t="s">
        <v>1690</v>
      </c>
      <c r="AM366" s="283"/>
      <c r="AN366" s="283"/>
      <c r="AO366" s="6" t="s">
        <v>388</v>
      </c>
      <c r="AP366" s="6" t="s">
        <v>388</v>
      </c>
    </row>
    <row r="367" spans="1:42" s="480" customFormat="1" ht="11.25" customHeight="1">
      <c r="A367" s="144" t="s">
        <v>57</v>
      </c>
      <c r="B367" s="2" t="s">
        <v>640</v>
      </c>
      <c r="C367" s="2" t="s">
        <v>58</v>
      </c>
      <c r="D367" s="34" t="s">
        <v>387</v>
      </c>
      <c r="E367" s="34" t="s">
        <v>624</v>
      </c>
      <c r="F367" s="34" t="s">
        <v>625</v>
      </c>
      <c r="G367" s="83">
        <v>3</v>
      </c>
      <c r="H367" s="6"/>
      <c r="I367" s="6"/>
      <c r="J367" s="6"/>
      <c r="K367" s="6"/>
      <c r="L367" s="6"/>
      <c r="M367" s="6" t="s">
        <v>388</v>
      </c>
      <c r="N367" s="6"/>
      <c r="O367" s="6" t="s">
        <v>388</v>
      </c>
      <c r="P367" s="6"/>
      <c r="Q367" s="6"/>
      <c r="R367" s="6"/>
      <c r="S367" s="6"/>
      <c r="T367" s="6"/>
      <c r="U367" s="6"/>
      <c r="V367" s="6" t="s">
        <v>388</v>
      </c>
      <c r="W367" s="6" t="s">
        <v>388</v>
      </c>
      <c r="X367" s="6" t="s">
        <v>388</v>
      </c>
      <c r="Y367" s="6" t="s">
        <v>388</v>
      </c>
      <c r="Z367" s="6" t="s">
        <v>388</v>
      </c>
      <c r="AA367" s="6" t="s">
        <v>388</v>
      </c>
      <c r="AB367" s="6"/>
      <c r="AC367" s="12" t="s">
        <v>388</v>
      </c>
      <c r="AD367" s="12"/>
      <c r="AE367" s="83">
        <v>3</v>
      </c>
      <c r="AF367" s="6" t="s">
        <v>389</v>
      </c>
      <c r="AG367" s="34"/>
      <c r="AH367" s="2"/>
      <c r="AI367" s="34" t="s">
        <v>59</v>
      </c>
      <c r="AJ367" s="34"/>
      <c r="AK367" s="2"/>
      <c r="AL367" s="387" t="s">
        <v>1690</v>
      </c>
      <c r="AM367" s="5" t="s">
        <v>388</v>
      </c>
      <c r="AN367" s="281"/>
      <c r="AO367" s="5" t="s">
        <v>388</v>
      </c>
      <c r="AP367" s="5" t="s">
        <v>388</v>
      </c>
    </row>
    <row r="368" spans="1:42" s="181" customFormat="1" ht="11.25" customHeight="1">
      <c r="A368" s="144" t="s">
        <v>240</v>
      </c>
      <c r="B368" s="1" t="s">
        <v>243</v>
      </c>
      <c r="C368" s="1" t="s">
        <v>242</v>
      </c>
      <c r="D368" s="4" t="s">
        <v>387</v>
      </c>
      <c r="E368" s="4" t="s">
        <v>625</v>
      </c>
      <c r="F368" s="4"/>
      <c r="G368" s="83">
        <v>3</v>
      </c>
      <c r="H368" s="6" t="s">
        <v>388</v>
      </c>
      <c r="I368" s="6"/>
      <c r="J368" s="6"/>
      <c r="K368" s="6" t="s">
        <v>388</v>
      </c>
      <c r="L368" s="6" t="s">
        <v>388</v>
      </c>
      <c r="M368" s="6"/>
      <c r="N368" s="6"/>
      <c r="O368" s="6"/>
      <c r="P368" s="6"/>
      <c r="Q368" s="6" t="s">
        <v>388</v>
      </c>
      <c r="R368" s="6" t="s">
        <v>388</v>
      </c>
      <c r="S368" s="6"/>
      <c r="T368" s="6"/>
      <c r="U368" s="6" t="s">
        <v>388</v>
      </c>
      <c r="V368" s="6"/>
      <c r="W368" s="6"/>
      <c r="X368" s="6"/>
      <c r="Y368" s="6"/>
      <c r="Z368" s="6"/>
      <c r="AA368" s="6"/>
      <c r="AB368" s="6"/>
      <c r="AC368" s="12"/>
      <c r="AD368" s="12"/>
      <c r="AE368" s="83">
        <v>3</v>
      </c>
      <c r="AF368" s="5" t="s">
        <v>389</v>
      </c>
      <c r="AG368" s="4" t="s">
        <v>1789</v>
      </c>
      <c r="AH368" s="1"/>
      <c r="AI368" s="4" t="s">
        <v>2272</v>
      </c>
      <c r="AJ368" s="4"/>
      <c r="AK368" s="2"/>
      <c r="AL368" s="387" t="s">
        <v>1691</v>
      </c>
      <c r="AM368" s="283"/>
      <c r="AN368" s="283"/>
      <c r="AO368" s="6" t="s">
        <v>388</v>
      </c>
      <c r="AP368" s="283"/>
    </row>
    <row r="369" spans="1:42" s="181" customFormat="1" ht="11.25" customHeight="1">
      <c r="A369" s="144" t="s">
        <v>69</v>
      </c>
      <c r="B369" s="2" t="s">
        <v>643</v>
      </c>
      <c r="C369" s="1" t="s">
        <v>70</v>
      </c>
      <c r="D369" s="4" t="s">
        <v>387</v>
      </c>
      <c r="E369" s="4" t="s">
        <v>624</v>
      </c>
      <c r="F369" s="4" t="s">
        <v>625</v>
      </c>
      <c r="G369" s="83">
        <v>3</v>
      </c>
      <c r="H369" s="6" t="s">
        <v>388</v>
      </c>
      <c r="I369" s="6"/>
      <c r="J369" s="6" t="s">
        <v>388</v>
      </c>
      <c r="K369" s="6"/>
      <c r="L369" s="6"/>
      <c r="M369" s="6" t="s">
        <v>388</v>
      </c>
      <c r="N369" s="6"/>
      <c r="O369" s="6" t="s">
        <v>388</v>
      </c>
      <c r="P369" s="6"/>
      <c r="Q369" s="6" t="s">
        <v>388</v>
      </c>
      <c r="R369" s="6"/>
      <c r="S369" s="6"/>
      <c r="T369" s="6"/>
      <c r="U369" s="6"/>
      <c r="V369" s="6"/>
      <c r="W369" s="6"/>
      <c r="X369" s="6"/>
      <c r="Y369" s="6"/>
      <c r="Z369" s="6"/>
      <c r="AA369" s="6"/>
      <c r="AB369" s="6"/>
      <c r="AC369" s="12" t="s">
        <v>388</v>
      </c>
      <c r="AD369" s="12"/>
      <c r="AE369" s="83">
        <v>3</v>
      </c>
      <c r="AF369" s="5" t="s">
        <v>641</v>
      </c>
      <c r="AG369" s="4" t="s">
        <v>1773</v>
      </c>
      <c r="AH369" s="2"/>
      <c r="AI369" s="34" t="s">
        <v>264</v>
      </c>
      <c r="AJ369" s="4"/>
      <c r="AK369" s="2"/>
      <c r="AL369" s="387" t="s">
        <v>1690</v>
      </c>
      <c r="AM369" s="5" t="s">
        <v>388</v>
      </c>
      <c r="AN369" s="281"/>
      <c r="AO369" s="5" t="s">
        <v>388</v>
      </c>
      <c r="AP369" s="281"/>
    </row>
    <row r="370" spans="1:42" s="181" customFormat="1" ht="11.25" customHeight="1">
      <c r="A370" s="17" t="s">
        <v>2115</v>
      </c>
      <c r="B370" s="1" t="s">
        <v>2116</v>
      </c>
      <c r="C370" s="1" t="s">
        <v>398</v>
      </c>
      <c r="D370" s="4" t="s">
        <v>387</v>
      </c>
      <c r="E370" s="4" t="s">
        <v>1869</v>
      </c>
      <c r="F370" s="4"/>
      <c r="G370" s="160">
        <v>3</v>
      </c>
      <c r="H370" s="6" t="s">
        <v>388</v>
      </c>
      <c r="I370" s="6"/>
      <c r="J370" s="6" t="s">
        <v>388</v>
      </c>
      <c r="K370" s="6" t="s">
        <v>388</v>
      </c>
      <c r="L370" s="6"/>
      <c r="M370" s="6"/>
      <c r="N370" s="6" t="s">
        <v>388</v>
      </c>
      <c r="O370" s="6"/>
      <c r="P370" s="6"/>
      <c r="Q370" s="6"/>
      <c r="R370" s="6" t="s">
        <v>388</v>
      </c>
      <c r="S370" s="6"/>
      <c r="T370" s="6"/>
      <c r="U370" s="6"/>
      <c r="V370" s="6"/>
      <c r="W370" s="6"/>
      <c r="X370" s="6"/>
      <c r="Y370" s="6"/>
      <c r="Z370" s="6"/>
      <c r="AA370" s="6"/>
      <c r="AB370" s="12"/>
      <c r="AC370" s="12"/>
      <c r="AD370" s="12"/>
      <c r="AE370" s="251">
        <v>3</v>
      </c>
      <c r="AF370" s="5" t="s">
        <v>394</v>
      </c>
      <c r="AG370" s="34" t="s">
        <v>2117</v>
      </c>
      <c r="AH370" s="1"/>
      <c r="AI370" s="143" t="s">
        <v>2118</v>
      </c>
      <c r="AJ370" s="4"/>
      <c r="AK370" s="2" t="s">
        <v>2119</v>
      </c>
      <c r="AL370" s="387" t="s">
        <v>1691</v>
      </c>
      <c r="AM370" s="453" t="s">
        <v>388</v>
      </c>
      <c r="AN370" s="284"/>
      <c r="AO370" s="284"/>
      <c r="AP370" s="284"/>
    </row>
    <row r="371" spans="1:42" s="181" customFormat="1" ht="11.25" customHeight="1">
      <c r="A371" s="144" t="s">
        <v>87</v>
      </c>
      <c r="B371" s="1" t="s">
        <v>255</v>
      </c>
      <c r="C371" s="1" t="s">
        <v>256</v>
      </c>
      <c r="D371" s="4" t="s">
        <v>387</v>
      </c>
      <c r="E371" s="4" t="s">
        <v>625</v>
      </c>
      <c r="F371" s="4"/>
      <c r="G371" s="83">
        <v>3</v>
      </c>
      <c r="H371" s="6" t="s">
        <v>388</v>
      </c>
      <c r="I371" s="6" t="s">
        <v>388</v>
      </c>
      <c r="J371" s="6"/>
      <c r="K371" s="6"/>
      <c r="L371" s="6" t="s">
        <v>388</v>
      </c>
      <c r="M371" s="6" t="s">
        <v>388</v>
      </c>
      <c r="N371" s="6"/>
      <c r="O371" s="6" t="s">
        <v>388</v>
      </c>
      <c r="P371" s="6"/>
      <c r="Q371" s="6" t="s">
        <v>388</v>
      </c>
      <c r="R371" s="6"/>
      <c r="S371" s="6"/>
      <c r="T371" s="6"/>
      <c r="U371" s="6" t="s">
        <v>388</v>
      </c>
      <c r="V371" s="6"/>
      <c r="W371" s="6"/>
      <c r="X371" s="6"/>
      <c r="Y371" s="6"/>
      <c r="Z371" s="6"/>
      <c r="AA371" s="6"/>
      <c r="AB371" s="6"/>
      <c r="AC371" s="12"/>
      <c r="AD371" s="12"/>
      <c r="AE371" s="83">
        <v>3</v>
      </c>
      <c r="AF371" s="5" t="s">
        <v>389</v>
      </c>
      <c r="AG371" s="4" t="s">
        <v>1787</v>
      </c>
      <c r="AH371" s="1"/>
      <c r="AI371" s="4" t="s">
        <v>257</v>
      </c>
      <c r="AJ371" s="4"/>
      <c r="AK371" s="2"/>
      <c r="AL371" s="387" t="s">
        <v>1690</v>
      </c>
      <c r="AM371" s="284"/>
      <c r="AN371" s="453" t="s">
        <v>388</v>
      </c>
      <c r="AO371" s="453" t="s">
        <v>388</v>
      </c>
      <c r="AP371" s="453"/>
    </row>
    <row r="372" spans="1:42" s="181" customFormat="1" ht="11.25" customHeight="1">
      <c r="A372" s="144" t="s">
        <v>87</v>
      </c>
      <c r="B372" s="2" t="s">
        <v>253</v>
      </c>
      <c r="C372" s="2" t="s">
        <v>254</v>
      </c>
      <c r="D372" s="34" t="s">
        <v>387</v>
      </c>
      <c r="E372" s="34" t="s">
        <v>625</v>
      </c>
      <c r="F372" s="34"/>
      <c r="G372" s="83">
        <v>3</v>
      </c>
      <c r="H372" s="6" t="s">
        <v>388</v>
      </c>
      <c r="I372" s="6"/>
      <c r="J372" s="6" t="s">
        <v>388</v>
      </c>
      <c r="K372" s="6"/>
      <c r="L372" s="6" t="s">
        <v>388</v>
      </c>
      <c r="M372" s="6"/>
      <c r="N372" s="6" t="s">
        <v>388</v>
      </c>
      <c r="O372" s="6"/>
      <c r="P372" s="6"/>
      <c r="Q372" s="6" t="s">
        <v>388</v>
      </c>
      <c r="R372" s="6"/>
      <c r="S372" s="6"/>
      <c r="T372" s="6"/>
      <c r="U372" s="6"/>
      <c r="V372" s="6"/>
      <c r="W372" s="6" t="s">
        <v>388</v>
      </c>
      <c r="X372" s="6"/>
      <c r="Y372" s="6"/>
      <c r="Z372" s="6"/>
      <c r="AA372" s="6"/>
      <c r="AB372" s="6"/>
      <c r="AC372" s="12"/>
      <c r="AD372" s="12"/>
      <c r="AE372" s="83">
        <v>3</v>
      </c>
      <c r="AF372" s="6" t="s">
        <v>389</v>
      </c>
      <c r="AG372" s="34" t="s">
        <v>1774</v>
      </c>
      <c r="AH372" s="2"/>
      <c r="AI372" s="34"/>
      <c r="AJ372" s="34"/>
      <c r="AK372" s="2"/>
      <c r="AL372" s="387" t="s">
        <v>1690</v>
      </c>
      <c r="AM372" s="381"/>
      <c r="AN372" s="452" t="s">
        <v>388</v>
      </c>
      <c r="AO372" s="452" t="s">
        <v>388</v>
      </c>
      <c r="AP372" s="381"/>
    </row>
    <row r="373" spans="1:42" s="480" customFormat="1" ht="11.25" customHeight="1">
      <c r="A373" s="144" t="s">
        <v>94</v>
      </c>
      <c r="B373" s="2" t="s">
        <v>95</v>
      </c>
      <c r="C373" s="3" t="s">
        <v>96</v>
      </c>
      <c r="D373" s="13" t="s">
        <v>387</v>
      </c>
      <c r="E373" s="13" t="s">
        <v>624</v>
      </c>
      <c r="F373" s="13" t="s">
        <v>625</v>
      </c>
      <c r="G373" s="83">
        <v>3</v>
      </c>
      <c r="H373" s="6" t="s">
        <v>388</v>
      </c>
      <c r="I373" s="6"/>
      <c r="J373" s="6" t="s">
        <v>388</v>
      </c>
      <c r="K373" s="6" t="s">
        <v>388</v>
      </c>
      <c r="L373" s="6"/>
      <c r="M373" s="6"/>
      <c r="N373" s="6" t="s">
        <v>388</v>
      </c>
      <c r="O373" s="6" t="s">
        <v>388</v>
      </c>
      <c r="P373" s="6" t="s">
        <v>388</v>
      </c>
      <c r="Q373" s="6" t="s">
        <v>388</v>
      </c>
      <c r="R373" s="6" t="s">
        <v>388</v>
      </c>
      <c r="S373" s="6" t="s">
        <v>388</v>
      </c>
      <c r="T373" s="6"/>
      <c r="U373" s="6"/>
      <c r="V373" s="6"/>
      <c r="W373" s="6"/>
      <c r="X373" s="6"/>
      <c r="Y373" s="6"/>
      <c r="Z373" s="6"/>
      <c r="AA373" s="6"/>
      <c r="AB373" s="6"/>
      <c r="AC373" s="12"/>
      <c r="AD373" s="12" t="s">
        <v>388</v>
      </c>
      <c r="AE373" s="83">
        <v>3</v>
      </c>
      <c r="AF373" s="5" t="s">
        <v>394</v>
      </c>
      <c r="AG373" s="4" t="s">
        <v>1775</v>
      </c>
      <c r="AH373" s="1"/>
      <c r="AI373" s="4" t="s">
        <v>1790</v>
      </c>
      <c r="AJ373" s="4"/>
      <c r="AK373" s="2"/>
      <c r="AL373" s="387" t="s">
        <v>1690</v>
      </c>
      <c r="AM373" s="285"/>
      <c r="AN373" s="285"/>
      <c r="AO373" s="376" t="s">
        <v>388</v>
      </c>
      <c r="AP373" s="376" t="s">
        <v>388</v>
      </c>
    </row>
    <row r="374" spans="1:42" s="181" customFormat="1" ht="11.25" customHeight="1">
      <c r="A374" s="144" t="s">
        <v>97</v>
      </c>
      <c r="B374" s="1" t="s">
        <v>2263</v>
      </c>
      <c r="C374" s="1" t="s">
        <v>259</v>
      </c>
      <c r="D374" s="4" t="s">
        <v>1150</v>
      </c>
      <c r="E374" s="4" t="s">
        <v>625</v>
      </c>
      <c r="F374" s="4"/>
      <c r="G374" s="83">
        <v>3</v>
      </c>
      <c r="H374" s="6" t="s">
        <v>388</v>
      </c>
      <c r="I374" s="6"/>
      <c r="J374" s="6" t="s">
        <v>388</v>
      </c>
      <c r="K374" s="6"/>
      <c r="L374" s="6"/>
      <c r="M374" s="6"/>
      <c r="N374" s="6"/>
      <c r="O374" s="6"/>
      <c r="P374" s="6" t="s">
        <v>388</v>
      </c>
      <c r="Q374" s="6" t="s">
        <v>388</v>
      </c>
      <c r="R374" s="6" t="s">
        <v>388</v>
      </c>
      <c r="S374" s="6" t="s">
        <v>388</v>
      </c>
      <c r="T374" s="6"/>
      <c r="U374" s="6"/>
      <c r="V374" s="6"/>
      <c r="W374" s="6"/>
      <c r="X374" s="6"/>
      <c r="Y374" s="6"/>
      <c r="Z374" s="6"/>
      <c r="AA374" s="6"/>
      <c r="AB374" s="6"/>
      <c r="AC374" s="12" t="s">
        <v>388</v>
      </c>
      <c r="AD374" s="12"/>
      <c r="AE374" s="83">
        <v>4</v>
      </c>
      <c r="AF374" s="5" t="s">
        <v>389</v>
      </c>
      <c r="AG374" s="4" t="s">
        <v>1786</v>
      </c>
      <c r="AH374" s="1"/>
      <c r="AI374" s="4" t="s">
        <v>2264</v>
      </c>
      <c r="AJ374" s="4"/>
      <c r="AK374" s="2"/>
      <c r="AL374" s="387" t="s">
        <v>1690</v>
      </c>
      <c r="AM374" s="285"/>
      <c r="AN374" s="285"/>
      <c r="AO374" s="376" t="s">
        <v>388</v>
      </c>
      <c r="AP374" s="376" t="s">
        <v>388</v>
      </c>
    </row>
    <row r="375" spans="1:42" s="480" customFormat="1" ht="11.25" customHeight="1">
      <c r="A375" s="144" t="s">
        <v>97</v>
      </c>
      <c r="B375" s="1" t="s">
        <v>98</v>
      </c>
      <c r="C375" s="1" t="s">
        <v>20</v>
      </c>
      <c r="D375" s="4" t="s">
        <v>387</v>
      </c>
      <c r="E375" s="4" t="s">
        <v>624</v>
      </c>
      <c r="F375" s="4" t="s">
        <v>625</v>
      </c>
      <c r="G375" s="83">
        <v>3</v>
      </c>
      <c r="H375" s="6" t="s">
        <v>388</v>
      </c>
      <c r="I375" s="6"/>
      <c r="J375" s="6" t="s">
        <v>388</v>
      </c>
      <c r="K375" s="6" t="s">
        <v>388</v>
      </c>
      <c r="L375" s="6"/>
      <c r="M375" s="6"/>
      <c r="N375" s="6" t="s">
        <v>388</v>
      </c>
      <c r="O375" s="6" t="s">
        <v>388</v>
      </c>
      <c r="P375" s="6" t="s">
        <v>388</v>
      </c>
      <c r="Q375" s="6" t="s">
        <v>388</v>
      </c>
      <c r="R375" s="6" t="s">
        <v>388</v>
      </c>
      <c r="S375" s="6" t="s">
        <v>388</v>
      </c>
      <c r="T375" s="6"/>
      <c r="U375" s="6"/>
      <c r="V375" s="6"/>
      <c r="W375" s="6"/>
      <c r="X375" s="6" t="s">
        <v>388</v>
      </c>
      <c r="Y375" s="6"/>
      <c r="Z375" s="6" t="s">
        <v>388</v>
      </c>
      <c r="AA375" s="6"/>
      <c r="AB375" s="6"/>
      <c r="AC375" s="12"/>
      <c r="AD375" s="12"/>
      <c r="AE375" s="83">
        <v>3</v>
      </c>
      <c r="AF375" s="5" t="s">
        <v>394</v>
      </c>
      <c r="AG375" s="4" t="s">
        <v>1776</v>
      </c>
      <c r="AH375" s="1"/>
      <c r="AI375" s="4"/>
      <c r="AJ375" s="4"/>
      <c r="AK375" s="2"/>
      <c r="AL375" s="387" t="s">
        <v>1690</v>
      </c>
      <c r="AM375" s="376" t="s">
        <v>388</v>
      </c>
      <c r="AN375" s="285"/>
      <c r="AO375" s="376" t="s">
        <v>388</v>
      </c>
      <c r="AP375" s="376" t="s">
        <v>388</v>
      </c>
    </row>
    <row r="376" spans="1:42" s="181" customFormat="1" ht="11.25" customHeight="1">
      <c r="A376" s="144" t="s">
        <v>99</v>
      </c>
      <c r="B376" s="2" t="s">
        <v>103</v>
      </c>
      <c r="C376" s="1" t="s">
        <v>104</v>
      </c>
      <c r="D376" s="4" t="s">
        <v>387</v>
      </c>
      <c r="E376" s="4" t="s">
        <v>624</v>
      </c>
      <c r="F376" s="4" t="s">
        <v>625</v>
      </c>
      <c r="G376" s="83">
        <v>3</v>
      </c>
      <c r="H376" s="6"/>
      <c r="I376" s="6"/>
      <c r="J376" s="6"/>
      <c r="K376" s="6"/>
      <c r="L376" s="6"/>
      <c r="M376" s="6" t="s">
        <v>388</v>
      </c>
      <c r="N376" s="6"/>
      <c r="O376" s="6"/>
      <c r="P376" s="6"/>
      <c r="Q376" s="6"/>
      <c r="R376" s="6"/>
      <c r="S376" s="6"/>
      <c r="T376" s="6" t="s">
        <v>388</v>
      </c>
      <c r="U376" s="6"/>
      <c r="V376" s="6"/>
      <c r="W376" s="6"/>
      <c r="X376" s="6"/>
      <c r="Y376" s="6"/>
      <c r="Z376" s="6"/>
      <c r="AA376" s="6" t="s">
        <v>388</v>
      </c>
      <c r="AB376" s="6"/>
      <c r="AC376" s="12"/>
      <c r="AD376" s="12"/>
      <c r="AE376" s="83">
        <v>3</v>
      </c>
      <c r="AF376" s="5" t="s">
        <v>394</v>
      </c>
      <c r="AG376" s="34" t="s">
        <v>1983</v>
      </c>
      <c r="AH376" s="1"/>
      <c r="AI376" s="4"/>
      <c r="AJ376" s="4"/>
      <c r="AK376" s="2"/>
      <c r="AL376" s="387" t="s">
        <v>1690</v>
      </c>
      <c r="AM376" s="285"/>
      <c r="AN376" s="376" t="s">
        <v>388</v>
      </c>
      <c r="AO376" s="376" t="s">
        <v>388</v>
      </c>
      <c r="AP376" s="376" t="s">
        <v>388</v>
      </c>
    </row>
    <row r="377" spans="1:42" s="181" customFormat="1" ht="11.25" customHeight="1">
      <c r="A377" s="144" t="s">
        <v>1669</v>
      </c>
      <c r="B377" s="1" t="s">
        <v>263</v>
      </c>
      <c r="C377" s="1" t="s">
        <v>396</v>
      </c>
      <c r="D377" s="4" t="s">
        <v>387</v>
      </c>
      <c r="E377" s="4" t="s">
        <v>625</v>
      </c>
      <c r="F377" s="4" t="s">
        <v>625</v>
      </c>
      <c r="G377" s="83">
        <v>3</v>
      </c>
      <c r="H377" s="6" t="s">
        <v>388</v>
      </c>
      <c r="I377" s="6" t="s">
        <v>388</v>
      </c>
      <c r="J377" s="6" t="s">
        <v>388</v>
      </c>
      <c r="K377" s="6"/>
      <c r="L377" s="6"/>
      <c r="M377" s="6"/>
      <c r="N377" s="6" t="s">
        <v>388</v>
      </c>
      <c r="O377" s="6"/>
      <c r="P377" s="6"/>
      <c r="Q377" s="6" t="s">
        <v>388</v>
      </c>
      <c r="R377" s="6"/>
      <c r="S377" s="6"/>
      <c r="T377" s="6"/>
      <c r="U377" s="6"/>
      <c r="V377" s="6"/>
      <c r="W377" s="6"/>
      <c r="X377" s="6"/>
      <c r="Y377" s="6"/>
      <c r="Z377" s="6"/>
      <c r="AA377" s="6"/>
      <c r="AB377" s="6"/>
      <c r="AC377" s="12" t="s">
        <v>388</v>
      </c>
      <c r="AD377" s="12"/>
      <c r="AE377" s="83">
        <v>3</v>
      </c>
      <c r="AF377" s="5" t="s">
        <v>389</v>
      </c>
      <c r="AG377" s="4" t="s">
        <v>1777</v>
      </c>
      <c r="AH377" s="1"/>
      <c r="AI377" s="4" t="s">
        <v>264</v>
      </c>
      <c r="AJ377" s="4"/>
      <c r="AK377" s="2"/>
      <c r="AL377" s="387" t="s">
        <v>1690</v>
      </c>
      <c r="AM377" s="376" t="s">
        <v>388</v>
      </c>
      <c r="AN377" s="285"/>
      <c r="AO377" s="285"/>
      <c r="AP377" s="285"/>
    </row>
    <row r="378" spans="1:42" s="181" customFormat="1" ht="11.25" customHeight="1">
      <c r="A378" s="17" t="s">
        <v>105</v>
      </c>
      <c r="B378" s="2" t="s">
        <v>1920</v>
      </c>
      <c r="C378" s="2" t="s">
        <v>1918</v>
      </c>
      <c r="D378" s="2" t="s">
        <v>387</v>
      </c>
      <c r="E378" s="34" t="s">
        <v>1869</v>
      </c>
      <c r="F378" s="1"/>
      <c r="G378" s="83">
        <v>3</v>
      </c>
      <c r="H378" s="6"/>
      <c r="I378" s="6" t="s">
        <v>388</v>
      </c>
      <c r="J378" s="6" t="s">
        <v>388</v>
      </c>
      <c r="K378" s="6"/>
      <c r="L378" s="6"/>
      <c r="M378" s="6" t="s">
        <v>388</v>
      </c>
      <c r="N378" s="6"/>
      <c r="O378" s="6"/>
      <c r="P378" s="6"/>
      <c r="Q378" s="6"/>
      <c r="R378" s="6"/>
      <c r="S378" s="6"/>
      <c r="T378" s="6" t="s">
        <v>388</v>
      </c>
      <c r="U378" s="6" t="s">
        <v>388</v>
      </c>
      <c r="V378" s="6"/>
      <c r="W378" s="6"/>
      <c r="X378" s="6"/>
      <c r="Y378" s="6" t="s">
        <v>388</v>
      </c>
      <c r="Z378" s="6"/>
      <c r="AA378" s="6" t="s">
        <v>388</v>
      </c>
      <c r="AB378" s="151" t="s">
        <v>388</v>
      </c>
      <c r="AC378" s="12" t="s">
        <v>388</v>
      </c>
      <c r="AD378" s="12" t="s">
        <v>388</v>
      </c>
      <c r="AE378" s="251">
        <v>3</v>
      </c>
      <c r="AF378" s="5" t="s">
        <v>394</v>
      </c>
      <c r="AG378" s="4" t="s">
        <v>1919</v>
      </c>
      <c r="AH378" s="1"/>
      <c r="AI378" s="143" t="s">
        <v>1921</v>
      </c>
      <c r="AJ378" s="4"/>
      <c r="AK378" s="1"/>
      <c r="AL378" s="388" t="s">
        <v>1690</v>
      </c>
      <c r="AM378" s="285"/>
      <c r="AN378" s="376" t="s">
        <v>388</v>
      </c>
      <c r="AO378" s="376" t="s">
        <v>388</v>
      </c>
      <c r="AP378" s="376" t="s">
        <v>388</v>
      </c>
    </row>
    <row r="379" spans="1:42" s="181" customFormat="1" ht="11.25" customHeight="1">
      <c r="A379" s="144" t="s">
        <v>114</v>
      </c>
      <c r="B379" s="1" t="s">
        <v>115</v>
      </c>
      <c r="C379" s="1" t="s">
        <v>116</v>
      </c>
      <c r="D379" s="4" t="s">
        <v>1150</v>
      </c>
      <c r="E379" s="4" t="s">
        <v>624</v>
      </c>
      <c r="F379" s="4" t="s">
        <v>625</v>
      </c>
      <c r="G379" s="83">
        <v>3</v>
      </c>
      <c r="H379" s="6" t="s">
        <v>388</v>
      </c>
      <c r="I379" s="6" t="s">
        <v>388</v>
      </c>
      <c r="J379" s="6"/>
      <c r="K379" s="6"/>
      <c r="L379" s="6"/>
      <c r="M379" s="6"/>
      <c r="N379" s="6"/>
      <c r="O379" s="6" t="s">
        <v>388</v>
      </c>
      <c r="P379" s="6" t="s">
        <v>388</v>
      </c>
      <c r="Q379" s="6" t="s">
        <v>388</v>
      </c>
      <c r="R379" s="6" t="s">
        <v>388</v>
      </c>
      <c r="S379" s="6" t="s">
        <v>388</v>
      </c>
      <c r="T379" s="6"/>
      <c r="U379" s="6"/>
      <c r="V379" s="6" t="s">
        <v>388</v>
      </c>
      <c r="W379" s="6" t="s">
        <v>388</v>
      </c>
      <c r="X379" s="6"/>
      <c r="Y379" s="6"/>
      <c r="Z379" s="6"/>
      <c r="AA379" s="6"/>
      <c r="AB379" s="6"/>
      <c r="AC379" s="12" t="s">
        <v>388</v>
      </c>
      <c r="AD379" s="12"/>
      <c r="AE379" s="83">
        <v>3</v>
      </c>
      <c r="AF379" s="5" t="s">
        <v>394</v>
      </c>
      <c r="AG379" s="4" t="s">
        <v>1809</v>
      </c>
      <c r="AH379" s="1"/>
      <c r="AI379" s="4" t="s">
        <v>1808</v>
      </c>
      <c r="AJ379" s="4"/>
      <c r="AK379" s="2"/>
      <c r="AL379" s="387" t="s">
        <v>1690</v>
      </c>
      <c r="AM379" s="285"/>
      <c r="AN379" s="285"/>
      <c r="AO379" s="376" t="s">
        <v>388</v>
      </c>
      <c r="AP379" s="376" t="s">
        <v>388</v>
      </c>
    </row>
    <row r="380" spans="1:42" s="181" customFormat="1" ht="11.25" customHeight="1">
      <c r="A380" s="144" t="s">
        <v>114</v>
      </c>
      <c r="B380" s="1" t="s">
        <v>118</v>
      </c>
      <c r="C380" s="1" t="s">
        <v>119</v>
      </c>
      <c r="D380" s="4" t="s">
        <v>387</v>
      </c>
      <c r="E380" s="4" t="s">
        <v>624</v>
      </c>
      <c r="F380" s="4" t="s">
        <v>625</v>
      </c>
      <c r="G380" s="83">
        <v>3</v>
      </c>
      <c r="H380" s="6" t="s">
        <v>388</v>
      </c>
      <c r="I380" s="6"/>
      <c r="J380" s="6"/>
      <c r="K380" s="6"/>
      <c r="L380" s="6"/>
      <c r="M380" s="6"/>
      <c r="N380" s="6" t="s">
        <v>388</v>
      </c>
      <c r="O380" s="6"/>
      <c r="P380" s="6" t="s">
        <v>388</v>
      </c>
      <c r="Q380" s="6" t="s">
        <v>388</v>
      </c>
      <c r="R380" s="6" t="s">
        <v>388</v>
      </c>
      <c r="S380" s="6" t="s">
        <v>388</v>
      </c>
      <c r="T380" s="6"/>
      <c r="U380" s="6"/>
      <c r="V380" s="6"/>
      <c r="W380" s="6"/>
      <c r="X380" s="6"/>
      <c r="Y380" s="6"/>
      <c r="Z380" s="6"/>
      <c r="AA380" s="6"/>
      <c r="AB380" s="6"/>
      <c r="AC380" s="12" t="s">
        <v>388</v>
      </c>
      <c r="AD380" s="12" t="s">
        <v>388</v>
      </c>
      <c r="AE380" s="83">
        <v>3</v>
      </c>
      <c r="AF380" s="5" t="s">
        <v>394</v>
      </c>
      <c r="AG380" s="4" t="s">
        <v>1785</v>
      </c>
      <c r="AH380" s="1"/>
      <c r="AI380" s="4"/>
      <c r="AJ380" s="4"/>
      <c r="AK380" s="2"/>
      <c r="AL380" s="387" t="s">
        <v>1690</v>
      </c>
      <c r="AM380" s="376" t="s">
        <v>388</v>
      </c>
      <c r="AN380" s="285"/>
      <c r="AO380" s="376" t="s">
        <v>388</v>
      </c>
      <c r="AP380" s="376" t="s">
        <v>388</v>
      </c>
    </row>
    <row r="381" spans="1:42" s="181" customFormat="1" ht="11.25" customHeight="1">
      <c r="A381" s="144" t="s">
        <v>282</v>
      </c>
      <c r="B381" s="2" t="s">
        <v>283</v>
      </c>
      <c r="C381" s="1" t="s">
        <v>2175</v>
      </c>
      <c r="D381" s="4" t="s">
        <v>387</v>
      </c>
      <c r="E381" s="4" t="s">
        <v>625</v>
      </c>
      <c r="F381" s="4"/>
      <c r="G381" s="83">
        <v>3</v>
      </c>
      <c r="H381" s="6" t="s">
        <v>388</v>
      </c>
      <c r="I381" s="6" t="s">
        <v>388</v>
      </c>
      <c r="J381" s="6" t="s">
        <v>388</v>
      </c>
      <c r="K381" s="6" t="s">
        <v>388</v>
      </c>
      <c r="L381" s="6"/>
      <c r="M381" s="6" t="s">
        <v>388</v>
      </c>
      <c r="N381" s="6"/>
      <c r="O381" s="6"/>
      <c r="P381" s="6" t="s">
        <v>388</v>
      </c>
      <c r="Q381" s="6" t="s">
        <v>388</v>
      </c>
      <c r="R381" s="6" t="s">
        <v>388</v>
      </c>
      <c r="S381" s="6"/>
      <c r="T381" s="6"/>
      <c r="U381" s="6"/>
      <c r="V381" s="6"/>
      <c r="W381" s="6"/>
      <c r="X381" s="6"/>
      <c r="Y381" s="6"/>
      <c r="Z381" s="6"/>
      <c r="AA381" s="6"/>
      <c r="AB381" s="6"/>
      <c r="AC381" s="12"/>
      <c r="AD381" s="12"/>
      <c r="AE381" s="83">
        <v>3</v>
      </c>
      <c r="AF381" s="5" t="s">
        <v>389</v>
      </c>
      <c r="AG381" s="4" t="s">
        <v>1779</v>
      </c>
      <c r="AH381" s="1"/>
      <c r="AI381" s="4" t="s">
        <v>675</v>
      </c>
      <c r="AJ381" s="4"/>
      <c r="AK381" s="2"/>
      <c r="AL381" s="387" t="s">
        <v>1690</v>
      </c>
      <c r="AM381" s="285"/>
      <c r="AN381" s="285"/>
      <c r="AO381" s="376" t="s">
        <v>388</v>
      </c>
      <c r="AP381" s="376" t="s">
        <v>388</v>
      </c>
    </row>
    <row r="382" spans="1:42" s="181" customFormat="1" ht="11.25" customHeight="1">
      <c r="A382" s="144" t="s">
        <v>127</v>
      </c>
      <c r="B382" s="1" t="s">
        <v>128</v>
      </c>
      <c r="C382" s="1" t="s">
        <v>129</v>
      </c>
      <c r="D382" s="4" t="s">
        <v>387</v>
      </c>
      <c r="E382" s="4" t="s">
        <v>624</v>
      </c>
      <c r="F382" s="4" t="s">
        <v>625</v>
      </c>
      <c r="G382" s="83">
        <v>3</v>
      </c>
      <c r="H382" s="6"/>
      <c r="I382" s="6"/>
      <c r="J382" s="6"/>
      <c r="K382" s="6"/>
      <c r="L382" s="6"/>
      <c r="M382" s="6"/>
      <c r="N382" s="6"/>
      <c r="O382" s="6"/>
      <c r="P382" s="6"/>
      <c r="Q382" s="6"/>
      <c r="R382" s="6"/>
      <c r="S382" s="6"/>
      <c r="T382" s="6" t="s">
        <v>388</v>
      </c>
      <c r="U382" s="6"/>
      <c r="V382" s="6"/>
      <c r="W382" s="6"/>
      <c r="X382" s="6"/>
      <c r="Y382" s="6" t="s">
        <v>388</v>
      </c>
      <c r="Z382" s="6" t="s">
        <v>388</v>
      </c>
      <c r="AA382" s="6" t="s">
        <v>388</v>
      </c>
      <c r="AB382" s="6" t="s">
        <v>388</v>
      </c>
      <c r="AC382" s="12" t="s">
        <v>388</v>
      </c>
      <c r="AD382" s="12" t="s">
        <v>388</v>
      </c>
      <c r="AE382" s="83" t="s">
        <v>130</v>
      </c>
      <c r="AF382" s="5" t="s">
        <v>394</v>
      </c>
      <c r="AG382" s="34" t="s">
        <v>1911</v>
      </c>
      <c r="AH382" s="1"/>
      <c r="AI382" s="4"/>
      <c r="AJ382" s="4"/>
      <c r="AK382" s="2"/>
      <c r="AL382" s="387" t="s">
        <v>1690</v>
      </c>
      <c r="AM382" s="285"/>
      <c r="AN382" s="285"/>
      <c r="AO382" s="376" t="s">
        <v>388</v>
      </c>
      <c r="AP382" s="376" t="s">
        <v>388</v>
      </c>
    </row>
    <row r="383" spans="1:42" s="480" customFormat="1" ht="11.25" customHeight="1">
      <c r="A383" s="144" t="s">
        <v>285</v>
      </c>
      <c r="B383" s="2" t="s">
        <v>286</v>
      </c>
      <c r="C383" s="1" t="s">
        <v>287</v>
      </c>
      <c r="D383" s="4" t="s">
        <v>387</v>
      </c>
      <c r="E383" s="4" t="s">
        <v>625</v>
      </c>
      <c r="F383" s="4"/>
      <c r="G383" s="83">
        <v>3</v>
      </c>
      <c r="H383" s="6" t="s">
        <v>388</v>
      </c>
      <c r="I383" s="6"/>
      <c r="J383" s="6"/>
      <c r="K383" s="6"/>
      <c r="L383" s="6"/>
      <c r="M383" s="6" t="s">
        <v>388</v>
      </c>
      <c r="N383" s="6"/>
      <c r="O383" s="6"/>
      <c r="P383" s="6" t="s">
        <v>388</v>
      </c>
      <c r="Q383" s="6"/>
      <c r="R383" s="6"/>
      <c r="S383" s="6"/>
      <c r="T383" s="6"/>
      <c r="U383" s="6" t="s">
        <v>388</v>
      </c>
      <c r="V383" s="6"/>
      <c r="W383" s="6"/>
      <c r="X383" s="6"/>
      <c r="Y383" s="6"/>
      <c r="Z383" s="6"/>
      <c r="AA383" s="6"/>
      <c r="AB383" s="6"/>
      <c r="AC383" s="12"/>
      <c r="AD383" s="12"/>
      <c r="AE383" s="83">
        <v>3</v>
      </c>
      <c r="AF383" s="5" t="s">
        <v>389</v>
      </c>
      <c r="AG383" s="4" t="s">
        <v>1807</v>
      </c>
      <c r="AH383" s="1"/>
      <c r="AI383" s="4" t="s">
        <v>288</v>
      </c>
      <c r="AJ383" s="4"/>
      <c r="AK383" s="2"/>
      <c r="AL383" s="387" t="s">
        <v>1690</v>
      </c>
      <c r="AM383" s="376" t="s">
        <v>388</v>
      </c>
      <c r="AN383" s="285"/>
      <c r="AO383" s="376" t="s">
        <v>388</v>
      </c>
      <c r="AP383" s="376" t="s">
        <v>388</v>
      </c>
    </row>
    <row r="384" spans="1:42" s="181" customFormat="1" ht="11.25" customHeight="1">
      <c r="A384" s="144" t="s">
        <v>134</v>
      </c>
      <c r="B384" s="2" t="s">
        <v>292</v>
      </c>
      <c r="C384" s="9" t="s">
        <v>293</v>
      </c>
      <c r="D384" s="35" t="s">
        <v>387</v>
      </c>
      <c r="E384" s="35" t="s">
        <v>625</v>
      </c>
      <c r="F384" s="35"/>
      <c r="G384" s="83">
        <v>3</v>
      </c>
      <c r="H384" s="6" t="s">
        <v>388</v>
      </c>
      <c r="I384" s="6"/>
      <c r="J384" s="6" t="s">
        <v>388</v>
      </c>
      <c r="K384" s="6"/>
      <c r="L384" s="6"/>
      <c r="M384" s="6" t="s">
        <v>388</v>
      </c>
      <c r="N384" s="6" t="s">
        <v>388</v>
      </c>
      <c r="O384" s="6"/>
      <c r="P384" s="6"/>
      <c r="Q384" s="6" t="s">
        <v>388</v>
      </c>
      <c r="R384" s="6"/>
      <c r="S384" s="6"/>
      <c r="T384" s="6" t="s">
        <v>388</v>
      </c>
      <c r="U384" s="6" t="s">
        <v>388</v>
      </c>
      <c r="V384" s="6"/>
      <c r="W384" s="6"/>
      <c r="X384" s="6"/>
      <c r="Y384" s="6"/>
      <c r="Z384" s="6"/>
      <c r="AA384" s="6"/>
      <c r="AB384" s="6"/>
      <c r="AC384" s="12"/>
      <c r="AD384" s="12"/>
      <c r="AE384" s="83">
        <v>3</v>
      </c>
      <c r="AF384" s="5" t="s">
        <v>389</v>
      </c>
      <c r="AG384" s="4" t="s">
        <v>1784</v>
      </c>
      <c r="AH384" s="1"/>
      <c r="AI384" s="4" t="s">
        <v>294</v>
      </c>
      <c r="AJ384" s="4"/>
      <c r="AK384" s="2"/>
      <c r="AL384" s="387" t="s">
        <v>1690</v>
      </c>
      <c r="AM384" s="285"/>
      <c r="AN384" s="285"/>
      <c r="AO384" s="285"/>
      <c r="AP384" s="285"/>
    </row>
    <row r="385" spans="1:42" s="181" customFormat="1" ht="11.25" customHeight="1">
      <c r="A385" s="144" t="s">
        <v>134</v>
      </c>
      <c r="B385" s="1" t="s">
        <v>135</v>
      </c>
      <c r="C385" s="1" t="s">
        <v>136</v>
      </c>
      <c r="D385" s="4" t="s">
        <v>387</v>
      </c>
      <c r="E385" s="4" t="s">
        <v>624</v>
      </c>
      <c r="F385" s="4" t="s">
        <v>625</v>
      </c>
      <c r="G385" s="83">
        <v>3</v>
      </c>
      <c r="H385" s="6"/>
      <c r="I385" s="6" t="s">
        <v>388</v>
      </c>
      <c r="J385" s="6" t="s">
        <v>388</v>
      </c>
      <c r="K385" s="6"/>
      <c r="L385" s="6"/>
      <c r="M385" s="6" t="s">
        <v>388</v>
      </c>
      <c r="N385" s="6" t="s">
        <v>388</v>
      </c>
      <c r="O385" s="6"/>
      <c r="P385" s="6"/>
      <c r="Q385" s="6"/>
      <c r="R385" s="6"/>
      <c r="S385" s="6"/>
      <c r="T385" s="6" t="s">
        <v>388</v>
      </c>
      <c r="U385" s="6"/>
      <c r="V385" s="6"/>
      <c r="W385" s="6"/>
      <c r="X385" s="6"/>
      <c r="Y385" s="6"/>
      <c r="Z385" s="6" t="s">
        <v>388</v>
      </c>
      <c r="AA385" s="6" t="s">
        <v>388</v>
      </c>
      <c r="AB385" s="6"/>
      <c r="AC385" s="12"/>
      <c r="AD385" s="12"/>
      <c r="AE385" s="83">
        <v>3</v>
      </c>
      <c r="AF385" s="5" t="s">
        <v>394</v>
      </c>
      <c r="AG385" s="4" t="s">
        <v>1806</v>
      </c>
      <c r="AH385" s="1"/>
      <c r="AI385" s="4"/>
      <c r="AJ385" s="4"/>
      <c r="AK385" s="2"/>
      <c r="AL385" s="387" t="s">
        <v>1690</v>
      </c>
      <c r="AM385" s="376"/>
      <c r="AN385" s="376" t="s">
        <v>388</v>
      </c>
      <c r="AO385" s="376" t="s">
        <v>388</v>
      </c>
      <c r="AP385" s="285"/>
    </row>
    <row r="386" spans="1:42" s="181" customFormat="1" ht="11.25" customHeight="1">
      <c r="A386" s="17" t="s">
        <v>2237</v>
      </c>
      <c r="B386" s="1" t="s">
        <v>2238</v>
      </c>
      <c r="C386" s="1" t="s">
        <v>2239</v>
      </c>
      <c r="D386" s="4" t="s">
        <v>387</v>
      </c>
      <c r="E386" s="4" t="s">
        <v>1869</v>
      </c>
      <c r="F386" s="4"/>
      <c r="G386" s="83">
        <v>3</v>
      </c>
      <c r="H386" s="6" t="s">
        <v>388</v>
      </c>
      <c r="I386" s="6"/>
      <c r="J386" s="6"/>
      <c r="K386" s="6"/>
      <c r="L386" s="6"/>
      <c r="M386" s="6" t="s">
        <v>388</v>
      </c>
      <c r="N386" s="6"/>
      <c r="O386" s="6"/>
      <c r="P386" s="6"/>
      <c r="Q386" s="6"/>
      <c r="R386" s="6"/>
      <c r="S386" s="6"/>
      <c r="T386" s="6" t="s">
        <v>388</v>
      </c>
      <c r="U386" s="6" t="s">
        <v>388</v>
      </c>
      <c r="V386" s="6"/>
      <c r="W386" s="6"/>
      <c r="X386" s="6"/>
      <c r="Y386" s="6"/>
      <c r="Z386" s="6" t="s">
        <v>388</v>
      </c>
      <c r="AA386" s="6" t="s">
        <v>388</v>
      </c>
      <c r="AB386" s="12"/>
      <c r="AC386" s="12"/>
      <c r="AD386" s="12"/>
      <c r="AE386" s="251">
        <v>3</v>
      </c>
      <c r="AF386" s="5" t="s">
        <v>389</v>
      </c>
      <c r="AG386" s="4" t="s">
        <v>2240</v>
      </c>
      <c r="AH386" s="1"/>
      <c r="AI386" s="143"/>
      <c r="AJ386" s="4"/>
      <c r="AK386" s="2"/>
      <c r="AL386" s="387" t="s">
        <v>1690</v>
      </c>
      <c r="AM386" s="376"/>
      <c r="AN386" s="376"/>
      <c r="AO386" s="376" t="s">
        <v>388</v>
      </c>
      <c r="AP386" s="376" t="s">
        <v>388</v>
      </c>
    </row>
    <row r="387" spans="1:42" s="181" customFormat="1" ht="11.25" customHeight="1">
      <c r="A387" s="144" t="s">
        <v>137</v>
      </c>
      <c r="B387" s="1" t="s">
        <v>138</v>
      </c>
      <c r="C387" s="1" t="s">
        <v>2301</v>
      </c>
      <c r="D387" s="4" t="s">
        <v>387</v>
      </c>
      <c r="E387" s="4" t="s">
        <v>624</v>
      </c>
      <c r="F387" s="4" t="s">
        <v>625</v>
      </c>
      <c r="G387" s="83">
        <v>3</v>
      </c>
      <c r="H387" s="6" t="s">
        <v>388</v>
      </c>
      <c r="I387" s="6"/>
      <c r="J387" s="6"/>
      <c r="K387" s="6"/>
      <c r="L387" s="6"/>
      <c r="M387" s="6" t="s">
        <v>388</v>
      </c>
      <c r="N387" s="6" t="s">
        <v>388</v>
      </c>
      <c r="O387" s="6"/>
      <c r="P387" s="6" t="s">
        <v>388</v>
      </c>
      <c r="Q387" s="6"/>
      <c r="R387" s="6"/>
      <c r="S387" s="6"/>
      <c r="T387" s="6" t="s">
        <v>388</v>
      </c>
      <c r="U387" s="6"/>
      <c r="V387" s="6"/>
      <c r="W387" s="6" t="s">
        <v>388</v>
      </c>
      <c r="X387" s="6"/>
      <c r="Y387" s="6"/>
      <c r="Z387" s="6" t="s">
        <v>388</v>
      </c>
      <c r="AA387" s="6" t="s">
        <v>388</v>
      </c>
      <c r="AB387" s="6" t="s">
        <v>388</v>
      </c>
      <c r="AC387" s="12"/>
      <c r="AD387" s="12" t="s">
        <v>388</v>
      </c>
      <c r="AE387" s="83">
        <v>3</v>
      </c>
      <c r="AF387" s="5" t="s">
        <v>394</v>
      </c>
      <c r="AG387" s="4" t="s">
        <v>1805</v>
      </c>
      <c r="AH387" s="1"/>
      <c r="AI387" s="4"/>
      <c r="AJ387" s="4"/>
      <c r="AK387" s="2"/>
      <c r="AL387" s="387" t="s">
        <v>1690</v>
      </c>
      <c r="AM387" s="376" t="s">
        <v>388</v>
      </c>
      <c r="AN387" s="285"/>
      <c r="AO387" s="376" t="s">
        <v>388</v>
      </c>
      <c r="AP387" s="376" t="s">
        <v>388</v>
      </c>
    </row>
    <row r="388" spans="1:42" s="181" customFormat="1" ht="11.25" customHeight="1">
      <c r="A388" s="144" t="s">
        <v>1655</v>
      </c>
      <c r="B388" s="2" t="s">
        <v>416</v>
      </c>
      <c r="C388" s="2" t="s">
        <v>417</v>
      </c>
      <c r="D388" s="34" t="s">
        <v>387</v>
      </c>
      <c r="E388" s="34" t="s">
        <v>626</v>
      </c>
      <c r="F388" s="34"/>
      <c r="G388" s="83">
        <v>3</v>
      </c>
      <c r="H388" s="6" t="s">
        <v>388</v>
      </c>
      <c r="I388" s="6"/>
      <c r="J388" s="6" t="s">
        <v>388</v>
      </c>
      <c r="K388" s="6" t="s">
        <v>388</v>
      </c>
      <c r="L388" s="6"/>
      <c r="M388" s="6"/>
      <c r="N388" s="6"/>
      <c r="O388" s="6"/>
      <c r="P388" s="6"/>
      <c r="Q388" s="6" t="s">
        <v>388</v>
      </c>
      <c r="R388" s="6" t="s">
        <v>388</v>
      </c>
      <c r="S388" s="6"/>
      <c r="T388" s="6"/>
      <c r="U388" s="6" t="s">
        <v>388</v>
      </c>
      <c r="V388" s="6"/>
      <c r="W388" s="6"/>
      <c r="X388" s="6"/>
      <c r="Y388" s="6"/>
      <c r="Z388" s="6"/>
      <c r="AA388" s="6"/>
      <c r="AB388" s="6"/>
      <c r="AC388" s="12"/>
      <c r="AD388" s="12"/>
      <c r="AE388" s="83"/>
      <c r="AF388" s="6" t="s">
        <v>389</v>
      </c>
      <c r="AG388" s="34" t="s">
        <v>612</v>
      </c>
      <c r="AH388" s="2"/>
      <c r="AI388" s="34"/>
      <c r="AJ388" s="34"/>
      <c r="AK388" s="2" t="s">
        <v>2135</v>
      </c>
      <c r="AL388" s="387" t="s">
        <v>1691</v>
      </c>
      <c r="AM388" s="5" t="s">
        <v>388</v>
      </c>
      <c r="AN388" s="281"/>
      <c r="AO388" s="5" t="s">
        <v>388</v>
      </c>
      <c r="AP388" s="281"/>
    </row>
    <row r="389" spans="1:42" s="181" customFormat="1" ht="11.25" customHeight="1">
      <c r="A389" s="19" t="s">
        <v>2045</v>
      </c>
      <c r="B389" s="1" t="s">
        <v>2242</v>
      </c>
      <c r="C389" s="1" t="s">
        <v>314</v>
      </c>
      <c r="D389" s="4" t="s">
        <v>387</v>
      </c>
      <c r="E389" s="4" t="s">
        <v>625</v>
      </c>
      <c r="F389" s="4"/>
      <c r="G389" s="83">
        <v>3</v>
      </c>
      <c r="H389" s="6" t="s">
        <v>388</v>
      </c>
      <c r="I389" s="6"/>
      <c r="J389" s="6" t="s">
        <v>388</v>
      </c>
      <c r="K389" s="6" t="s">
        <v>388</v>
      </c>
      <c r="L389" s="6"/>
      <c r="M389" s="6"/>
      <c r="N389" s="6"/>
      <c r="O389" s="6"/>
      <c r="P389" s="6" t="s">
        <v>388</v>
      </c>
      <c r="Q389" s="6"/>
      <c r="R389" s="6" t="s">
        <v>388</v>
      </c>
      <c r="S389" s="6" t="s">
        <v>388</v>
      </c>
      <c r="T389" s="6"/>
      <c r="U389" s="6"/>
      <c r="V389" s="6"/>
      <c r="W389" s="6"/>
      <c r="X389" s="6"/>
      <c r="Y389" s="6"/>
      <c r="Z389" s="6"/>
      <c r="AA389" s="6"/>
      <c r="AB389" s="6"/>
      <c r="AC389" s="12" t="s">
        <v>388</v>
      </c>
      <c r="AD389" s="12"/>
      <c r="AE389" s="83">
        <v>3</v>
      </c>
      <c r="AF389" s="5" t="s">
        <v>389</v>
      </c>
      <c r="AG389" s="4" t="s">
        <v>1801</v>
      </c>
      <c r="AH389" s="1"/>
      <c r="AI389" s="4" t="s">
        <v>315</v>
      </c>
      <c r="AJ389" s="4"/>
      <c r="AK389" s="2"/>
      <c r="AL389" s="387" t="s">
        <v>1690</v>
      </c>
      <c r="AM389" s="376" t="s">
        <v>388</v>
      </c>
      <c r="AN389" s="285"/>
      <c r="AO389" s="376" t="s">
        <v>388</v>
      </c>
      <c r="AP389" s="376" t="s">
        <v>388</v>
      </c>
    </row>
    <row r="390" spans="1:42" s="181" customFormat="1" ht="11.25" customHeight="1">
      <c r="A390" s="17" t="s">
        <v>2029</v>
      </c>
      <c r="B390" s="1" t="s">
        <v>2030</v>
      </c>
      <c r="C390" s="1" t="s">
        <v>2219</v>
      </c>
      <c r="D390" s="4" t="s">
        <v>387</v>
      </c>
      <c r="E390" s="4" t="s">
        <v>1869</v>
      </c>
      <c r="F390" s="4"/>
      <c r="G390" s="83">
        <v>3</v>
      </c>
      <c r="H390" s="6"/>
      <c r="I390" s="6" t="s">
        <v>388</v>
      </c>
      <c r="J390" s="6" t="s">
        <v>388</v>
      </c>
      <c r="K390" s="6" t="s">
        <v>388</v>
      </c>
      <c r="L390" s="6"/>
      <c r="M390" s="6" t="s">
        <v>388</v>
      </c>
      <c r="N390" s="6"/>
      <c r="O390" s="6"/>
      <c r="P390" s="6"/>
      <c r="Q390" s="6"/>
      <c r="R390" s="6"/>
      <c r="S390" s="6"/>
      <c r="T390" s="6"/>
      <c r="U390" s="6"/>
      <c r="V390" s="6"/>
      <c r="W390" s="6"/>
      <c r="X390" s="6"/>
      <c r="Y390" s="6"/>
      <c r="Z390" s="6"/>
      <c r="AA390" s="6"/>
      <c r="AB390" s="12"/>
      <c r="AC390" s="12"/>
      <c r="AD390" s="12"/>
      <c r="AE390" s="251">
        <v>3</v>
      </c>
      <c r="AF390" s="5" t="s">
        <v>389</v>
      </c>
      <c r="AG390" s="247"/>
      <c r="AH390" s="1"/>
      <c r="AI390" s="143"/>
      <c r="AJ390" s="4"/>
      <c r="AK390" s="2" t="s">
        <v>2133</v>
      </c>
      <c r="AL390" s="387" t="s">
        <v>1691</v>
      </c>
      <c r="AM390" s="376" t="s">
        <v>388</v>
      </c>
      <c r="AN390" s="285"/>
      <c r="AO390" s="285"/>
      <c r="AP390" s="285"/>
    </row>
    <row r="391" spans="1:42" s="480" customFormat="1" ht="11.25" customHeight="1">
      <c r="A391" s="144" t="s">
        <v>2247</v>
      </c>
      <c r="B391" s="2" t="s">
        <v>642</v>
      </c>
      <c r="C391" s="1" t="s">
        <v>67</v>
      </c>
      <c r="D391" s="4" t="s">
        <v>387</v>
      </c>
      <c r="E391" s="4" t="s">
        <v>624</v>
      </c>
      <c r="F391" s="4" t="s">
        <v>625</v>
      </c>
      <c r="G391" s="83">
        <v>3</v>
      </c>
      <c r="H391" s="6" t="s">
        <v>388</v>
      </c>
      <c r="I391" s="6"/>
      <c r="J391" s="6" t="s">
        <v>388</v>
      </c>
      <c r="K391" s="6"/>
      <c r="L391" s="6" t="s">
        <v>388</v>
      </c>
      <c r="M391" s="6" t="s">
        <v>388</v>
      </c>
      <c r="N391" s="6" t="s">
        <v>388</v>
      </c>
      <c r="O391" s="6" t="s">
        <v>388</v>
      </c>
      <c r="P391" s="6"/>
      <c r="Q391" s="6" t="s">
        <v>388</v>
      </c>
      <c r="R391" s="6"/>
      <c r="S391" s="6"/>
      <c r="T391" s="6"/>
      <c r="U391" s="6"/>
      <c r="V391" s="6"/>
      <c r="W391" s="6"/>
      <c r="X391" s="6"/>
      <c r="Y391" s="6"/>
      <c r="Z391" s="6"/>
      <c r="AA391" s="6"/>
      <c r="AB391" s="6"/>
      <c r="AC391" s="12"/>
      <c r="AD391" s="12"/>
      <c r="AE391" s="83">
        <v>3</v>
      </c>
      <c r="AF391" s="5" t="s">
        <v>641</v>
      </c>
      <c r="AG391" s="4" t="s">
        <v>1788</v>
      </c>
      <c r="AH391" s="2"/>
      <c r="AI391" s="34" t="s">
        <v>68</v>
      </c>
      <c r="AJ391" s="4"/>
      <c r="AK391" s="2"/>
      <c r="AL391" s="387" t="s">
        <v>1690</v>
      </c>
      <c r="AM391" s="281"/>
      <c r="AN391" s="281"/>
      <c r="AO391" s="281"/>
      <c r="AP391" s="281"/>
    </row>
    <row r="392" spans="1:42" s="181" customFormat="1" ht="11.25" customHeight="1">
      <c r="A392" s="16" t="s">
        <v>2112</v>
      </c>
      <c r="B392" s="1" t="s">
        <v>1770</v>
      </c>
      <c r="C392" s="1" t="s">
        <v>1771</v>
      </c>
      <c r="D392" s="1" t="s">
        <v>739</v>
      </c>
      <c r="E392" s="34" t="s">
        <v>625</v>
      </c>
      <c r="F392" s="1"/>
      <c r="G392" s="83">
        <v>3</v>
      </c>
      <c r="H392" s="6" t="s">
        <v>388</v>
      </c>
      <c r="I392" s="6"/>
      <c r="J392" s="6"/>
      <c r="K392" s="6" t="s">
        <v>388</v>
      </c>
      <c r="L392" s="6"/>
      <c r="M392" s="6"/>
      <c r="N392" s="6"/>
      <c r="O392" s="6" t="s">
        <v>388</v>
      </c>
      <c r="P392" s="6"/>
      <c r="Q392" s="6"/>
      <c r="R392" s="6"/>
      <c r="S392" s="6" t="s">
        <v>388</v>
      </c>
      <c r="T392" s="6"/>
      <c r="U392" s="6"/>
      <c r="V392" s="6"/>
      <c r="W392" s="6" t="s">
        <v>388</v>
      </c>
      <c r="X392" s="6" t="s">
        <v>388</v>
      </c>
      <c r="Y392" s="6"/>
      <c r="Z392" s="6"/>
      <c r="AA392" s="6"/>
      <c r="AB392" s="151"/>
      <c r="AC392" s="151" t="s">
        <v>388</v>
      </c>
      <c r="AD392" s="12" t="s">
        <v>388</v>
      </c>
      <c r="AE392" s="251">
        <v>3</v>
      </c>
      <c r="AF392" s="5" t="s">
        <v>389</v>
      </c>
      <c r="AG392" s="4" t="s">
        <v>1772</v>
      </c>
      <c r="AH392" s="1"/>
      <c r="AI392" s="143" t="s">
        <v>1791</v>
      </c>
      <c r="AJ392" s="4"/>
      <c r="AK392" s="1"/>
      <c r="AL392" s="388" t="s">
        <v>1693</v>
      </c>
      <c r="AM392" s="376" t="s">
        <v>388</v>
      </c>
      <c r="AN392" s="285"/>
      <c r="AO392" s="285"/>
      <c r="AP392" s="376" t="s">
        <v>388</v>
      </c>
    </row>
    <row r="393" spans="1:42" s="181" customFormat="1" ht="11.25" customHeight="1">
      <c r="A393" s="16" t="s">
        <v>2112</v>
      </c>
      <c r="B393" s="1" t="s">
        <v>1792</v>
      </c>
      <c r="C393" s="1" t="s">
        <v>1008</v>
      </c>
      <c r="D393" s="1" t="s">
        <v>1150</v>
      </c>
      <c r="E393" s="34" t="s">
        <v>625</v>
      </c>
      <c r="F393" s="1"/>
      <c r="G393" s="83">
        <v>3</v>
      </c>
      <c r="H393" s="6"/>
      <c r="I393" s="6"/>
      <c r="J393" s="6"/>
      <c r="K393" s="6"/>
      <c r="L393" s="6"/>
      <c r="M393" s="6"/>
      <c r="N393" s="6"/>
      <c r="O393" s="6" t="s">
        <v>388</v>
      </c>
      <c r="P393" s="6"/>
      <c r="Q393" s="6"/>
      <c r="R393" s="6"/>
      <c r="S393" s="6"/>
      <c r="T393" s="6" t="s">
        <v>388</v>
      </c>
      <c r="U393" s="6"/>
      <c r="V393" s="6" t="s">
        <v>388</v>
      </c>
      <c r="W393" s="6" t="s">
        <v>388</v>
      </c>
      <c r="X393" s="6" t="s">
        <v>388</v>
      </c>
      <c r="Y393" s="6" t="s">
        <v>388</v>
      </c>
      <c r="Z393" s="6" t="s">
        <v>388</v>
      </c>
      <c r="AA393" s="6"/>
      <c r="AB393" s="151" t="s">
        <v>388</v>
      </c>
      <c r="AC393" s="151" t="s">
        <v>388</v>
      </c>
      <c r="AD393" s="12" t="s">
        <v>388</v>
      </c>
      <c r="AE393" s="251">
        <v>3</v>
      </c>
      <c r="AF393" s="5" t="s">
        <v>389</v>
      </c>
      <c r="AG393" s="4" t="s">
        <v>1793</v>
      </c>
      <c r="AH393" s="1"/>
      <c r="AI393" s="143" t="s">
        <v>2300</v>
      </c>
      <c r="AJ393" s="4"/>
      <c r="AK393" s="1"/>
      <c r="AL393" s="388" t="s">
        <v>1693</v>
      </c>
      <c r="AM393" s="376" t="s">
        <v>388</v>
      </c>
      <c r="AN393" s="285"/>
      <c r="AO393" s="376" t="s">
        <v>388</v>
      </c>
      <c r="AP393" s="376" t="s">
        <v>388</v>
      </c>
    </row>
    <row r="394" spans="1:42" s="480" customFormat="1" ht="11.25" customHeight="1">
      <c r="A394" s="144" t="s">
        <v>2132</v>
      </c>
      <c r="B394" s="1" t="s">
        <v>578</v>
      </c>
      <c r="C394" s="1" t="s">
        <v>579</v>
      </c>
      <c r="D394" s="4" t="s">
        <v>387</v>
      </c>
      <c r="E394" s="4" t="s">
        <v>626</v>
      </c>
      <c r="F394" s="4"/>
      <c r="G394" s="83">
        <v>3</v>
      </c>
      <c r="H394" s="6"/>
      <c r="I394" s="6" t="s">
        <v>388</v>
      </c>
      <c r="J394" s="6"/>
      <c r="K394" s="6"/>
      <c r="L394" s="6" t="s">
        <v>388</v>
      </c>
      <c r="M394" s="6"/>
      <c r="N394" s="6"/>
      <c r="O394" s="6"/>
      <c r="P394" s="6"/>
      <c r="Q394" s="6" t="s">
        <v>388</v>
      </c>
      <c r="R394" s="6"/>
      <c r="S394" s="6"/>
      <c r="T394" s="6"/>
      <c r="U394" s="6"/>
      <c r="V394" s="6"/>
      <c r="W394" s="6"/>
      <c r="X394" s="6"/>
      <c r="Y394" s="6"/>
      <c r="Z394" s="6"/>
      <c r="AA394" s="6"/>
      <c r="AB394" s="6"/>
      <c r="AC394" s="12"/>
      <c r="AD394" s="12"/>
      <c r="AE394" s="83">
        <v>2</v>
      </c>
      <c r="AF394" s="5" t="s">
        <v>394</v>
      </c>
      <c r="AG394" s="34" t="s">
        <v>2371</v>
      </c>
      <c r="AH394" s="2"/>
      <c r="AI394" s="34"/>
      <c r="AJ394" s="4"/>
      <c r="AK394" s="2"/>
      <c r="AL394" s="388" t="s">
        <v>1691</v>
      </c>
      <c r="AM394" s="285"/>
      <c r="AN394" s="376" t="s">
        <v>388</v>
      </c>
      <c r="AO394" s="285"/>
      <c r="AP394" s="285"/>
    </row>
    <row r="395" spans="1:42" s="480" customFormat="1" ht="11.25" customHeight="1">
      <c r="A395" s="144" t="s">
        <v>157</v>
      </c>
      <c r="B395" s="1" t="s">
        <v>158</v>
      </c>
      <c r="C395" s="1" t="s">
        <v>159</v>
      </c>
      <c r="D395" s="4" t="s">
        <v>387</v>
      </c>
      <c r="E395" s="4" t="s">
        <v>624</v>
      </c>
      <c r="F395" s="4" t="s">
        <v>625</v>
      </c>
      <c r="G395" s="83">
        <v>3</v>
      </c>
      <c r="H395" s="6"/>
      <c r="I395" s="6"/>
      <c r="J395" s="6" t="s">
        <v>388</v>
      </c>
      <c r="K395" s="6"/>
      <c r="L395" s="6"/>
      <c r="M395" s="6" t="s">
        <v>388</v>
      </c>
      <c r="N395" s="6" t="s">
        <v>388</v>
      </c>
      <c r="O395" s="6"/>
      <c r="P395" s="6"/>
      <c r="Q395" s="6" t="s">
        <v>388</v>
      </c>
      <c r="R395" s="6"/>
      <c r="S395" s="6"/>
      <c r="T395" s="6"/>
      <c r="U395" s="6"/>
      <c r="V395" s="6"/>
      <c r="W395" s="6"/>
      <c r="X395" s="6"/>
      <c r="Y395" s="6"/>
      <c r="Z395" s="6"/>
      <c r="AA395" s="6"/>
      <c r="AB395" s="6"/>
      <c r="AC395" s="12"/>
      <c r="AD395" s="12"/>
      <c r="AE395" s="83">
        <v>3</v>
      </c>
      <c r="AF395" s="5" t="s">
        <v>394</v>
      </c>
      <c r="AG395" s="247"/>
      <c r="AH395" s="1"/>
      <c r="AI395" s="4"/>
      <c r="AJ395" s="4"/>
      <c r="AK395" s="2"/>
      <c r="AL395" s="387" t="s">
        <v>1690</v>
      </c>
      <c r="AM395" s="285"/>
      <c r="AN395" s="285"/>
      <c r="AO395" s="376" t="s">
        <v>388</v>
      </c>
      <c r="AP395" s="376" t="s">
        <v>388</v>
      </c>
    </row>
    <row r="396" spans="1:42" s="480" customFormat="1" ht="11.25" customHeight="1">
      <c r="A396" s="144" t="s">
        <v>2257</v>
      </c>
      <c r="B396" s="2" t="s">
        <v>2256</v>
      </c>
      <c r="C396" s="2" t="s">
        <v>165</v>
      </c>
      <c r="D396" s="34" t="s">
        <v>387</v>
      </c>
      <c r="E396" s="34" t="s">
        <v>624</v>
      </c>
      <c r="F396" s="34" t="s">
        <v>625</v>
      </c>
      <c r="G396" s="83">
        <v>3</v>
      </c>
      <c r="H396" s="6"/>
      <c r="I396" s="6"/>
      <c r="J396" s="6"/>
      <c r="K396" s="6" t="s">
        <v>388</v>
      </c>
      <c r="L396" s="6" t="s">
        <v>388</v>
      </c>
      <c r="M396" s="6" t="s">
        <v>388</v>
      </c>
      <c r="N396" s="6"/>
      <c r="O396" s="6"/>
      <c r="P396" s="6"/>
      <c r="Q396" s="6"/>
      <c r="R396" s="6"/>
      <c r="S396" s="6"/>
      <c r="T396" s="6"/>
      <c r="U396" s="6" t="s">
        <v>388</v>
      </c>
      <c r="V396" s="6"/>
      <c r="W396" s="6"/>
      <c r="X396" s="6"/>
      <c r="Y396" s="6"/>
      <c r="Z396" s="6"/>
      <c r="AA396" s="6"/>
      <c r="AB396" s="6"/>
      <c r="AC396" s="12"/>
      <c r="AD396" s="12"/>
      <c r="AE396" s="83">
        <v>3</v>
      </c>
      <c r="AF396" s="5" t="s">
        <v>641</v>
      </c>
      <c r="AG396" s="4" t="s">
        <v>1799</v>
      </c>
      <c r="AH396" s="1"/>
      <c r="AI396" s="4"/>
      <c r="AJ396" s="4"/>
      <c r="AK396" s="2"/>
      <c r="AL396" s="387" t="s">
        <v>1690</v>
      </c>
      <c r="AM396" s="285"/>
      <c r="AN396" s="376" t="s">
        <v>388</v>
      </c>
      <c r="AO396" s="285"/>
      <c r="AP396" s="376" t="s">
        <v>388</v>
      </c>
    </row>
    <row r="397" spans="1:42" s="181" customFormat="1" ht="11.25" customHeight="1">
      <c r="A397" s="144" t="s">
        <v>173</v>
      </c>
      <c r="B397" s="1" t="s">
        <v>174</v>
      </c>
      <c r="C397" s="1" t="s">
        <v>393</v>
      </c>
      <c r="D397" s="4" t="s">
        <v>387</v>
      </c>
      <c r="E397" s="4" t="s">
        <v>624</v>
      </c>
      <c r="F397" s="4" t="s">
        <v>625</v>
      </c>
      <c r="G397" s="83">
        <v>3</v>
      </c>
      <c r="H397" s="6"/>
      <c r="I397" s="6"/>
      <c r="J397" s="6"/>
      <c r="K397" s="6"/>
      <c r="L397" s="6"/>
      <c r="M397" s="6" t="s">
        <v>388</v>
      </c>
      <c r="N397" s="6"/>
      <c r="O397" s="6"/>
      <c r="P397" s="6"/>
      <c r="Q397" s="6"/>
      <c r="R397" s="6"/>
      <c r="S397" s="6"/>
      <c r="T397" s="6" t="s">
        <v>388</v>
      </c>
      <c r="U397" s="6"/>
      <c r="V397" s="6"/>
      <c r="W397" s="6"/>
      <c r="X397" s="6"/>
      <c r="Y397" s="6"/>
      <c r="Z397" s="6"/>
      <c r="AA397" s="6"/>
      <c r="AB397" s="6"/>
      <c r="AC397" s="12"/>
      <c r="AD397" s="12"/>
      <c r="AE397" s="83">
        <v>3</v>
      </c>
      <c r="AF397" s="5" t="s">
        <v>394</v>
      </c>
      <c r="AG397" s="4" t="s">
        <v>1783</v>
      </c>
      <c r="AH397" s="1"/>
      <c r="AI397" s="4"/>
      <c r="AJ397" s="4"/>
      <c r="AK397" s="2"/>
      <c r="AL397" s="387" t="s">
        <v>1690</v>
      </c>
      <c r="AM397" s="285"/>
      <c r="AN397" s="376" t="s">
        <v>388</v>
      </c>
      <c r="AO397" s="285"/>
      <c r="AP397" s="376" t="s">
        <v>388</v>
      </c>
    </row>
    <row r="398" spans="1:42" s="480" customFormat="1" ht="11.25" customHeight="1">
      <c r="A398" s="144" t="s">
        <v>175</v>
      </c>
      <c r="B398" s="2" t="s">
        <v>176</v>
      </c>
      <c r="C398" s="3" t="s">
        <v>177</v>
      </c>
      <c r="D398" s="13" t="s">
        <v>387</v>
      </c>
      <c r="E398" s="13" t="s">
        <v>624</v>
      </c>
      <c r="F398" s="13" t="s">
        <v>625</v>
      </c>
      <c r="G398" s="83">
        <v>3</v>
      </c>
      <c r="H398" s="6"/>
      <c r="I398" s="6"/>
      <c r="J398" s="6" t="s">
        <v>388</v>
      </c>
      <c r="K398" s="6"/>
      <c r="L398" s="6"/>
      <c r="M398" s="6" t="s">
        <v>388</v>
      </c>
      <c r="N398" s="6" t="s">
        <v>388</v>
      </c>
      <c r="O398" s="6"/>
      <c r="P398" s="6"/>
      <c r="Q398" s="6"/>
      <c r="R398" s="6"/>
      <c r="S398" s="6"/>
      <c r="T398" s="6" t="s">
        <v>388</v>
      </c>
      <c r="U398" s="6"/>
      <c r="V398" s="6"/>
      <c r="W398" s="6"/>
      <c r="X398" s="6"/>
      <c r="Y398" s="6"/>
      <c r="Z398" s="6"/>
      <c r="AA398" s="6"/>
      <c r="AB398" s="6"/>
      <c r="AC398" s="12" t="s">
        <v>388</v>
      </c>
      <c r="AD398" s="12"/>
      <c r="AE398" s="83">
        <v>3</v>
      </c>
      <c r="AF398" s="5" t="s">
        <v>394</v>
      </c>
      <c r="AG398" s="4" t="s">
        <v>1781</v>
      </c>
      <c r="AH398" s="1"/>
      <c r="AI398" s="4" t="s">
        <v>1782</v>
      </c>
      <c r="AJ398" s="4"/>
      <c r="AK398" s="2"/>
      <c r="AL398" s="387" t="s">
        <v>1690</v>
      </c>
      <c r="AM398" s="376" t="s">
        <v>388</v>
      </c>
      <c r="AN398" s="285"/>
      <c r="AO398" s="376" t="s">
        <v>388</v>
      </c>
      <c r="AP398" s="376" t="s">
        <v>388</v>
      </c>
    </row>
    <row r="399" spans="1:42" s="181" customFormat="1" ht="11.25" customHeight="1">
      <c r="A399" s="144" t="s">
        <v>157</v>
      </c>
      <c r="B399" s="1" t="s">
        <v>2229</v>
      </c>
      <c r="C399" s="2" t="s">
        <v>339</v>
      </c>
      <c r="D399" s="34" t="s">
        <v>387</v>
      </c>
      <c r="E399" s="34" t="s">
        <v>625</v>
      </c>
      <c r="F399" s="34"/>
      <c r="G399" s="83">
        <v>3</v>
      </c>
      <c r="H399" s="6"/>
      <c r="I399" s="6"/>
      <c r="J399" s="6" t="s">
        <v>388</v>
      </c>
      <c r="K399" s="6" t="s">
        <v>388</v>
      </c>
      <c r="L399" s="6"/>
      <c r="M399" s="6" t="s">
        <v>388</v>
      </c>
      <c r="N399" s="6" t="s">
        <v>388</v>
      </c>
      <c r="O399" s="6"/>
      <c r="P399" s="6"/>
      <c r="Q399" s="6"/>
      <c r="R399" s="6"/>
      <c r="S399" s="6"/>
      <c r="T399" s="6" t="s">
        <v>388</v>
      </c>
      <c r="U399" s="6" t="s">
        <v>388</v>
      </c>
      <c r="V399" s="6"/>
      <c r="W399" s="6" t="s">
        <v>388</v>
      </c>
      <c r="X399" s="6" t="s">
        <v>388</v>
      </c>
      <c r="Y399" s="6"/>
      <c r="Z399" s="6"/>
      <c r="AA399" s="6"/>
      <c r="AB399" s="6"/>
      <c r="AC399" s="12"/>
      <c r="AD399" s="12"/>
      <c r="AE399" s="83">
        <v>3</v>
      </c>
      <c r="AF399" s="5" t="s">
        <v>389</v>
      </c>
      <c r="AG399" s="4" t="s">
        <v>1780</v>
      </c>
      <c r="AH399" s="1"/>
      <c r="AI399" s="4"/>
      <c r="AJ399" s="4"/>
      <c r="AK399" s="2"/>
      <c r="AL399" s="387" t="s">
        <v>1690</v>
      </c>
      <c r="AM399" s="376" t="s">
        <v>388</v>
      </c>
      <c r="AN399" s="376" t="s">
        <v>388</v>
      </c>
      <c r="AO399" s="285"/>
      <c r="AP399" s="376" t="s">
        <v>388</v>
      </c>
    </row>
    <row r="400" spans="1:42" s="181" customFormat="1" ht="11.25" customHeight="1">
      <c r="A400" s="16" t="s">
        <v>1089</v>
      </c>
      <c r="B400" s="1" t="s">
        <v>1088</v>
      </c>
      <c r="C400" s="1" t="s">
        <v>1087</v>
      </c>
      <c r="D400" s="1" t="s">
        <v>739</v>
      </c>
      <c r="E400" s="34" t="s">
        <v>625</v>
      </c>
      <c r="F400" s="1"/>
      <c r="G400" s="83">
        <v>3</v>
      </c>
      <c r="H400" s="6" t="s">
        <v>388</v>
      </c>
      <c r="I400" s="6" t="s">
        <v>388</v>
      </c>
      <c r="J400" s="6"/>
      <c r="K400" s="6"/>
      <c r="L400" s="6"/>
      <c r="M400" s="6" t="s">
        <v>388</v>
      </c>
      <c r="N400" s="6"/>
      <c r="O400" s="6"/>
      <c r="P400" s="6"/>
      <c r="Q400" s="6" t="s">
        <v>388</v>
      </c>
      <c r="R400" s="6"/>
      <c r="S400" s="6"/>
      <c r="T400" s="6"/>
      <c r="U400" s="6"/>
      <c r="V400" s="6"/>
      <c r="W400" s="6"/>
      <c r="X400" s="6"/>
      <c r="Y400" s="6"/>
      <c r="Z400" s="6"/>
      <c r="AA400" s="6"/>
      <c r="AB400" s="151"/>
      <c r="AC400" s="151"/>
      <c r="AD400" s="12"/>
      <c r="AE400" s="251" t="s">
        <v>648</v>
      </c>
      <c r="AF400" s="5" t="s">
        <v>394</v>
      </c>
      <c r="AG400" s="4" t="s">
        <v>1090</v>
      </c>
      <c r="AH400" s="1"/>
      <c r="AI400" s="143"/>
      <c r="AJ400" s="4"/>
      <c r="AK400" s="1" t="s">
        <v>2129</v>
      </c>
      <c r="AL400" s="388" t="s">
        <v>1698</v>
      </c>
      <c r="AM400" s="285"/>
      <c r="AN400" s="285"/>
      <c r="AO400" s="376" t="s">
        <v>388</v>
      </c>
      <c r="AP400" s="285"/>
    </row>
    <row r="401" spans="1:42" s="181" customFormat="1" ht="11.25" customHeight="1">
      <c r="A401" s="144" t="s">
        <v>823</v>
      </c>
      <c r="B401" s="2" t="s">
        <v>824</v>
      </c>
      <c r="C401" s="2" t="s">
        <v>825</v>
      </c>
      <c r="D401" s="34" t="s">
        <v>739</v>
      </c>
      <c r="E401" s="34" t="s">
        <v>625</v>
      </c>
      <c r="F401" s="34"/>
      <c r="G401" s="83">
        <v>3</v>
      </c>
      <c r="H401" s="6"/>
      <c r="I401" s="6"/>
      <c r="J401" s="6" t="s">
        <v>388</v>
      </c>
      <c r="K401" s="6" t="s">
        <v>388</v>
      </c>
      <c r="L401" s="6"/>
      <c r="M401" s="6" t="s">
        <v>388</v>
      </c>
      <c r="N401" s="6" t="s">
        <v>388</v>
      </c>
      <c r="O401" s="6"/>
      <c r="P401" s="6"/>
      <c r="Q401" s="6"/>
      <c r="R401" s="6" t="s">
        <v>388</v>
      </c>
      <c r="S401" s="6"/>
      <c r="T401" s="6" t="s">
        <v>388</v>
      </c>
      <c r="U401" s="6" t="s">
        <v>388</v>
      </c>
      <c r="V401" s="6"/>
      <c r="W401" s="6" t="s">
        <v>388</v>
      </c>
      <c r="X401" s="6" t="s">
        <v>388</v>
      </c>
      <c r="Y401" s="6"/>
      <c r="Z401" s="6"/>
      <c r="AA401" s="6"/>
      <c r="AB401" s="6"/>
      <c r="AC401" s="12"/>
      <c r="AD401" s="12" t="s">
        <v>388</v>
      </c>
      <c r="AE401" s="83" t="s">
        <v>648</v>
      </c>
      <c r="AF401" s="6" t="s">
        <v>394</v>
      </c>
      <c r="AG401" s="34" t="s">
        <v>826</v>
      </c>
      <c r="AH401" s="2"/>
      <c r="AI401" s="34"/>
      <c r="AJ401" s="34" t="s">
        <v>831</v>
      </c>
      <c r="AK401" s="2"/>
      <c r="AL401" s="387" t="s">
        <v>476</v>
      </c>
      <c r="AM401" s="376" t="s">
        <v>388</v>
      </c>
      <c r="AN401" s="285"/>
      <c r="AO401" s="285"/>
      <c r="AP401" s="376" t="s">
        <v>388</v>
      </c>
    </row>
    <row r="402" spans="1:42" s="480" customFormat="1" ht="11.25" customHeight="1">
      <c r="A402" s="16" t="s">
        <v>2111</v>
      </c>
      <c r="B402" s="1" t="s">
        <v>1526</v>
      </c>
      <c r="C402" s="1" t="s">
        <v>2179</v>
      </c>
      <c r="D402" s="1" t="s">
        <v>387</v>
      </c>
      <c r="E402" s="1" t="s">
        <v>625</v>
      </c>
      <c r="F402" s="1"/>
      <c r="G402" s="83">
        <v>3</v>
      </c>
      <c r="H402" s="6"/>
      <c r="I402" s="6"/>
      <c r="J402" s="6"/>
      <c r="K402" s="6" t="s">
        <v>388</v>
      </c>
      <c r="L402" s="6"/>
      <c r="M402" s="6" t="s">
        <v>388</v>
      </c>
      <c r="N402" s="6" t="s">
        <v>388</v>
      </c>
      <c r="O402" s="6"/>
      <c r="P402" s="6"/>
      <c r="Q402" s="6"/>
      <c r="R402" s="6"/>
      <c r="S402" s="6"/>
      <c r="T402" s="6" t="s">
        <v>388</v>
      </c>
      <c r="U402" s="6"/>
      <c r="V402" s="6"/>
      <c r="W402" s="6" t="s">
        <v>388</v>
      </c>
      <c r="X402" s="6" t="s">
        <v>388</v>
      </c>
      <c r="Y402" s="6"/>
      <c r="Z402" s="6" t="s">
        <v>388</v>
      </c>
      <c r="AA402" s="6" t="s">
        <v>388</v>
      </c>
      <c r="AB402" s="151" t="s">
        <v>388</v>
      </c>
      <c r="AC402" s="151"/>
      <c r="AD402" s="12" t="s">
        <v>388</v>
      </c>
      <c r="AE402" s="251">
        <v>3</v>
      </c>
      <c r="AF402" s="5" t="s">
        <v>389</v>
      </c>
      <c r="AG402" s="4" t="s">
        <v>2370</v>
      </c>
      <c r="AH402" s="1"/>
      <c r="AI402" s="143"/>
      <c r="AJ402" s="4"/>
      <c r="AK402" s="1"/>
      <c r="AL402" s="387" t="s">
        <v>476</v>
      </c>
      <c r="AM402" s="376" t="s">
        <v>388</v>
      </c>
      <c r="AN402" s="285"/>
      <c r="AO402" s="376" t="s">
        <v>388</v>
      </c>
      <c r="AP402" s="376" t="s">
        <v>388</v>
      </c>
    </row>
    <row r="403" spans="1:42" s="480" customFormat="1" ht="11.25" customHeight="1">
      <c r="A403" s="144" t="s">
        <v>186</v>
      </c>
      <c r="B403" s="1" t="s">
        <v>187</v>
      </c>
      <c r="C403" s="1" t="s">
        <v>188</v>
      </c>
      <c r="D403" s="4" t="s">
        <v>387</v>
      </c>
      <c r="E403" s="4" t="s">
        <v>624</v>
      </c>
      <c r="F403" s="4" t="s">
        <v>625</v>
      </c>
      <c r="G403" s="83">
        <v>3</v>
      </c>
      <c r="H403" s="6" t="s">
        <v>388</v>
      </c>
      <c r="I403" s="6"/>
      <c r="J403" s="6"/>
      <c r="K403" s="6" t="s">
        <v>388</v>
      </c>
      <c r="L403" s="6" t="s">
        <v>388</v>
      </c>
      <c r="M403" s="6"/>
      <c r="N403" s="6"/>
      <c r="O403" s="6"/>
      <c r="P403" s="6"/>
      <c r="Q403" s="6"/>
      <c r="R403" s="6"/>
      <c r="S403" s="6"/>
      <c r="T403" s="6"/>
      <c r="U403" s="6"/>
      <c r="V403" s="6"/>
      <c r="W403" s="6"/>
      <c r="X403" s="6"/>
      <c r="Y403" s="6"/>
      <c r="Z403" s="6"/>
      <c r="AA403" s="6"/>
      <c r="AB403" s="6"/>
      <c r="AC403" s="12" t="s">
        <v>388</v>
      </c>
      <c r="AD403" s="12"/>
      <c r="AE403" s="83">
        <v>3</v>
      </c>
      <c r="AF403" s="5" t="s">
        <v>394</v>
      </c>
      <c r="AG403" s="4" t="s">
        <v>1797</v>
      </c>
      <c r="AH403" s="1"/>
      <c r="AI403" s="4"/>
      <c r="AJ403" s="4"/>
      <c r="AK403" s="2"/>
      <c r="AL403" s="387" t="s">
        <v>1690</v>
      </c>
      <c r="AM403" s="285"/>
      <c r="AN403" s="376" t="s">
        <v>388</v>
      </c>
      <c r="AO403" s="285"/>
      <c r="AP403" s="285"/>
    </row>
    <row r="404" spans="1:42" s="181" customFormat="1" ht="11.25" customHeight="1">
      <c r="A404" s="144" t="s">
        <v>189</v>
      </c>
      <c r="B404" s="2" t="s">
        <v>190</v>
      </c>
      <c r="C404" s="2" t="s">
        <v>191</v>
      </c>
      <c r="D404" s="34" t="s">
        <v>387</v>
      </c>
      <c r="E404" s="34" t="s">
        <v>625</v>
      </c>
      <c r="F404" s="34"/>
      <c r="G404" s="83">
        <v>3</v>
      </c>
      <c r="H404" s="6"/>
      <c r="I404" s="6"/>
      <c r="J404" s="6" t="s">
        <v>388</v>
      </c>
      <c r="K404" s="6"/>
      <c r="L404" s="6"/>
      <c r="M404" s="6"/>
      <c r="N404" s="6" t="s">
        <v>388</v>
      </c>
      <c r="O404" s="6"/>
      <c r="P404" s="6"/>
      <c r="Q404" s="6"/>
      <c r="R404" s="6"/>
      <c r="S404" s="6"/>
      <c r="T404" s="6" t="s">
        <v>388</v>
      </c>
      <c r="U404" s="6"/>
      <c r="V404" s="6"/>
      <c r="W404" s="6"/>
      <c r="X404" s="6"/>
      <c r="Y404" s="6"/>
      <c r="Z404" s="6"/>
      <c r="AA404" s="6"/>
      <c r="AB404" s="6"/>
      <c r="AC404" s="12" t="s">
        <v>388</v>
      </c>
      <c r="AD404" s="12"/>
      <c r="AE404" s="83">
        <v>3</v>
      </c>
      <c r="AF404" s="6" t="s">
        <v>394</v>
      </c>
      <c r="AG404" s="34" t="s">
        <v>1830</v>
      </c>
      <c r="AH404" s="2"/>
      <c r="AI404" s="34"/>
      <c r="AJ404" s="34"/>
      <c r="AK404" s="2"/>
      <c r="AL404" s="387" t="s">
        <v>1690</v>
      </c>
      <c r="AM404" s="285"/>
      <c r="AN404" s="285"/>
      <c r="AO404" s="376" t="s">
        <v>388</v>
      </c>
      <c r="AP404" s="376" t="s">
        <v>388</v>
      </c>
    </row>
    <row r="405" spans="1:42" s="181" customFormat="1" ht="11.25" customHeight="1">
      <c r="A405" s="144" t="s">
        <v>189</v>
      </c>
      <c r="B405" s="1" t="s">
        <v>192</v>
      </c>
      <c r="C405" s="1" t="s">
        <v>193</v>
      </c>
      <c r="D405" s="4" t="s">
        <v>387</v>
      </c>
      <c r="E405" s="4" t="s">
        <v>625</v>
      </c>
      <c r="F405" s="4"/>
      <c r="G405" s="83">
        <v>3</v>
      </c>
      <c r="H405" s="6"/>
      <c r="I405" s="6"/>
      <c r="J405" s="6"/>
      <c r="K405" s="6"/>
      <c r="L405" s="6" t="s">
        <v>388</v>
      </c>
      <c r="M405" s="6" t="s">
        <v>388</v>
      </c>
      <c r="N405" s="6"/>
      <c r="O405" s="6"/>
      <c r="P405" s="6"/>
      <c r="Q405" s="6"/>
      <c r="R405" s="6"/>
      <c r="S405" s="6"/>
      <c r="T405" s="6" t="s">
        <v>388</v>
      </c>
      <c r="U405" s="6"/>
      <c r="V405" s="6"/>
      <c r="W405" s="6"/>
      <c r="X405" s="6"/>
      <c r="Y405" s="6"/>
      <c r="Z405" s="6"/>
      <c r="AA405" s="6"/>
      <c r="AB405" s="6"/>
      <c r="AC405" s="12"/>
      <c r="AD405" s="12"/>
      <c r="AE405" s="83">
        <v>3</v>
      </c>
      <c r="AF405" s="5" t="s">
        <v>394</v>
      </c>
      <c r="AG405" s="34" t="s">
        <v>1828</v>
      </c>
      <c r="AH405" s="1"/>
      <c r="AI405" s="4"/>
      <c r="AJ405" s="4"/>
      <c r="AK405" s="2"/>
      <c r="AL405" s="387" t="s">
        <v>1690</v>
      </c>
      <c r="AM405" s="285"/>
      <c r="AN405" s="285"/>
      <c r="AO405" s="376"/>
      <c r="AP405" s="285"/>
    </row>
    <row r="406" spans="1:42" s="480" customFormat="1" ht="11.25" customHeight="1">
      <c r="A406" s="144" t="s">
        <v>2114</v>
      </c>
      <c r="B406" s="1" t="s">
        <v>426</v>
      </c>
      <c r="C406" s="1" t="s">
        <v>427</v>
      </c>
      <c r="D406" s="4" t="s">
        <v>387</v>
      </c>
      <c r="E406" s="4" t="s">
        <v>626</v>
      </c>
      <c r="F406" s="4"/>
      <c r="G406" s="83">
        <v>3</v>
      </c>
      <c r="H406" s="6" t="s">
        <v>388</v>
      </c>
      <c r="I406" s="6" t="s">
        <v>388</v>
      </c>
      <c r="J406" s="6"/>
      <c r="K406" s="6"/>
      <c r="L406" s="6"/>
      <c r="M406" s="6"/>
      <c r="N406" s="6"/>
      <c r="O406" s="6"/>
      <c r="P406" s="6"/>
      <c r="Q406" s="6" t="s">
        <v>388</v>
      </c>
      <c r="R406" s="6"/>
      <c r="S406" s="6"/>
      <c r="T406" s="6"/>
      <c r="U406" s="6"/>
      <c r="V406" s="6"/>
      <c r="W406" s="6"/>
      <c r="X406" s="6"/>
      <c r="Y406" s="6"/>
      <c r="Z406" s="6"/>
      <c r="AA406" s="6"/>
      <c r="AB406" s="6"/>
      <c r="AC406" s="12"/>
      <c r="AD406" s="12"/>
      <c r="AE406" s="83">
        <v>4</v>
      </c>
      <c r="AF406" s="5" t="s">
        <v>394</v>
      </c>
      <c r="AG406" s="4" t="s">
        <v>1980</v>
      </c>
      <c r="AH406" s="2"/>
      <c r="AI406" s="4"/>
      <c r="AJ406" s="4"/>
      <c r="AK406" s="2"/>
      <c r="AL406" s="388" t="s">
        <v>1691</v>
      </c>
      <c r="AM406" s="285"/>
      <c r="AN406" s="285"/>
      <c r="AO406" s="285"/>
      <c r="AP406" s="285"/>
    </row>
    <row r="407" spans="1:42" s="480" customFormat="1" ht="11.25" customHeight="1">
      <c r="A407" s="144" t="s">
        <v>2113</v>
      </c>
      <c r="B407" s="1" t="s">
        <v>559</v>
      </c>
      <c r="C407" s="1" t="s">
        <v>560</v>
      </c>
      <c r="D407" s="4" t="s">
        <v>387</v>
      </c>
      <c r="E407" s="4" t="s">
        <v>626</v>
      </c>
      <c r="F407" s="4"/>
      <c r="G407" s="83">
        <v>3</v>
      </c>
      <c r="H407" s="6"/>
      <c r="I407" s="6" t="s">
        <v>388</v>
      </c>
      <c r="J407" s="6" t="s">
        <v>388</v>
      </c>
      <c r="K407" s="6"/>
      <c r="L407" s="6"/>
      <c r="M407" s="6"/>
      <c r="N407" s="6"/>
      <c r="O407" s="6"/>
      <c r="P407" s="6"/>
      <c r="Q407" s="6" t="s">
        <v>388</v>
      </c>
      <c r="R407" s="6"/>
      <c r="S407" s="6"/>
      <c r="T407" s="6"/>
      <c r="U407" s="6" t="s">
        <v>388</v>
      </c>
      <c r="V407" s="6"/>
      <c r="W407" s="6"/>
      <c r="X407" s="6"/>
      <c r="Y407" s="6"/>
      <c r="Z407" s="6"/>
      <c r="AA407" s="6"/>
      <c r="AB407" s="6"/>
      <c r="AC407" s="12" t="s">
        <v>388</v>
      </c>
      <c r="AD407" s="12"/>
      <c r="AE407" s="83">
        <v>2</v>
      </c>
      <c r="AF407" s="5" t="s">
        <v>394</v>
      </c>
      <c r="AG407" s="34" t="s">
        <v>1823</v>
      </c>
      <c r="AH407" s="2"/>
      <c r="AI407" s="34"/>
      <c r="AJ407" s="4"/>
      <c r="AK407" s="2"/>
      <c r="AL407" s="388" t="s">
        <v>1691</v>
      </c>
      <c r="AM407" s="376" t="s">
        <v>388</v>
      </c>
      <c r="AN407" s="285"/>
      <c r="AO407" s="285"/>
      <c r="AP407" s="285"/>
    </row>
    <row r="408" spans="1:42" s="181" customFormat="1" ht="11.25" customHeight="1">
      <c r="A408" s="144" t="s">
        <v>1654</v>
      </c>
      <c r="B408" s="1" t="s">
        <v>581</v>
      </c>
      <c r="C408" s="1" t="s">
        <v>582</v>
      </c>
      <c r="D408" s="4" t="s">
        <v>387</v>
      </c>
      <c r="E408" s="4" t="s">
        <v>626</v>
      </c>
      <c r="F408" s="4"/>
      <c r="G408" s="83">
        <v>3</v>
      </c>
      <c r="H408" s="6"/>
      <c r="I408" s="6" t="s">
        <v>388</v>
      </c>
      <c r="J408" s="6"/>
      <c r="K408" s="6"/>
      <c r="L408" s="6" t="s">
        <v>388</v>
      </c>
      <c r="M408" s="6"/>
      <c r="N408" s="6"/>
      <c r="O408" s="6"/>
      <c r="P408" s="6"/>
      <c r="Q408" s="6" t="s">
        <v>388</v>
      </c>
      <c r="R408" s="6"/>
      <c r="S408" s="6"/>
      <c r="T408" s="6" t="s">
        <v>388</v>
      </c>
      <c r="U408" s="6" t="s">
        <v>388</v>
      </c>
      <c r="V408" s="6"/>
      <c r="W408" s="6"/>
      <c r="X408" s="6"/>
      <c r="Y408" s="6"/>
      <c r="Z408" s="6"/>
      <c r="AA408" s="6"/>
      <c r="AB408" s="6"/>
      <c r="AC408" s="12"/>
      <c r="AD408" s="12"/>
      <c r="AE408" s="83">
        <v>4</v>
      </c>
      <c r="AF408" s="5" t="s">
        <v>394</v>
      </c>
      <c r="AG408" s="34" t="s">
        <v>1824</v>
      </c>
      <c r="AH408" s="2"/>
      <c r="AI408" s="34"/>
      <c r="AJ408" s="4"/>
      <c r="AK408" s="2"/>
      <c r="AL408" s="388" t="s">
        <v>1691</v>
      </c>
      <c r="AM408" s="376" t="s">
        <v>388</v>
      </c>
      <c r="AN408" s="376" t="s">
        <v>388</v>
      </c>
      <c r="AO408" s="376" t="s">
        <v>388</v>
      </c>
      <c r="AP408" s="285"/>
    </row>
    <row r="409" spans="1:42" s="181" customFormat="1" ht="11.25" customHeight="1">
      <c r="A409" s="144" t="s">
        <v>1654</v>
      </c>
      <c r="B409" s="280" t="s">
        <v>2176</v>
      </c>
      <c r="C409" s="1" t="s">
        <v>2177</v>
      </c>
      <c r="D409" s="286" t="s">
        <v>387</v>
      </c>
      <c r="E409" s="286" t="s">
        <v>1869</v>
      </c>
      <c r="F409" s="286"/>
      <c r="G409" s="287">
        <v>3</v>
      </c>
      <c r="H409" s="283"/>
      <c r="I409" s="283" t="s">
        <v>388</v>
      </c>
      <c r="J409" s="283" t="s">
        <v>388</v>
      </c>
      <c r="K409" s="283"/>
      <c r="L409" s="283"/>
      <c r="M409" s="283"/>
      <c r="N409" s="283"/>
      <c r="O409" s="283"/>
      <c r="P409" s="283"/>
      <c r="Q409" s="283"/>
      <c r="R409" s="283" t="s">
        <v>388</v>
      </c>
      <c r="S409" s="283"/>
      <c r="T409" s="283" t="s">
        <v>388</v>
      </c>
      <c r="U409" s="283" t="s">
        <v>388</v>
      </c>
      <c r="V409" s="283"/>
      <c r="W409" s="283"/>
      <c r="X409" s="283"/>
      <c r="Y409" s="283"/>
      <c r="Z409" s="283"/>
      <c r="AA409" s="283"/>
      <c r="AB409" s="377"/>
      <c r="AC409" s="377"/>
      <c r="AD409" s="377"/>
      <c r="AE409" s="378">
        <v>4</v>
      </c>
      <c r="AF409" s="281" t="s">
        <v>389</v>
      </c>
      <c r="AG409" s="288" t="s">
        <v>2178</v>
      </c>
      <c r="AH409" s="282"/>
      <c r="AI409" s="289"/>
      <c r="AJ409" s="286"/>
      <c r="AK409" s="282"/>
      <c r="AL409" s="389" t="s">
        <v>1691</v>
      </c>
      <c r="AM409" s="376" t="s">
        <v>388</v>
      </c>
      <c r="AN409" s="376" t="s">
        <v>388</v>
      </c>
      <c r="AO409" s="376" t="s">
        <v>388</v>
      </c>
      <c r="AP409" s="285"/>
    </row>
    <row r="410" spans="1:42" s="181" customFormat="1" ht="11.25" customHeight="1">
      <c r="A410" s="144" t="s">
        <v>677</v>
      </c>
      <c r="B410" s="32" t="s">
        <v>501</v>
      </c>
      <c r="C410" s="32" t="s">
        <v>502</v>
      </c>
      <c r="D410" s="103" t="s">
        <v>387</v>
      </c>
      <c r="E410" s="4" t="s">
        <v>626</v>
      </c>
      <c r="F410" s="103"/>
      <c r="G410" s="248">
        <v>3</v>
      </c>
      <c r="H410" s="30"/>
      <c r="I410" s="30" t="s">
        <v>388</v>
      </c>
      <c r="J410" s="30"/>
      <c r="K410" s="30"/>
      <c r="L410" s="30"/>
      <c r="M410" s="30"/>
      <c r="N410" s="30"/>
      <c r="O410" s="30"/>
      <c r="P410" s="30"/>
      <c r="Q410" s="30"/>
      <c r="R410" s="30"/>
      <c r="S410" s="30"/>
      <c r="T410" s="30"/>
      <c r="U410" s="30"/>
      <c r="V410" s="30"/>
      <c r="W410" s="30"/>
      <c r="X410" s="30"/>
      <c r="Y410" s="30"/>
      <c r="Z410" s="30"/>
      <c r="AA410" s="30"/>
      <c r="AB410" s="30"/>
      <c r="AC410" s="31"/>
      <c r="AD410" s="31"/>
      <c r="AE410" s="259">
        <v>2</v>
      </c>
      <c r="AF410" s="30" t="s">
        <v>394</v>
      </c>
      <c r="AG410" s="103" t="s">
        <v>503</v>
      </c>
      <c r="AH410" s="39"/>
      <c r="AI410" s="4" t="s">
        <v>676</v>
      </c>
      <c r="AJ410" s="103"/>
      <c r="AK410" s="39"/>
      <c r="AL410" s="390" t="s">
        <v>1691</v>
      </c>
      <c r="AM410" s="285"/>
      <c r="AN410" s="376" t="s">
        <v>388</v>
      </c>
      <c r="AO410" s="285"/>
      <c r="AP410" s="285"/>
    </row>
    <row r="411" spans="1:42" s="181" customFormat="1" ht="11.25" customHeight="1">
      <c r="C411" s="260"/>
      <c r="G411" s="240"/>
      <c r="H411" s="183"/>
      <c r="I411" s="183"/>
      <c r="J411" s="183"/>
      <c r="K411" s="183"/>
      <c r="L411" s="183"/>
      <c r="M411" s="183"/>
      <c r="N411" s="183"/>
      <c r="O411" s="183"/>
      <c r="P411" s="183"/>
      <c r="Q411" s="183"/>
      <c r="R411" s="183"/>
      <c r="S411" s="183"/>
      <c r="T411" s="183"/>
      <c r="U411" s="183"/>
      <c r="V411" s="183"/>
      <c r="W411" s="183"/>
      <c r="X411" s="183"/>
      <c r="Y411" s="183"/>
      <c r="Z411" s="183"/>
      <c r="AA411" s="183"/>
      <c r="AB411" s="184"/>
      <c r="AC411" s="184"/>
      <c r="AD411" s="224"/>
      <c r="AE411" s="225"/>
      <c r="AF411" s="183"/>
      <c r="AG411" s="185"/>
      <c r="AI411" s="186"/>
      <c r="AJ411" s="185"/>
      <c r="AL411" s="187"/>
      <c r="AM411" s="249"/>
      <c r="AN411" s="249"/>
      <c r="AO411" s="249"/>
      <c r="AP411" s="249"/>
    </row>
    <row r="412" spans="1:42" s="181" customFormat="1" ht="11.25" customHeight="1">
      <c r="C412" s="260"/>
      <c r="F412" s="223"/>
      <c r="G412" s="182" t="s">
        <v>2180</v>
      </c>
      <c r="H412" s="183">
        <f>COUNTA(H3:AB410)</f>
        <v>1387</v>
      </c>
      <c r="I412" s="183"/>
      <c r="J412" s="183"/>
      <c r="K412" s="183"/>
      <c r="L412" s="183"/>
      <c r="M412" s="183"/>
      <c r="N412" s="183"/>
      <c r="O412" s="183"/>
      <c r="P412" s="183"/>
      <c r="Q412" s="183"/>
      <c r="R412" s="183"/>
      <c r="S412" s="183"/>
      <c r="T412" s="183"/>
      <c r="U412" s="183"/>
      <c r="V412" s="183"/>
      <c r="W412" s="183"/>
      <c r="X412" s="183"/>
      <c r="Y412" s="183"/>
      <c r="Z412" s="183"/>
      <c r="AA412" s="183"/>
      <c r="AB412" s="184"/>
      <c r="AC412" s="184"/>
      <c r="AD412" s="224"/>
      <c r="AE412" s="225"/>
      <c r="AF412" s="183"/>
      <c r="AG412" s="185"/>
      <c r="AI412" s="186"/>
      <c r="AJ412" s="185"/>
      <c r="AL412" s="187"/>
      <c r="AM412" s="481"/>
      <c r="AN412" s="481"/>
      <c r="AO412" s="481"/>
      <c r="AP412" s="481"/>
    </row>
    <row r="413" spans="1:42" s="181" customFormat="1" ht="11.25" customHeight="1">
      <c r="C413" s="98"/>
      <c r="G413" s="182"/>
      <c r="H413" s="183"/>
      <c r="I413" s="183"/>
      <c r="J413" s="183"/>
      <c r="K413" s="183"/>
      <c r="L413" s="183"/>
      <c r="M413" s="183"/>
      <c r="N413" s="183"/>
      <c r="O413" s="183"/>
      <c r="P413" s="183"/>
      <c r="Q413" s="183"/>
      <c r="R413" s="183"/>
      <c r="S413" s="183"/>
      <c r="T413" s="183"/>
      <c r="U413" s="183"/>
      <c r="V413" s="183"/>
      <c r="W413" s="183"/>
      <c r="X413" s="183"/>
      <c r="Y413" s="183"/>
      <c r="Z413" s="183"/>
      <c r="AA413" s="183"/>
      <c r="AB413" s="184"/>
      <c r="AC413" s="184"/>
      <c r="AD413" s="224"/>
      <c r="AE413" s="225"/>
      <c r="AF413" s="183"/>
      <c r="AG413" s="185"/>
      <c r="AI413" s="186"/>
      <c r="AJ413" s="185"/>
      <c r="AL413" s="187"/>
      <c r="AM413" s="183"/>
      <c r="AN413" s="183"/>
      <c r="AO413" s="183"/>
      <c r="AP413" s="183"/>
    </row>
    <row r="414" spans="1:42" s="181" customFormat="1" ht="11.25" customHeight="1">
      <c r="C414" s="98"/>
      <c r="G414" s="182"/>
      <c r="H414" s="183"/>
      <c r="I414" s="183"/>
      <c r="J414" s="183"/>
      <c r="K414" s="183"/>
      <c r="L414" s="183"/>
      <c r="M414" s="183"/>
      <c r="N414" s="183"/>
      <c r="O414" s="183"/>
      <c r="P414" s="183"/>
      <c r="Q414" s="183"/>
      <c r="R414" s="183"/>
      <c r="S414" s="183"/>
      <c r="T414" s="183"/>
      <c r="U414" s="183"/>
      <c r="V414" s="183"/>
      <c r="W414" s="183"/>
      <c r="X414" s="183"/>
      <c r="Y414" s="183"/>
      <c r="Z414" s="183"/>
      <c r="AA414" s="183"/>
      <c r="AB414" s="184"/>
      <c r="AC414" s="184"/>
      <c r="AD414" s="224"/>
      <c r="AE414" s="225"/>
      <c r="AF414" s="183"/>
      <c r="AG414" s="185"/>
      <c r="AI414" s="186"/>
      <c r="AJ414" s="185"/>
      <c r="AL414" s="187"/>
      <c r="AM414" s="183"/>
      <c r="AN414" s="183"/>
      <c r="AO414" s="183"/>
      <c r="AP414" s="183"/>
    </row>
    <row r="415" spans="1:42" s="181" customFormat="1" ht="11.25" customHeight="1">
      <c r="C415" s="98"/>
      <c r="G415" s="182"/>
      <c r="H415" s="183"/>
      <c r="I415" s="183"/>
      <c r="J415" s="183"/>
      <c r="K415" s="183"/>
      <c r="L415" s="183"/>
      <c r="M415" s="183"/>
      <c r="N415" s="183"/>
      <c r="O415" s="183"/>
      <c r="P415" s="183"/>
      <c r="Q415" s="183"/>
      <c r="R415" s="183"/>
      <c r="S415" s="183"/>
      <c r="T415" s="183"/>
      <c r="U415" s="183"/>
      <c r="V415" s="183"/>
      <c r="W415" s="183"/>
      <c r="X415" s="183"/>
      <c r="Y415" s="183"/>
      <c r="Z415" s="183"/>
      <c r="AA415" s="183"/>
      <c r="AB415" s="184"/>
      <c r="AC415" s="184"/>
      <c r="AD415" s="224"/>
      <c r="AE415" s="225"/>
      <c r="AF415" s="183"/>
      <c r="AG415" s="185"/>
      <c r="AI415" s="186"/>
      <c r="AJ415" s="185"/>
      <c r="AL415" s="187"/>
      <c r="AM415" s="183"/>
      <c r="AN415" s="183"/>
      <c r="AO415" s="183"/>
      <c r="AP415" s="183"/>
    </row>
    <row r="416" spans="1:42" s="181" customFormat="1" ht="11.25" customHeight="1">
      <c r="C416" s="98"/>
      <c r="G416" s="182"/>
      <c r="H416" s="183"/>
      <c r="I416" s="183"/>
      <c r="J416" s="183"/>
      <c r="K416" s="183"/>
      <c r="L416" s="183"/>
      <c r="M416" s="183"/>
      <c r="N416" s="183"/>
      <c r="O416" s="183"/>
      <c r="P416" s="183"/>
      <c r="Q416" s="183"/>
      <c r="R416" s="183"/>
      <c r="S416" s="183"/>
      <c r="T416" s="183"/>
      <c r="U416" s="183"/>
      <c r="V416" s="183"/>
      <c r="W416" s="183"/>
      <c r="X416" s="183"/>
      <c r="Y416" s="183"/>
      <c r="Z416" s="183"/>
      <c r="AA416" s="183"/>
      <c r="AB416" s="184"/>
      <c r="AC416" s="184"/>
      <c r="AD416" s="224"/>
      <c r="AE416" s="225"/>
      <c r="AF416" s="183"/>
      <c r="AG416" s="185"/>
      <c r="AI416" s="186"/>
      <c r="AJ416" s="185"/>
      <c r="AL416" s="187"/>
      <c r="AM416" s="183"/>
      <c r="AN416" s="183"/>
      <c r="AO416" s="183"/>
      <c r="AP416" s="183"/>
    </row>
    <row r="417" spans="1:43" s="181" customFormat="1" ht="11.25" customHeight="1">
      <c r="C417" s="98"/>
      <c r="G417" s="182"/>
      <c r="H417" s="183"/>
      <c r="I417" s="183"/>
      <c r="J417" s="183"/>
      <c r="K417" s="183"/>
      <c r="L417" s="183"/>
      <c r="M417" s="183"/>
      <c r="N417" s="183"/>
      <c r="O417" s="183"/>
      <c r="P417" s="183"/>
      <c r="Q417" s="183"/>
      <c r="R417" s="183"/>
      <c r="S417" s="183"/>
      <c r="T417" s="183"/>
      <c r="U417" s="183"/>
      <c r="V417" s="183"/>
      <c r="W417" s="183"/>
      <c r="X417" s="183"/>
      <c r="Y417" s="183"/>
      <c r="Z417" s="183"/>
      <c r="AA417" s="183"/>
      <c r="AB417" s="184"/>
      <c r="AC417" s="184"/>
      <c r="AD417" s="224"/>
      <c r="AE417" s="225"/>
      <c r="AF417" s="183"/>
      <c r="AG417" s="185"/>
      <c r="AI417" s="186"/>
      <c r="AJ417" s="185"/>
      <c r="AL417" s="187"/>
      <c r="AM417" s="183"/>
      <c r="AN417" s="183"/>
      <c r="AO417" s="183"/>
      <c r="AP417" s="183"/>
    </row>
    <row r="418" spans="1:43" s="181" customFormat="1" ht="11.25" customHeight="1" thickBot="1">
      <c r="C418" s="98"/>
      <c r="G418" s="182"/>
      <c r="H418" s="183"/>
      <c r="I418" s="183"/>
      <c r="J418" s="183"/>
      <c r="K418" s="183"/>
      <c r="L418" s="183"/>
      <c r="M418" s="183"/>
      <c r="N418" s="183"/>
      <c r="O418" s="183"/>
      <c r="P418" s="183"/>
      <c r="Q418" s="183"/>
      <c r="R418" s="183"/>
      <c r="S418" s="183"/>
      <c r="T418" s="183"/>
      <c r="U418" s="183"/>
      <c r="V418" s="183"/>
      <c r="W418" s="183"/>
      <c r="X418" s="183"/>
      <c r="Y418" s="183"/>
      <c r="Z418" s="183"/>
      <c r="AA418" s="183"/>
      <c r="AB418" s="184"/>
      <c r="AC418" s="184"/>
      <c r="AD418" s="224"/>
      <c r="AE418" s="225"/>
      <c r="AF418" s="183"/>
      <c r="AG418" s="185"/>
      <c r="AI418" s="186"/>
      <c r="AJ418" s="185"/>
      <c r="AL418" s="187"/>
      <c r="AM418" s="183"/>
      <c r="AN418" s="183"/>
      <c r="AO418" s="183"/>
      <c r="AP418" s="183"/>
    </row>
    <row r="419" spans="1:43" s="181" customFormat="1" ht="11.25" customHeight="1" thickBot="1">
      <c r="C419" s="226" t="s">
        <v>1986</v>
      </c>
      <c r="G419" s="182"/>
      <c r="H419" s="194" t="s">
        <v>1739</v>
      </c>
      <c r="I419" s="194" t="s">
        <v>1753</v>
      </c>
      <c r="J419" s="194" t="s">
        <v>1740</v>
      </c>
      <c r="K419" s="194" t="s">
        <v>1741</v>
      </c>
      <c r="L419" s="194" t="s">
        <v>1742</v>
      </c>
      <c r="M419" s="194" t="s">
        <v>1743</v>
      </c>
      <c r="N419" s="194" t="s">
        <v>1744</v>
      </c>
      <c r="O419" s="194" t="s">
        <v>1745</v>
      </c>
      <c r="P419" s="194" t="s">
        <v>1746</v>
      </c>
      <c r="Q419" s="194" t="s">
        <v>1747</v>
      </c>
      <c r="R419" s="195" t="s">
        <v>18</v>
      </c>
      <c r="S419" s="194" t="s">
        <v>1748</v>
      </c>
      <c r="T419" s="196" t="s">
        <v>1749</v>
      </c>
      <c r="U419" s="196" t="s">
        <v>1750</v>
      </c>
      <c r="V419" s="196" t="s">
        <v>1751</v>
      </c>
      <c r="W419" s="196" t="s">
        <v>34</v>
      </c>
      <c r="X419" s="196" t="s">
        <v>23</v>
      </c>
      <c r="Y419" s="196" t="s">
        <v>26</v>
      </c>
      <c r="Z419" s="196" t="s">
        <v>24</v>
      </c>
      <c r="AA419" s="196" t="s">
        <v>1752</v>
      </c>
      <c r="AB419" s="196" t="s">
        <v>25</v>
      </c>
      <c r="AC419" s="196" t="s">
        <v>1757</v>
      </c>
      <c r="AD419" s="196" t="s">
        <v>1758</v>
      </c>
      <c r="AE419" s="196" t="s">
        <v>2185</v>
      </c>
      <c r="AF419" s="486" t="s">
        <v>2186</v>
      </c>
      <c r="AG419" s="196" t="s">
        <v>1150</v>
      </c>
      <c r="AI419" s="196" t="s">
        <v>2202</v>
      </c>
      <c r="AJ419" s="185"/>
      <c r="AL419" s="396" t="s">
        <v>2334</v>
      </c>
      <c r="AM419" s="483">
        <f>COUNTIFS(G3:G417,"=1")</f>
        <v>273</v>
      </c>
      <c r="AN419" s="484" t="s">
        <v>2404</v>
      </c>
      <c r="AO419" s="5"/>
      <c r="AP419" s="5"/>
    </row>
    <row r="420" spans="1:43" s="181" customFormat="1" ht="11.25" customHeight="1" thickBot="1">
      <c r="C420" s="98"/>
      <c r="F420" s="213" t="s">
        <v>1759</v>
      </c>
      <c r="G420" s="182"/>
      <c r="H420" s="188">
        <v>10</v>
      </c>
      <c r="I420" s="188">
        <f>H420+1</f>
        <v>11</v>
      </c>
      <c r="J420" s="188">
        <f t="shared" ref="J420:AB420" si="0">I420+1</f>
        <v>12</v>
      </c>
      <c r="K420" s="188">
        <f t="shared" si="0"/>
        <v>13</v>
      </c>
      <c r="L420" s="188">
        <f t="shared" si="0"/>
        <v>14</v>
      </c>
      <c r="M420" s="188">
        <f t="shared" si="0"/>
        <v>15</v>
      </c>
      <c r="N420" s="188">
        <f t="shared" si="0"/>
        <v>16</v>
      </c>
      <c r="O420" s="188">
        <f t="shared" si="0"/>
        <v>17</v>
      </c>
      <c r="P420" s="188">
        <f t="shared" si="0"/>
        <v>18</v>
      </c>
      <c r="Q420" s="188">
        <f t="shared" si="0"/>
        <v>19</v>
      </c>
      <c r="R420" s="188">
        <f t="shared" si="0"/>
        <v>20</v>
      </c>
      <c r="S420" s="188">
        <f t="shared" si="0"/>
        <v>21</v>
      </c>
      <c r="T420" s="188">
        <f t="shared" si="0"/>
        <v>22</v>
      </c>
      <c r="U420" s="188">
        <f t="shared" si="0"/>
        <v>23</v>
      </c>
      <c r="V420" s="188">
        <f t="shared" si="0"/>
        <v>24</v>
      </c>
      <c r="W420" s="188">
        <f t="shared" si="0"/>
        <v>25</v>
      </c>
      <c r="X420" s="188">
        <f t="shared" si="0"/>
        <v>26</v>
      </c>
      <c r="Y420" s="188">
        <f t="shared" si="0"/>
        <v>27</v>
      </c>
      <c r="Z420" s="188">
        <f t="shared" si="0"/>
        <v>28</v>
      </c>
      <c r="AA420" s="188">
        <f t="shared" si="0"/>
        <v>29</v>
      </c>
      <c r="AB420" s="188">
        <f t="shared" si="0"/>
        <v>30</v>
      </c>
      <c r="AC420" s="184"/>
      <c r="AD420" s="224"/>
      <c r="AE420" s="225"/>
      <c r="AF420" s="183"/>
      <c r="AG420" s="4"/>
      <c r="AI420" s="186"/>
      <c r="AJ420" s="185"/>
      <c r="AL420" s="397" t="s">
        <v>2335</v>
      </c>
      <c r="AM420" s="482">
        <f>COUNTIFS(G3:G417,"=2")</f>
        <v>88</v>
      </c>
      <c r="AN420" s="474" t="s">
        <v>2405</v>
      </c>
      <c r="AO420" s="92"/>
      <c r="AP420" s="92"/>
    </row>
    <row r="421" spans="1:43" s="181" customFormat="1" ht="11.25" customHeight="1" thickBot="1">
      <c r="A421"/>
      <c r="B421"/>
      <c r="C421" s="180" t="s">
        <v>1736</v>
      </c>
      <c r="D421"/>
      <c r="E421"/>
      <c r="F421" s="214">
        <f>SUM(H421:AB421)</f>
        <v>18</v>
      </c>
      <c r="G421" s="238">
        <v>100</v>
      </c>
      <c r="H421" s="161">
        <f t="shared" ref="H421:AD421" si="1">COUNTIFS(H3:H418,"=x",$AL$3:$AL$418,"=African/african american studies")</f>
        <v>0</v>
      </c>
      <c r="I421" s="161">
        <f t="shared" si="1"/>
        <v>0</v>
      </c>
      <c r="J421" s="161">
        <f t="shared" si="1"/>
        <v>1</v>
      </c>
      <c r="K421" s="161">
        <f t="shared" si="1"/>
        <v>0</v>
      </c>
      <c r="L421" s="161">
        <f t="shared" si="1"/>
        <v>1</v>
      </c>
      <c r="M421" s="161">
        <f t="shared" si="1"/>
        <v>5</v>
      </c>
      <c r="N421" s="161">
        <f t="shared" si="1"/>
        <v>0</v>
      </c>
      <c r="O421" s="161">
        <f t="shared" si="1"/>
        <v>1</v>
      </c>
      <c r="P421" s="161">
        <f t="shared" si="1"/>
        <v>1</v>
      </c>
      <c r="Q421" s="161">
        <f t="shared" si="1"/>
        <v>0</v>
      </c>
      <c r="R421" s="161">
        <f t="shared" si="1"/>
        <v>0</v>
      </c>
      <c r="S421" s="161">
        <f t="shared" si="1"/>
        <v>0</v>
      </c>
      <c r="T421" s="161">
        <f t="shared" si="1"/>
        <v>2</v>
      </c>
      <c r="U421" s="161">
        <f t="shared" si="1"/>
        <v>5</v>
      </c>
      <c r="V421" s="161">
        <f t="shared" si="1"/>
        <v>0</v>
      </c>
      <c r="W421" s="161">
        <f t="shared" si="1"/>
        <v>0</v>
      </c>
      <c r="X421" s="161">
        <f t="shared" si="1"/>
        <v>0</v>
      </c>
      <c r="Y421" s="161">
        <f t="shared" si="1"/>
        <v>1</v>
      </c>
      <c r="Z421" s="161">
        <f t="shared" si="1"/>
        <v>0</v>
      </c>
      <c r="AA421" s="161">
        <f t="shared" si="1"/>
        <v>1</v>
      </c>
      <c r="AB421" s="161">
        <f t="shared" si="1"/>
        <v>0</v>
      </c>
      <c r="AC421" s="161">
        <f t="shared" si="1"/>
        <v>0</v>
      </c>
      <c r="AD421" s="161">
        <f t="shared" si="1"/>
        <v>0</v>
      </c>
      <c r="AE421" s="293">
        <f>COUNTIFS($D$3:$D$418,"=g",$AL$3:$AL$418,"=African/african american studies")</f>
        <v>2</v>
      </c>
      <c r="AF421" s="487">
        <f>COUNTIFS($D$3:$D$418,"=u",$AL$3:$AL$418,"=African/african american studies")</f>
        <v>5</v>
      </c>
      <c r="AG421" s="293">
        <f>COUNTIFS($D$3:$D$418,"=Both",$AL$3:$AL$418,"=African/african american studies")</f>
        <v>0</v>
      </c>
      <c r="AH421"/>
      <c r="AI421" s="293"/>
      <c r="AJ421" s="164"/>
      <c r="AK421" s="391"/>
      <c r="AL421" s="397" t="s">
        <v>2336</v>
      </c>
      <c r="AM421" s="393">
        <f>COUNTIFS(G3:G417,"=3")</f>
        <v>47</v>
      </c>
      <c r="AN421" s="474" t="s">
        <v>2406</v>
      </c>
      <c r="AO421" s="5"/>
      <c r="AP421" s="5"/>
    </row>
    <row r="422" spans="1:43" s="181" customFormat="1" ht="11.25" customHeight="1" thickBot="1">
      <c r="A422"/>
      <c r="B422"/>
      <c r="C422" s="180" t="s">
        <v>1701</v>
      </c>
      <c r="D422"/>
      <c r="E422" s="533"/>
      <c r="F422" s="215">
        <f t="shared" ref="F422:F442" si="2">SUM(H422:AB422)</f>
        <v>31</v>
      </c>
      <c r="G422" s="238">
        <f>G421+1</f>
        <v>101</v>
      </c>
      <c r="H422" s="161">
        <f t="shared" ref="H422:AD422" si="3">COUNTIFS(H3:H418,"=x",$AL$3:$AL$418,"=Anthropology")</f>
        <v>0</v>
      </c>
      <c r="I422" s="161">
        <f t="shared" si="3"/>
        <v>0</v>
      </c>
      <c r="J422" s="161">
        <f t="shared" si="3"/>
        <v>0</v>
      </c>
      <c r="K422" s="161">
        <f t="shared" si="3"/>
        <v>3</v>
      </c>
      <c r="L422" s="161">
        <f t="shared" si="3"/>
        <v>6</v>
      </c>
      <c r="M422" s="161">
        <f t="shared" si="3"/>
        <v>4</v>
      </c>
      <c r="N422" s="161">
        <f t="shared" si="3"/>
        <v>1</v>
      </c>
      <c r="O422" s="161">
        <f t="shared" si="3"/>
        <v>0</v>
      </c>
      <c r="P422" s="161">
        <f t="shared" si="3"/>
        <v>0</v>
      </c>
      <c r="Q422" s="161">
        <f t="shared" si="3"/>
        <v>0</v>
      </c>
      <c r="R422" s="161">
        <f t="shared" si="3"/>
        <v>1</v>
      </c>
      <c r="S422" s="161">
        <f t="shared" si="3"/>
        <v>0</v>
      </c>
      <c r="T422" s="161">
        <f t="shared" si="3"/>
        <v>5</v>
      </c>
      <c r="U422" s="161">
        <f t="shared" si="3"/>
        <v>5</v>
      </c>
      <c r="V422" s="161">
        <f t="shared" si="3"/>
        <v>0</v>
      </c>
      <c r="W422" s="161">
        <f t="shared" si="3"/>
        <v>0</v>
      </c>
      <c r="X422" s="161">
        <f t="shared" si="3"/>
        <v>0</v>
      </c>
      <c r="Y422" s="161">
        <f t="shared" si="3"/>
        <v>2</v>
      </c>
      <c r="Z422" s="161">
        <f t="shared" si="3"/>
        <v>1</v>
      </c>
      <c r="AA422" s="161">
        <f t="shared" si="3"/>
        <v>3</v>
      </c>
      <c r="AB422" s="161">
        <f t="shared" si="3"/>
        <v>0</v>
      </c>
      <c r="AC422" s="161">
        <f t="shared" si="3"/>
        <v>0</v>
      </c>
      <c r="AD422" s="161">
        <f t="shared" si="3"/>
        <v>1</v>
      </c>
      <c r="AE422" s="293">
        <f>COUNTIFS($D$3:$D$418,"=g",$AL$3:$AL$418,"=Anthropology")</f>
        <v>3</v>
      </c>
      <c r="AF422" s="487">
        <f>COUNTIFS($D$3:$D$418,"=u",$AL$3:$AL$418,"=Anthropology")</f>
        <v>3</v>
      </c>
      <c r="AG422" s="293">
        <f>COUNTIFS($D$3:$D$418,"=Both",$AL$3:$AL$418,"=Anthropology")</f>
        <v>2</v>
      </c>
      <c r="AH422"/>
      <c r="AI422" s="293"/>
      <c r="AJ422" s="164"/>
      <c r="AK422" s="392"/>
      <c r="AL422" s="401" t="s">
        <v>2333</v>
      </c>
      <c r="AM422" s="395">
        <f>COUNTIFS(G3:G417,"&gt;0")</f>
        <v>408</v>
      </c>
      <c r="AN422" s="474" t="s">
        <v>2403</v>
      </c>
      <c r="AO422" s="400"/>
      <c r="AP422" s="400"/>
    </row>
    <row r="423" spans="1:43" s="181" customFormat="1" ht="11.25" customHeight="1" thickBot="1">
      <c r="A423"/>
      <c r="B423"/>
      <c r="C423" s="180" t="s">
        <v>1702</v>
      </c>
      <c r="D423"/>
      <c r="E423" s="541" t="s">
        <v>1754</v>
      </c>
      <c r="F423" s="215">
        <f t="shared" si="2"/>
        <v>22</v>
      </c>
      <c r="G423" s="238">
        <f t="shared" ref="G423:G442" si="4">G422+1</f>
        <v>102</v>
      </c>
      <c r="H423" s="161">
        <f t="shared" ref="H423:AD423" si="5">COUNTIFS(H3:H418,"=x",$AL$3:$AL$418,"=Architecture")</f>
        <v>0</v>
      </c>
      <c r="I423" s="161">
        <f t="shared" si="5"/>
        <v>0</v>
      </c>
      <c r="J423" s="161">
        <f t="shared" si="5"/>
        <v>1</v>
      </c>
      <c r="K423" s="161">
        <f t="shared" si="5"/>
        <v>1</v>
      </c>
      <c r="L423" s="161">
        <f t="shared" si="5"/>
        <v>0</v>
      </c>
      <c r="M423" s="161">
        <f t="shared" si="5"/>
        <v>1</v>
      </c>
      <c r="N423" s="161">
        <f t="shared" si="5"/>
        <v>0</v>
      </c>
      <c r="O423" s="161">
        <f t="shared" si="5"/>
        <v>0</v>
      </c>
      <c r="P423" s="161">
        <f t="shared" si="5"/>
        <v>8</v>
      </c>
      <c r="Q423" s="161">
        <f t="shared" si="5"/>
        <v>1</v>
      </c>
      <c r="R423" s="161">
        <f t="shared" si="5"/>
        <v>5</v>
      </c>
      <c r="S423" s="161">
        <f t="shared" si="5"/>
        <v>3</v>
      </c>
      <c r="T423" s="161">
        <f t="shared" si="5"/>
        <v>0</v>
      </c>
      <c r="U423" s="161">
        <f t="shared" si="5"/>
        <v>0</v>
      </c>
      <c r="V423" s="161">
        <f t="shared" si="5"/>
        <v>0</v>
      </c>
      <c r="W423" s="161">
        <f t="shared" si="5"/>
        <v>0</v>
      </c>
      <c r="X423" s="161">
        <f t="shared" si="5"/>
        <v>1</v>
      </c>
      <c r="Y423" s="161">
        <f t="shared" si="5"/>
        <v>0</v>
      </c>
      <c r="Z423" s="161">
        <f t="shared" si="5"/>
        <v>1</v>
      </c>
      <c r="AA423" s="161">
        <f t="shared" si="5"/>
        <v>0</v>
      </c>
      <c r="AB423" s="161">
        <f t="shared" si="5"/>
        <v>0</v>
      </c>
      <c r="AC423" s="161">
        <f t="shared" si="5"/>
        <v>0</v>
      </c>
      <c r="AD423" s="161">
        <f t="shared" si="5"/>
        <v>0</v>
      </c>
      <c r="AE423" s="293">
        <f>COUNTIFS($D$3:$D$418,"=g",$AL$3:$AL$418,"=Architecture")</f>
        <v>3</v>
      </c>
      <c r="AF423" s="487">
        <f>COUNTIFS($D$3:$D$418,"=u",$AL$3:$AL$418,"=Architecture")</f>
        <v>5</v>
      </c>
      <c r="AG423" s="293">
        <f>COUNTIFS($D$3:$D$418,"=Both",$AL$3:$AL$418,"=Architecture")</f>
        <v>0</v>
      </c>
      <c r="AH423"/>
      <c r="AI423" s="293"/>
      <c r="AJ423" s="164"/>
      <c r="AK423" s="394"/>
      <c r="AL423" s="398" t="s">
        <v>2337</v>
      </c>
      <c r="AM423" s="257">
        <f t="shared" ref="AM423:AP423" si="6">COUNTIF(AM3:AM412,"=x")</f>
        <v>128</v>
      </c>
      <c r="AN423" s="257">
        <f t="shared" si="6"/>
        <v>152</v>
      </c>
      <c r="AO423" s="257">
        <f t="shared" si="6"/>
        <v>131</v>
      </c>
      <c r="AP423" s="257">
        <f t="shared" si="6"/>
        <v>174</v>
      </c>
    </row>
    <row r="424" spans="1:43" s="181" customFormat="1" ht="11.25" customHeight="1" thickBot="1">
      <c r="A424"/>
      <c r="B424"/>
      <c r="C424" s="180" t="s">
        <v>1694</v>
      </c>
      <c r="D424"/>
      <c r="E424" s="541"/>
      <c r="F424" s="215">
        <f t="shared" si="2"/>
        <v>57</v>
      </c>
      <c r="G424" s="238">
        <f t="shared" si="4"/>
        <v>103</v>
      </c>
      <c r="H424" s="161">
        <f t="shared" ref="H424:AD424" si="7">COUNTIFS(H3:H418,"=x",$AL$3:$AL$418,"=Biology")</f>
        <v>0</v>
      </c>
      <c r="I424" s="161">
        <f t="shared" si="7"/>
        <v>0</v>
      </c>
      <c r="J424" s="161">
        <f t="shared" si="7"/>
        <v>0</v>
      </c>
      <c r="K424" s="161">
        <f t="shared" si="7"/>
        <v>3</v>
      </c>
      <c r="L424" s="161">
        <f t="shared" si="7"/>
        <v>1</v>
      </c>
      <c r="M424" s="161">
        <f t="shared" si="7"/>
        <v>2</v>
      </c>
      <c r="N424" s="161">
        <f t="shared" si="7"/>
        <v>0</v>
      </c>
      <c r="O424" s="161">
        <f t="shared" si="7"/>
        <v>1</v>
      </c>
      <c r="P424" s="161">
        <f t="shared" si="7"/>
        <v>0</v>
      </c>
      <c r="Q424" s="161">
        <f t="shared" si="7"/>
        <v>0</v>
      </c>
      <c r="R424" s="161">
        <f t="shared" si="7"/>
        <v>1</v>
      </c>
      <c r="S424" s="161">
        <f t="shared" si="7"/>
        <v>0</v>
      </c>
      <c r="T424" s="161">
        <f t="shared" si="7"/>
        <v>14</v>
      </c>
      <c r="U424" s="161">
        <f t="shared" si="7"/>
        <v>2</v>
      </c>
      <c r="V424" s="161">
        <f t="shared" si="7"/>
        <v>2</v>
      </c>
      <c r="W424" s="161">
        <f t="shared" si="7"/>
        <v>1</v>
      </c>
      <c r="X424" s="161">
        <f t="shared" si="7"/>
        <v>2</v>
      </c>
      <c r="Y424" s="161">
        <f t="shared" si="7"/>
        <v>5</v>
      </c>
      <c r="Z424" s="161">
        <f t="shared" si="7"/>
        <v>3</v>
      </c>
      <c r="AA424" s="161">
        <f t="shared" si="7"/>
        <v>15</v>
      </c>
      <c r="AB424" s="161">
        <f t="shared" si="7"/>
        <v>5</v>
      </c>
      <c r="AC424" s="161">
        <f t="shared" si="7"/>
        <v>2</v>
      </c>
      <c r="AD424" s="161">
        <f t="shared" si="7"/>
        <v>4</v>
      </c>
      <c r="AE424" s="293">
        <f>COUNTIFS($D$3:$D$418,"=g",$AL$3:$AL$418,"=Biology")</f>
        <v>5</v>
      </c>
      <c r="AF424" s="487">
        <f>COUNTIFS($D$3:$D$418,"=u",$AL$3:$AL$418,"=Biology")</f>
        <v>2</v>
      </c>
      <c r="AG424" s="293">
        <f>COUNTIFS($D$3:$D$418,"=Both",$AL$3:$AL$418,"=Biology")</f>
        <v>10</v>
      </c>
      <c r="AH424"/>
      <c r="AI424" s="293"/>
      <c r="AJ424" s="164"/>
      <c r="AK424" s="392"/>
      <c r="AL424" s="399" t="s">
        <v>2338</v>
      </c>
      <c r="AM424" s="258">
        <f t="shared" ref="AM424:AP424" si="8">AM423/$AM$422</f>
        <v>0.31372549019607843</v>
      </c>
      <c r="AN424" s="258">
        <f t="shared" si="8"/>
        <v>0.37254901960784315</v>
      </c>
      <c r="AO424" s="258">
        <f t="shared" si="8"/>
        <v>0.32107843137254904</v>
      </c>
      <c r="AP424" s="258">
        <f t="shared" si="8"/>
        <v>0.4264705882352941</v>
      </c>
      <c r="AQ424" s="181" t="s">
        <v>2401</v>
      </c>
    </row>
    <row r="425" spans="1:43" s="181" customFormat="1" ht="11.25" customHeight="1" thickBot="1">
      <c r="A425"/>
      <c r="B425"/>
      <c r="C425" s="180" t="s">
        <v>2110</v>
      </c>
      <c r="D425"/>
      <c r="E425" s="541"/>
      <c r="F425" s="215">
        <f t="shared" si="2"/>
        <v>3</v>
      </c>
      <c r="G425" s="238">
        <f t="shared" si="4"/>
        <v>104</v>
      </c>
      <c r="H425" s="161">
        <f t="shared" ref="H425:AD425" si="9">COUNTIFS(H3:H418,"=x",$AL$3:$AL$418,"=Chemistry")</f>
        <v>0</v>
      </c>
      <c r="I425" s="161">
        <f t="shared" si="9"/>
        <v>0</v>
      </c>
      <c r="J425" s="161">
        <f t="shared" si="9"/>
        <v>0</v>
      </c>
      <c r="K425" s="161">
        <f t="shared" si="9"/>
        <v>0</v>
      </c>
      <c r="L425" s="161">
        <f t="shared" si="9"/>
        <v>0</v>
      </c>
      <c r="M425" s="161">
        <f t="shared" si="9"/>
        <v>0</v>
      </c>
      <c r="N425" s="161">
        <f t="shared" si="9"/>
        <v>0</v>
      </c>
      <c r="O425" s="161">
        <f t="shared" si="9"/>
        <v>0</v>
      </c>
      <c r="P425" s="161">
        <f t="shared" si="9"/>
        <v>0</v>
      </c>
      <c r="Q425" s="161">
        <f t="shared" si="9"/>
        <v>0</v>
      </c>
      <c r="R425" s="161">
        <f t="shared" si="9"/>
        <v>2</v>
      </c>
      <c r="S425" s="161">
        <f t="shared" si="9"/>
        <v>0</v>
      </c>
      <c r="T425" s="161">
        <f t="shared" si="9"/>
        <v>0</v>
      </c>
      <c r="U425" s="161">
        <f t="shared" si="9"/>
        <v>0</v>
      </c>
      <c r="V425" s="161">
        <f t="shared" si="9"/>
        <v>0</v>
      </c>
      <c r="W425" s="161">
        <f t="shared" si="9"/>
        <v>1</v>
      </c>
      <c r="X425" s="161">
        <f t="shared" si="9"/>
        <v>0</v>
      </c>
      <c r="Y425" s="161">
        <f t="shared" si="9"/>
        <v>0</v>
      </c>
      <c r="Z425" s="161">
        <f t="shared" si="9"/>
        <v>0</v>
      </c>
      <c r="AA425" s="161">
        <f t="shared" si="9"/>
        <v>0</v>
      </c>
      <c r="AB425" s="161">
        <f t="shared" si="9"/>
        <v>0</v>
      </c>
      <c r="AC425" s="161">
        <f t="shared" si="9"/>
        <v>0</v>
      </c>
      <c r="AD425" s="161">
        <f t="shared" si="9"/>
        <v>0</v>
      </c>
      <c r="AE425" s="293">
        <f>COUNTIFS($D$3:$D$418,"=g",$AL$3:$AL$418,"=Chemistry")</f>
        <v>0</v>
      </c>
      <c r="AF425" s="487">
        <f>COUNTIFS($D$3:$D$418,"=u",$AL$3:$AL$418,"=Chemistry")</f>
        <v>1</v>
      </c>
      <c r="AG425" s="293">
        <f>COUNTIFS($D$3:$D$418,"=Both",$AL$3:$AL$418,"=Chemistry")</f>
        <v>1</v>
      </c>
      <c r="AH425"/>
      <c r="AI425" s="293"/>
      <c r="AJ425" s="164"/>
      <c r="AK425" s="321"/>
      <c r="AL425" s="177"/>
      <c r="AM425" s="476">
        <f>COUNTA(AM3:AP411)</f>
        <v>585</v>
      </c>
      <c r="AN425" s="475" t="s">
        <v>2407</v>
      </c>
      <c r="AO425" s="92"/>
      <c r="AP425" s="92"/>
      <c r="AQ425" s="181" t="s">
        <v>2400</v>
      </c>
    </row>
    <row r="426" spans="1:43" s="181" customFormat="1" ht="11.25" customHeight="1" thickBot="1">
      <c r="A426"/>
      <c r="B426"/>
      <c r="C426" s="180" t="s">
        <v>1705</v>
      </c>
      <c r="D426"/>
      <c r="E426" s="541"/>
      <c r="F426" s="215">
        <f t="shared" si="2"/>
        <v>4</v>
      </c>
      <c r="G426" s="238">
        <f t="shared" si="4"/>
        <v>105</v>
      </c>
      <c r="H426" s="161">
        <f t="shared" ref="H426:AD426" si="10">COUNTIFS(H3:H418,"=x",$AL$3:$AL$418,"=Divinity")</f>
        <v>0</v>
      </c>
      <c r="I426" s="161">
        <f t="shared" si="10"/>
        <v>0</v>
      </c>
      <c r="J426" s="161">
        <f t="shared" si="10"/>
        <v>0</v>
      </c>
      <c r="K426" s="161">
        <f t="shared" si="10"/>
        <v>0</v>
      </c>
      <c r="L426" s="161">
        <f t="shared" si="10"/>
        <v>3</v>
      </c>
      <c r="M426" s="161">
        <f t="shared" si="10"/>
        <v>1</v>
      </c>
      <c r="N426" s="161">
        <f t="shared" si="10"/>
        <v>0</v>
      </c>
      <c r="O426" s="161">
        <f t="shared" si="10"/>
        <v>0</v>
      </c>
      <c r="P426" s="161">
        <f t="shared" si="10"/>
        <v>0</v>
      </c>
      <c r="Q426" s="161">
        <f t="shared" si="10"/>
        <v>0</v>
      </c>
      <c r="R426" s="161">
        <f t="shared" si="10"/>
        <v>0</v>
      </c>
      <c r="S426" s="161">
        <f t="shared" si="10"/>
        <v>0</v>
      </c>
      <c r="T426" s="161">
        <f t="shared" si="10"/>
        <v>0</v>
      </c>
      <c r="U426" s="161">
        <f t="shared" si="10"/>
        <v>0</v>
      </c>
      <c r="V426" s="161">
        <f t="shared" si="10"/>
        <v>0</v>
      </c>
      <c r="W426" s="161">
        <f t="shared" si="10"/>
        <v>0</v>
      </c>
      <c r="X426" s="161">
        <f t="shared" si="10"/>
        <v>0</v>
      </c>
      <c r="Y426" s="161">
        <f t="shared" si="10"/>
        <v>0</v>
      </c>
      <c r="Z426" s="161">
        <f t="shared" si="10"/>
        <v>0</v>
      </c>
      <c r="AA426" s="161">
        <f t="shared" si="10"/>
        <v>0</v>
      </c>
      <c r="AB426" s="161">
        <f t="shared" si="10"/>
        <v>0</v>
      </c>
      <c r="AC426" s="161">
        <f t="shared" si="10"/>
        <v>0</v>
      </c>
      <c r="AD426" s="161">
        <f t="shared" si="10"/>
        <v>0</v>
      </c>
      <c r="AE426" s="293">
        <f>COUNTIFS($D$3:$D$418,"=g",$AL$3:$AL$418,"=Divinity")</f>
        <v>3</v>
      </c>
      <c r="AF426" s="487">
        <f>COUNTIFS($D$3:$D$418,"=u",$AL$3:$AL$418,"=Divinity")</f>
        <v>0</v>
      </c>
      <c r="AG426" s="293">
        <f>COUNTIFS($D$3:$D$418,"=Both",$AL$3:$AL$418,"=Divinity")</f>
        <v>0</v>
      </c>
      <c r="AH426"/>
      <c r="AI426" s="293"/>
      <c r="AJ426" s="164"/>
      <c r="AK426" s="320"/>
      <c r="AL426" s="177"/>
      <c r="AM426" s="488">
        <f>AM423/$AM$425</f>
        <v>0.2188034188034188</v>
      </c>
      <c r="AN426" s="488">
        <f t="shared" ref="AN426:AP426" si="11">AN423/$AM$425</f>
        <v>0.25982905982905985</v>
      </c>
      <c r="AO426" s="488">
        <f t="shared" si="11"/>
        <v>0.22393162393162394</v>
      </c>
      <c r="AP426" s="488">
        <f t="shared" si="11"/>
        <v>0.29743589743589743</v>
      </c>
    </row>
    <row r="427" spans="1:43" s="181" customFormat="1" ht="11.25" customHeight="1" thickBot="1">
      <c r="A427"/>
      <c r="B427"/>
      <c r="C427" s="158" t="s">
        <v>476</v>
      </c>
      <c r="D427"/>
      <c r="E427" s="541"/>
      <c r="F427" s="215">
        <f t="shared" si="2"/>
        <v>117</v>
      </c>
      <c r="G427" s="238">
        <f t="shared" si="4"/>
        <v>106</v>
      </c>
      <c r="H427" s="161">
        <f t="shared" ref="H427:AD427" si="12">COUNTIFS(H3:H418,"=x",$AL$3:$AL$418,"=Economics")</f>
        <v>3</v>
      </c>
      <c r="I427" s="161">
        <f t="shared" si="12"/>
        <v>1</v>
      </c>
      <c r="J427" s="161">
        <f t="shared" si="12"/>
        <v>11</v>
      </c>
      <c r="K427" s="161">
        <f t="shared" si="12"/>
        <v>5</v>
      </c>
      <c r="L427" s="161">
        <f t="shared" si="12"/>
        <v>2</v>
      </c>
      <c r="M427" s="161">
        <f t="shared" si="12"/>
        <v>16</v>
      </c>
      <c r="N427" s="161">
        <f t="shared" si="12"/>
        <v>37</v>
      </c>
      <c r="O427" s="161">
        <f t="shared" si="12"/>
        <v>2</v>
      </c>
      <c r="P427" s="161">
        <f t="shared" si="12"/>
        <v>0</v>
      </c>
      <c r="Q427" s="161">
        <f t="shared" si="12"/>
        <v>2</v>
      </c>
      <c r="R427" s="161">
        <f t="shared" si="12"/>
        <v>1</v>
      </c>
      <c r="S427" s="161">
        <f t="shared" si="12"/>
        <v>0</v>
      </c>
      <c r="T427" s="161">
        <f t="shared" si="12"/>
        <v>5</v>
      </c>
      <c r="U427" s="161">
        <f t="shared" si="12"/>
        <v>19</v>
      </c>
      <c r="V427" s="161">
        <f t="shared" si="12"/>
        <v>0</v>
      </c>
      <c r="W427" s="161">
        <f t="shared" si="12"/>
        <v>3</v>
      </c>
      <c r="X427" s="161">
        <f t="shared" si="12"/>
        <v>3</v>
      </c>
      <c r="Y427" s="161">
        <f t="shared" si="12"/>
        <v>1</v>
      </c>
      <c r="Z427" s="161">
        <f t="shared" si="12"/>
        <v>2</v>
      </c>
      <c r="AA427" s="161">
        <f t="shared" si="12"/>
        <v>2</v>
      </c>
      <c r="AB427" s="161">
        <f t="shared" si="12"/>
        <v>2</v>
      </c>
      <c r="AC427" s="161">
        <f t="shared" si="12"/>
        <v>10</v>
      </c>
      <c r="AD427" s="161">
        <f t="shared" si="12"/>
        <v>20</v>
      </c>
      <c r="AE427" s="293">
        <f>COUNTIFS($D$3:$D$418,"=g",$AL$3:$AL$418,"=Economics")</f>
        <v>9</v>
      </c>
      <c r="AF427" s="487">
        <f>COUNTIFS($D$3:$D$418,"=u",$AL$3:$AL$418,"=Economics")</f>
        <v>32</v>
      </c>
      <c r="AG427" s="293">
        <f>COUNTIFS($D$3:$D$418,"=Both",$AL$3:$AL$418,"=Economics")</f>
        <v>1</v>
      </c>
      <c r="AH427"/>
      <c r="AI427" s="293"/>
      <c r="AJ427" s="164"/>
      <c r="AK427" s="321"/>
      <c r="AL427" s="177"/>
      <c r="AM427" s="485"/>
      <c r="AN427" s="485"/>
      <c r="AO427" s="485"/>
      <c r="AP427" s="485"/>
      <c r="AQ427" s="181" t="s">
        <v>2402</v>
      </c>
    </row>
    <row r="428" spans="1:43" s="181" customFormat="1" ht="11.25" customHeight="1" thickBot="1">
      <c r="A428"/>
      <c r="B428"/>
      <c r="C428" s="158" t="s">
        <v>1693</v>
      </c>
      <c r="D428"/>
      <c r="E428" s="541"/>
      <c r="F428" s="215">
        <f t="shared" si="2"/>
        <v>67</v>
      </c>
      <c r="G428" s="238">
        <f t="shared" si="4"/>
        <v>107</v>
      </c>
      <c r="H428" s="161">
        <f t="shared" ref="H428:AD428" si="13">COUNTIFS(H3:H418,"=x",$AL$3:$AL$418,"=Engineering")</f>
        <v>1</v>
      </c>
      <c r="I428" s="161">
        <f t="shared" si="13"/>
        <v>0</v>
      </c>
      <c r="J428" s="161">
        <f t="shared" si="13"/>
        <v>0</v>
      </c>
      <c r="K428" s="161">
        <f t="shared" si="13"/>
        <v>4</v>
      </c>
      <c r="L428" s="161">
        <f t="shared" si="13"/>
        <v>1</v>
      </c>
      <c r="M428" s="161">
        <f t="shared" si="13"/>
        <v>2</v>
      </c>
      <c r="N428" s="161">
        <f t="shared" si="13"/>
        <v>0</v>
      </c>
      <c r="O428" s="161">
        <f t="shared" si="13"/>
        <v>3</v>
      </c>
      <c r="P428" s="161">
        <f t="shared" si="13"/>
        <v>3</v>
      </c>
      <c r="Q428" s="161">
        <f t="shared" si="13"/>
        <v>0</v>
      </c>
      <c r="R428" s="161">
        <f t="shared" si="13"/>
        <v>8</v>
      </c>
      <c r="S428" s="161">
        <f t="shared" si="13"/>
        <v>8</v>
      </c>
      <c r="T428" s="161">
        <f t="shared" si="13"/>
        <v>3</v>
      </c>
      <c r="U428" s="161">
        <f t="shared" si="13"/>
        <v>1</v>
      </c>
      <c r="V428" s="161">
        <f t="shared" si="13"/>
        <v>7</v>
      </c>
      <c r="W428" s="161">
        <f t="shared" si="13"/>
        <v>7</v>
      </c>
      <c r="X428" s="161">
        <f t="shared" si="13"/>
        <v>5</v>
      </c>
      <c r="Y428" s="161">
        <f t="shared" si="13"/>
        <v>4</v>
      </c>
      <c r="Z428" s="161">
        <f t="shared" si="13"/>
        <v>8</v>
      </c>
      <c r="AA428" s="161">
        <f t="shared" si="13"/>
        <v>1</v>
      </c>
      <c r="AB428" s="161">
        <f t="shared" si="13"/>
        <v>1</v>
      </c>
      <c r="AC428" s="161">
        <f t="shared" si="13"/>
        <v>4</v>
      </c>
      <c r="AD428" s="161">
        <f t="shared" si="13"/>
        <v>6</v>
      </c>
      <c r="AE428" s="293">
        <f>COUNTIFS($D$3:$D$418,"=g",$AL$3:$AL$418,"=Engineering")</f>
        <v>5</v>
      </c>
      <c r="AF428" s="487">
        <f>COUNTIFS($D$3:$D$418,"=u",$AL$3:$AL$418,"=Engineering")</f>
        <v>10</v>
      </c>
      <c r="AG428" s="293">
        <f>COUNTIFS($D$3:$D$418,"=Both",$AL$3:$AL$418,"=Engineering")</f>
        <v>3</v>
      </c>
      <c r="AH428"/>
      <c r="AI428" s="293"/>
      <c r="AJ428" s="164"/>
      <c r="AK428" s="320"/>
      <c r="AL428" s="177"/>
      <c r="AM428" s="183"/>
      <c r="AN428" s="183"/>
      <c r="AO428" s="183"/>
      <c r="AP428" s="183"/>
    </row>
    <row r="429" spans="1:43" s="480" customFormat="1" ht="11.25" customHeight="1" thickBot="1">
      <c r="A429"/>
      <c r="B429"/>
      <c r="C429" s="158" t="s">
        <v>1698</v>
      </c>
      <c r="D429"/>
      <c r="E429" s="541"/>
      <c r="F429" s="215">
        <f t="shared" si="2"/>
        <v>115</v>
      </c>
      <c r="G429" s="238">
        <f t="shared" si="4"/>
        <v>108</v>
      </c>
      <c r="H429" s="161">
        <f t="shared" ref="H429:AD429" si="14">COUNTIFS(H3:H418,"=x",$AL$3:$AL$418,"=Environmental studies")</f>
        <v>1</v>
      </c>
      <c r="I429" s="161">
        <f t="shared" si="14"/>
        <v>1</v>
      </c>
      <c r="J429" s="161">
        <f t="shared" si="14"/>
        <v>0</v>
      </c>
      <c r="K429" s="161">
        <f t="shared" si="14"/>
        <v>10</v>
      </c>
      <c r="L429" s="161">
        <f t="shared" si="14"/>
        <v>11</v>
      </c>
      <c r="M429" s="161">
        <f t="shared" si="14"/>
        <v>15</v>
      </c>
      <c r="N429" s="161">
        <f t="shared" si="14"/>
        <v>0</v>
      </c>
      <c r="O429" s="161">
        <f t="shared" si="14"/>
        <v>3</v>
      </c>
      <c r="P429" s="161">
        <f t="shared" si="14"/>
        <v>4</v>
      </c>
      <c r="Q429" s="161">
        <f t="shared" si="14"/>
        <v>1</v>
      </c>
      <c r="R429" s="161">
        <f t="shared" si="14"/>
        <v>6</v>
      </c>
      <c r="S429" s="161">
        <f t="shared" si="14"/>
        <v>2</v>
      </c>
      <c r="T429" s="161">
        <f t="shared" si="14"/>
        <v>13</v>
      </c>
      <c r="U429" s="161">
        <f t="shared" si="14"/>
        <v>8</v>
      </c>
      <c r="V429" s="161">
        <f t="shared" si="14"/>
        <v>2</v>
      </c>
      <c r="W429" s="161">
        <f t="shared" si="14"/>
        <v>8</v>
      </c>
      <c r="X429" s="161">
        <f t="shared" si="14"/>
        <v>7</v>
      </c>
      <c r="Y429" s="161">
        <f t="shared" si="14"/>
        <v>7</v>
      </c>
      <c r="Z429" s="161">
        <f t="shared" si="14"/>
        <v>9</v>
      </c>
      <c r="AA429" s="161">
        <f t="shared" si="14"/>
        <v>4</v>
      </c>
      <c r="AB429" s="161">
        <f t="shared" si="14"/>
        <v>3</v>
      </c>
      <c r="AC429" s="161">
        <f t="shared" si="14"/>
        <v>1</v>
      </c>
      <c r="AD429" s="161">
        <f t="shared" si="14"/>
        <v>0</v>
      </c>
      <c r="AE429" s="293">
        <f>COUNTIFS($D$3:$D$418,"=g",$AL$3:$AL$418,"=Environmental studies")</f>
        <v>0</v>
      </c>
      <c r="AF429" s="487">
        <f>COUNTIFS($D$3:$D$418,"=u",$AL$3:$AL$418,"=Environmental studies")</f>
        <v>21</v>
      </c>
      <c r="AG429" s="293">
        <f>COUNTIFS($D$3:$D$418,"=Both",$AL$3:$AL$418,"=Environmental studies")</f>
        <v>0</v>
      </c>
      <c r="AH429"/>
      <c r="AI429" s="293"/>
      <c r="AJ429" s="164"/>
      <c r="AK429" s="321"/>
      <c r="AL429" s="177"/>
      <c r="AM429" s="183"/>
      <c r="AN429" s="183"/>
      <c r="AO429" s="183"/>
      <c r="AP429" s="183"/>
    </row>
    <row r="430" spans="1:43" s="181" customFormat="1" ht="11.25" customHeight="1" thickBot="1">
      <c r="A430"/>
      <c r="B430"/>
      <c r="C430" s="178" t="s">
        <v>1690</v>
      </c>
      <c r="D430"/>
      <c r="E430" s="541"/>
      <c r="F430" s="215">
        <f t="shared" si="2"/>
        <v>595</v>
      </c>
      <c r="G430" s="238">
        <f t="shared" si="4"/>
        <v>109</v>
      </c>
      <c r="H430" s="161">
        <f t="shared" ref="H430:AD430" si="15">COUNTIFS(H3:H418,"=x",$AL$3:$AL$418,"=FES")</f>
        <v>23</v>
      </c>
      <c r="I430" s="161">
        <f t="shared" si="15"/>
        <v>6</v>
      </c>
      <c r="J430" s="161">
        <f t="shared" si="15"/>
        <v>24</v>
      </c>
      <c r="K430" s="161">
        <f t="shared" si="15"/>
        <v>32</v>
      </c>
      <c r="L430" s="161">
        <f t="shared" si="15"/>
        <v>30</v>
      </c>
      <c r="M430" s="161">
        <f t="shared" si="15"/>
        <v>54</v>
      </c>
      <c r="N430" s="161">
        <f t="shared" si="15"/>
        <v>26</v>
      </c>
      <c r="O430" s="161">
        <f t="shared" si="15"/>
        <v>14</v>
      </c>
      <c r="P430" s="161">
        <f t="shared" si="15"/>
        <v>19</v>
      </c>
      <c r="Q430" s="161">
        <f t="shared" si="15"/>
        <v>18</v>
      </c>
      <c r="R430" s="161">
        <f t="shared" si="15"/>
        <v>17</v>
      </c>
      <c r="S430" s="161">
        <f t="shared" si="15"/>
        <v>8</v>
      </c>
      <c r="T430" s="161">
        <f t="shared" si="15"/>
        <v>71</v>
      </c>
      <c r="U430" s="161">
        <f t="shared" si="15"/>
        <v>33</v>
      </c>
      <c r="V430" s="161">
        <f t="shared" si="15"/>
        <v>19</v>
      </c>
      <c r="W430" s="161">
        <f t="shared" si="15"/>
        <v>24</v>
      </c>
      <c r="X430" s="161">
        <f t="shared" si="15"/>
        <v>20</v>
      </c>
      <c r="Y430" s="161">
        <f t="shared" si="15"/>
        <v>34</v>
      </c>
      <c r="Z430" s="161">
        <f t="shared" si="15"/>
        <v>38</v>
      </c>
      <c r="AA430" s="161">
        <f t="shared" si="15"/>
        <v>53</v>
      </c>
      <c r="AB430" s="161">
        <f t="shared" si="15"/>
        <v>32</v>
      </c>
      <c r="AC430" s="161">
        <f t="shared" si="15"/>
        <v>48</v>
      </c>
      <c r="AD430" s="161">
        <f t="shared" si="15"/>
        <v>17</v>
      </c>
      <c r="AE430" s="293">
        <f>COUNTIFS($D$3:$D$418,"=g",$AL$3:$AL$418,"=FES")</f>
        <v>115</v>
      </c>
      <c r="AF430" s="487">
        <f>COUNTIFS($D$3:$D$418,"=u",$AL$3:$AL$418,"=FES")</f>
        <v>1</v>
      </c>
      <c r="AG430" s="293">
        <f>COUNTIFS($D$3:$D$418,"=Both",$AL$3:$AL$418,"=FES")</f>
        <v>9</v>
      </c>
      <c r="AH430"/>
      <c r="AI430" s="293"/>
      <c r="AJ430" s="164"/>
      <c r="AK430" s="320"/>
      <c r="AL430" s="177"/>
      <c r="AM430" s="183"/>
      <c r="AN430" s="183"/>
      <c r="AO430" s="183"/>
      <c r="AP430" s="183"/>
    </row>
    <row r="431" spans="1:43" s="480" customFormat="1" ht="11.25" customHeight="1" thickBot="1">
      <c r="A431"/>
      <c r="B431"/>
      <c r="C431" s="158" t="s">
        <v>1697</v>
      </c>
      <c r="D431"/>
      <c r="E431" s="541"/>
      <c r="F431" s="215">
        <f t="shared" si="2"/>
        <v>1</v>
      </c>
      <c r="G431" s="238">
        <f t="shared" si="4"/>
        <v>110</v>
      </c>
      <c r="H431" s="161">
        <f t="shared" ref="H431:AD431" si="16">COUNTIFS(H3:H418,"=x",$AL$3:$AL$418,"=Genetics")</f>
        <v>0</v>
      </c>
      <c r="I431" s="161">
        <f t="shared" si="16"/>
        <v>0</v>
      </c>
      <c r="J431" s="161">
        <f t="shared" si="16"/>
        <v>0</v>
      </c>
      <c r="K431" s="161">
        <f t="shared" si="16"/>
        <v>0</v>
      </c>
      <c r="L431" s="161">
        <f t="shared" si="16"/>
        <v>0</v>
      </c>
      <c r="M431" s="161">
        <f t="shared" si="16"/>
        <v>0</v>
      </c>
      <c r="N431" s="161">
        <f t="shared" si="16"/>
        <v>0</v>
      </c>
      <c r="O431" s="161">
        <f t="shared" si="16"/>
        <v>1</v>
      </c>
      <c r="P431" s="161">
        <f t="shared" si="16"/>
        <v>0</v>
      </c>
      <c r="Q431" s="161">
        <f t="shared" si="16"/>
        <v>0</v>
      </c>
      <c r="R431" s="161">
        <f t="shared" si="16"/>
        <v>0</v>
      </c>
      <c r="S431" s="161">
        <f t="shared" si="16"/>
        <v>0</v>
      </c>
      <c r="T431" s="161">
        <f t="shared" si="16"/>
        <v>0</v>
      </c>
      <c r="U431" s="161">
        <f t="shared" si="16"/>
        <v>0</v>
      </c>
      <c r="V431" s="161">
        <f t="shared" si="16"/>
        <v>0</v>
      </c>
      <c r="W431" s="161">
        <f t="shared" si="16"/>
        <v>0</v>
      </c>
      <c r="X431" s="161">
        <f t="shared" si="16"/>
        <v>0</v>
      </c>
      <c r="Y431" s="161">
        <f t="shared" si="16"/>
        <v>0</v>
      </c>
      <c r="Z431" s="161">
        <f t="shared" si="16"/>
        <v>0</v>
      </c>
      <c r="AA431" s="161">
        <f t="shared" si="16"/>
        <v>0</v>
      </c>
      <c r="AB431" s="161">
        <f t="shared" si="16"/>
        <v>0</v>
      </c>
      <c r="AC431" s="161">
        <f t="shared" si="16"/>
        <v>0</v>
      </c>
      <c r="AD431" s="161">
        <f t="shared" si="16"/>
        <v>1</v>
      </c>
      <c r="AE431" s="293">
        <f>COUNTIFS($D$3:$D$418,"=g",$AL$3:$AL$418,"=Genetics")</f>
        <v>1</v>
      </c>
      <c r="AF431" s="487">
        <f>COUNTIFS($D$3:$D$418,"=u",$AL$3:$AL$418,"=Genetics")</f>
        <v>0</v>
      </c>
      <c r="AG431" s="293">
        <f>COUNTIFS($D$3:$D$418,"=Both",$AL$3:$AL$418,"=Genetics")</f>
        <v>0</v>
      </c>
      <c r="AH431"/>
      <c r="AI431" s="293"/>
      <c r="AJ431" s="164"/>
      <c r="AK431" s="321"/>
      <c r="AL431" s="177"/>
      <c r="AM431" s="183"/>
      <c r="AN431" s="183"/>
      <c r="AO431" s="183"/>
      <c r="AP431" s="183"/>
    </row>
    <row r="432" spans="1:43" s="480" customFormat="1" ht="11.25" customHeight="1" thickBot="1">
      <c r="A432"/>
      <c r="B432"/>
      <c r="C432" s="158" t="s">
        <v>1696</v>
      </c>
      <c r="D432"/>
      <c r="E432" s="541"/>
      <c r="F432" s="215">
        <f t="shared" si="2"/>
        <v>51</v>
      </c>
      <c r="G432" s="238">
        <f t="shared" si="4"/>
        <v>111</v>
      </c>
      <c r="H432" s="161">
        <f t="shared" ref="H432:AD432" si="17">COUNTIFS(H3:H418,"=x",$AL$3:$AL$418,"=Geology &amp; geophysics")</f>
        <v>0</v>
      </c>
      <c r="I432" s="161">
        <f t="shared" si="17"/>
        <v>0</v>
      </c>
      <c r="J432" s="161">
        <f t="shared" si="17"/>
        <v>0</v>
      </c>
      <c r="K432" s="161">
        <f t="shared" si="17"/>
        <v>10</v>
      </c>
      <c r="L432" s="161">
        <f t="shared" si="17"/>
        <v>0</v>
      </c>
      <c r="M432" s="161">
        <f t="shared" si="17"/>
        <v>1</v>
      </c>
      <c r="N432" s="161">
        <f t="shared" si="17"/>
        <v>0</v>
      </c>
      <c r="O432" s="161">
        <f t="shared" si="17"/>
        <v>0</v>
      </c>
      <c r="P432" s="161">
        <f t="shared" si="17"/>
        <v>1</v>
      </c>
      <c r="Q432" s="161">
        <f t="shared" si="17"/>
        <v>0</v>
      </c>
      <c r="R432" s="161">
        <f t="shared" si="17"/>
        <v>3</v>
      </c>
      <c r="S432" s="161">
        <f t="shared" si="17"/>
        <v>0</v>
      </c>
      <c r="T432" s="161">
        <f t="shared" si="17"/>
        <v>5</v>
      </c>
      <c r="U432" s="161">
        <f t="shared" si="17"/>
        <v>1</v>
      </c>
      <c r="V432" s="161">
        <f t="shared" si="17"/>
        <v>2</v>
      </c>
      <c r="W432" s="161">
        <f t="shared" si="17"/>
        <v>4</v>
      </c>
      <c r="X432" s="161">
        <f t="shared" si="17"/>
        <v>7</v>
      </c>
      <c r="Y432" s="161">
        <f t="shared" si="17"/>
        <v>3</v>
      </c>
      <c r="Z432" s="161">
        <f t="shared" si="17"/>
        <v>7</v>
      </c>
      <c r="AA432" s="161">
        <f t="shared" si="17"/>
        <v>5</v>
      </c>
      <c r="AB432" s="161">
        <f t="shared" si="17"/>
        <v>2</v>
      </c>
      <c r="AC432" s="161">
        <f t="shared" si="17"/>
        <v>0</v>
      </c>
      <c r="AD432" s="161">
        <f t="shared" si="17"/>
        <v>2</v>
      </c>
      <c r="AE432" s="293">
        <f>COUNTIFS($D$3:$D$418,"=g",$AL$3:$AL$418,"=Geology &amp; geophysics")</f>
        <v>0</v>
      </c>
      <c r="AF432" s="487">
        <f>COUNTIFS($D$3:$D$418,"=u",$AL$3:$AL$418,"=Geology &amp; geophysics")</f>
        <v>10</v>
      </c>
      <c r="AG432" s="293">
        <f>COUNTIFS($D$3:$D$418,"=Both",$AL$3:$AL$418,"=Geology &amp; geophysics")</f>
        <v>3</v>
      </c>
      <c r="AH432"/>
      <c r="AI432" s="293"/>
      <c r="AJ432" s="164"/>
      <c r="AK432" s="320"/>
      <c r="AL432" s="177"/>
      <c r="AM432" s="183"/>
      <c r="AN432" s="183"/>
      <c r="AO432" s="183"/>
      <c r="AP432" s="183"/>
    </row>
    <row r="433" spans="1:42" s="181" customFormat="1" ht="11.25" customHeight="1" thickBot="1">
      <c r="A433"/>
      <c r="B433"/>
      <c r="C433" s="158" t="s">
        <v>2044</v>
      </c>
      <c r="D433"/>
      <c r="E433" s="541"/>
      <c r="F433" s="215">
        <f t="shared" si="2"/>
        <v>10</v>
      </c>
      <c r="G433" s="238">
        <f t="shared" si="4"/>
        <v>112</v>
      </c>
      <c r="H433" s="161">
        <f t="shared" ref="H433:AD433" si="18">COUNTIFS(H3:H418,"=x",$AL$3:$AL$418,"=History")</f>
        <v>0</v>
      </c>
      <c r="I433" s="161">
        <f t="shared" si="18"/>
        <v>0</v>
      </c>
      <c r="J433" s="161">
        <f t="shared" si="18"/>
        <v>0</v>
      </c>
      <c r="K433" s="161">
        <f t="shared" si="18"/>
        <v>1</v>
      </c>
      <c r="L433" s="161">
        <f t="shared" si="18"/>
        <v>1</v>
      </c>
      <c r="M433" s="161">
        <f t="shared" si="18"/>
        <v>1</v>
      </c>
      <c r="N433" s="161">
        <f t="shared" si="18"/>
        <v>0</v>
      </c>
      <c r="O433" s="161">
        <f t="shared" si="18"/>
        <v>0</v>
      </c>
      <c r="P433" s="161">
        <f t="shared" si="18"/>
        <v>0</v>
      </c>
      <c r="Q433" s="161">
        <f t="shared" si="18"/>
        <v>0</v>
      </c>
      <c r="R433" s="161">
        <f t="shared" si="18"/>
        <v>0</v>
      </c>
      <c r="S433" s="161">
        <f t="shared" si="18"/>
        <v>0</v>
      </c>
      <c r="T433" s="161">
        <f t="shared" si="18"/>
        <v>1</v>
      </c>
      <c r="U433" s="161">
        <f t="shared" si="18"/>
        <v>2</v>
      </c>
      <c r="V433" s="161">
        <f t="shared" si="18"/>
        <v>0</v>
      </c>
      <c r="W433" s="161">
        <f t="shared" si="18"/>
        <v>0</v>
      </c>
      <c r="X433" s="161">
        <f t="shared" si="18"/>
        <v>0</v>
      </c>
      <c r="Y433" s="161">
        <f t="shared" si="18"/>
        <v>2</v>
      </c>
      <c r="Z433" s="161">
        <f t="shared" si="18"/>
        <v>1</v>
      </c>
      <c r="AA433" s="161">
        <f t="shared" si="18"/>
        <v>1</v>
      </c>
      <c r="AB433" s="161">
        <f t="shared" si="18"/>
        <v>0</v>
      </c>
      <c r="AC433" s="161">
        <f t="shared" si="18"/>
        <v>0</v>
      </c>
      <c r="AD433" s="161">
        <f t="shared" si="18"/>
        <v>0</v>
      </c>
      <c r="AE433" s="293">
        <f>COUNTIFS($D$3:$D$418,"=g",$AL$3:$AL$418,"=History")</f>
        <v>1</v>
      </c>
      <c r="AF433" s="487">
        <f>COUNTIFS($D$3:$D$418,"=u",$AL$3:$AL$418,"=History")</f>
        <v>1</v>
      </c>
      <c r="AG433" s="293">
        <f>COUNTIFS($D$3:$D$418,"=Both",$AL$3:$AL$418,"=History")</f>
        <v>0</v>
      </c>
      <c r="AH433"/>
      <c r="AI433" s="293"/>
      <c r="AJ433" s="164"/>
      <c r="AK433" s="321"/>
      <c r="AL433" s="177"/>
      <c r="AM433" s="183"/>
      <c r="AN433" s="183"/>
      <c r="AO433" s="183"/>
      <c r="AP433" s="183"/>
    </row>
    <row r="434" spans="1:42" s="181" customFormat="1" ht="11.25" customHeight="1" thickBot="1">
      <c r="A434"/>
      <c r="B434"/>
      <c r="C434" s="158" t="s">
        <v>1695</v>
      </c>
      <c r="D434"/>
      <c r="E434" s="541"/>
      <c r="F434" s="215">
        <f t="shared" si="2"/>
        <v>32</v>
      </c>
      <c r="G434" s="238">
        <f t="shared" si="4"/>
        <v>113</v>
      </c>
      <c r="H434" s="161">
        <f t="shared" ref="H434:AD434" si="19">COUNTIFS(H3:H418,"=x",$AL$3:$AL$418,"=International relations")</f>
        <v>3</v>
      </c>
      <c r="I434" s="161">
        <f t="shared" si="19"/>
        <v>2</v>
      </c>
      <c r="J434" s="161">
        <f t="shared" si="19"/>
        <v>1</v>
      </c>
      <c r="K434" s="161">
        <f t="shared" si="19"/>
        <v>1</v>
      </c>
      <c r="L434" s="161">
        <f t="shared" si="19"/>
        <v>3</v>
      </c>
      <c r="M434" s="161">
        <f t="shared" si="19"/>
        <v>5</v>
      </c>
      <c r="N434" s="161">
        <f t="shared" si="19"/>
        <v>2</v>
      </c>
      <c r="O434" s="161">
        <f t="shared" si="19"/>
        <v>1</v>
      </c>
      <c r="P434" s="161">
        <f t="shared" si="19"/>
        <v>0</v>
      </c>
      <c r="Q434" s="161">
        <f t="shared" si="19"/>
        <v>0</v>
      </c>
      <c r="R434" s="161">
        <f t="shared" si="19"/>
        <v>1</v>
      </c>
      <c r="S434" s="161">
        <f t="shared" si="19"/>
        <v>0</v>
      </c>
      <c r="T434" s="161">
        <f t="shared" si="19"/>
        <v>2</v>
      </c>
      <c r="U434" s="161">
        <f t="shared" si="19"/>
        <v>8</v>
      </c>
      <c r="V434" s="161">
        <f t="shared" si="19"/>
        <v>0</v>
      </c>
      <c r="W434" s="161">
        <f t="shared" si="19"/>
        <v>1</v>
      </c>
      <c r="X434" s="161">
        <f t="shared" si="19"/>
        <v>0</v>
      </c>
      <c r="Y434" s="161">
        <f t="shared" si="19"/>
        <v>0</v>
      </c>
      <c r="Z434" s="161">
        <f t="shared" si="19"/>
        <v>1</v>
      </c>
      <c r="AA434" s="161">
        <f t="shared" si="19"/>
        <v>1</v>
      </c>
      <c r="AB434" s="161">
        <f t="shared" si="19"/>
        <v>0</v>
      </c>
      <c r="AC434" s="161">
        <f t="shared" si="19"/>
        <v>1</v>
      </c>
      <c r="AD434" s="161">
        <f t="shared" si="19"/>
        <v>2</v>
      </c>
      <c r="AE434" s="293">
        <f>COUNTIFS($D$3:$D$418,"=g",$AL$3:$AL$418,"=International relations")</f>
        <v>7</v>
      </c>
      <c r="AF434" s="487">
        <f>COUNTIFS($D$3:$D$418,"=u",$AL$3:$AL$418,"=International relations")</f>
        <v>1</v>
      </c>
      <c r="AG434" s="293">
        <f>COUNTIFS($D$3:$D$418,"=Both",$AL$3:$AL$418,"=International relations")</f>
        <v>0</v>
      </c>
      <c r="AH434"/>
      <c r="AI434" s="293"/>
      <c r="AJ434" s="164"/>
      <c r="AK434" s="320"/>
      <c r="AL434" s="177"/>
      <c r="AM434" s="183"/>
      <c r="AN434" s="183"/>
      <c r="AO434" s="183"/>
      <c r="AP434" s="183"/>
    </row>
    <row r="435" spans="1:42" s="181" customFormat="1" ht="11.25" customHeight="1" thickBot="1">
      <c r="A435"/>
      <c r="B435"/>
      <c r="C435" s="158" t="s">
        <v>1692</v>
      </c>
      <c r="D435"/>
      <c r="E435" s="541"/>
      <c r="F435" s="215">
        <f t="shared" si="2"/>
        <v>32</v>
      </c>
      <c r="G435" s="238">
        <f t="shared" si="4"/>
        <v>114</v>
      </c>
      <c r="H435" s="161">
        <f t="shared" ref="H435:AD435" si="20">COUNTIFS(H3:H418,"=x",$AL$3:$AL$418,"=Law")</f>
        <v>1</v>
      </c>
      <c r="I435" s="161">
        <f t="shared" si="20"/>
        <v>0</v>
      </c>
      <c r="J435" s="161">
        <f t="shared" si="20"/>
        <v>3</v>
      </c>
      <c r="K435" s="161">
        <f t="shared" si="20"/>
        <v>2</v>
      </c>
      <c r="L435" s="161">
        <f t="shared" si="20"/>
        <v>2</v>
      </c>
      <c r="M435" s="161">
        <f t="shared" si="20"/>
        <v>7</v>
      </c>
      <c r="N435" s="161">
        <f t="shared" si="20"/>
        <v>3</v>
      </c>
      <c r="O435" s="161">
        <f t="shared" si="20"/>
        <v>0</v>
      </c>
      <c r="P435" s="161">
        <f t="shared" si="20"/>
        <v>3</v>
      </c>
      <c r="Q435" s="161">
        <f t="shared" si="20"/>
        <v>2</v>
      </c>
      <c r="R435" s="161">
        <f t="shared" si="20"/>
        <v>2</v>
      </c>
      <c r="S435" s="161">
        <f t="shared" si="20"/>
        <v>0</v>
      </c>
      <c r="T435" s="161">
        <f t="shared" si="20"/>
        <v>0</v>
      </c>
      <c r="U435" s="161">
        <f t="shared" si="20"/>
        <v>4</v>
      </c>
      <c r="V435" s="161">
        <f t="shared" si="20"/>
        <v>0</v>
      </c>
      <c r="W435" s="161">
        <f t="shared" si="20"/>
        <v>2</v>
      </c>
      <c r="X435" s="161">
        <f t="shared" si="20"/>
        <v>1</v>
      </c>
      <c r="Y435" s="161">
        <f t="shared" si="20"/>
        <v>0</v>
      </c>
      <c r="Z435" s="161">
        <f t="shared" si="20"/>
        <v>0</v>
      </c>
      <c r="AA435" s="161">
        <f t="shared" si="20"/>
        <v>0</v>
      </c>
      <c r="AB435" s="161">
        <f t="shared" si="20"/>
        <v>0</v>
      </c>
      <c r="AC435" s="161">
        <f t="shared" si="20"/>
        <v>1</v>
      </c>
      <c r="AD435" s="161">
        <f t="shared" si="20"/>
        <v>1</v>
      </c>
      <c r="AE435" s="293">
        <f>COUNTIFS($D$3:$D$418,"=g",$AL$3:$AL$418,"=Law")</f>
        <v>9</v>
      </c>
      <c r="AF435" s="487">
        <f>COUNTIFS($D$3:$D$418,"=u",$AL$3:$AL$418,"=Law")</f>
        <v>0</v>
      </c>
      <c r="AG435" s="293">
        <f>COUNTIFS($D$3:$D$418,"=Both",$AL$3:$AL$418,"=Law")</f>
        <v>0</v>
      </c>
      <c r="AH435"/>
      <c r="AI435" s="293"/>
      <c r="AJ435" s="164"/>
      <c r="AK435" s="321"/>
      <c r="AL435" s="177"/>
      <c r="AM435" s="183"/>
      <c r="AN435" s="183"/>
      <c r="AO435" s="183"/>
      <c r="AP435" s="183"/>
    </row>
    <row r="436" spans="1:42" s="181" customFormat="1" ht="11.25" customHeight="1" thickBot="1">
      <c r="A436"/>
      <c r="B436"/>
      <c r="C436" s="180" t="s">
        <v>1703</v>
      </c>
      <c r="D436"/>
      <c r="E436" s="541"/>
      <c r="F436" s="215">
        <f t="shared" si="2"/>
        <v>30</v>
      </c>
      <c r="G436" s="238">
        <f t="shared" si="4"/>
        <v>115</v>
      </c>
      <c r="H436" s="161">
        <f t="shared" ref="H436:AD436" si="21">COUNTIFS(H3:H418,"=x",$AL$3:$AL$418,"=Political science")</f>
        <v>1</v>
      </c>
      <c r="I436" s="161">
        <f t="shared" si="21"/>
        <v>2</v>
      </c>
      <c r="J436" s="161">
        <f t="shared" si="21"/>
        <v>0</v>
      </c>
      <c r="K436" s="161">
        <f t="shared" si="21"/>
        <v>0</v>
      </c>
      <c r="L436" s="161">
        <f t="shared" si="21"/>
        <v>6</v>
      </c>
      <c r="M436" s="161">
        <f t="shared" si="21"/>
        <v>7</v>
      </c>
      <c r="N436" s="161">
        <f t="shared" si="21"/>
        <v>1</v>
      </c>
      <c r="O436" s="161">
        <f t="shared" si="21"/>
        <v>0</v>
      </c>
      <c r="P436" s="161">
        <f t="shared" si="21"/>
        <v>0</v>
      </c>
      <c r="Q436" s="161">
        <f t="shared" si="21"/>
        <v>1</v>
      </c>
      <c r="R436" s="161">
        <f t="shared" si="21"/>
        <v>0</v>
      </c>
      <c r="S436" s="161">
        <f t="shared" si="21"/>
        <v>0</v>
      </c>
      <c r="T436" s="161">
        <f t="shared" si="21"/>
        <v>0</v>
      </c>
      <c r="U436" s="161">
        <f t="shared" si="21"/>
        <v>12</v>
      </c>
      <c r="V436" s="161">
        <f t="shared" si="21"/>
        <v>0</v>
      </c>
      <c r="W436" s="161">
        <f t="shared" si="21"/>
        <v>0</v>
      </c>
      <c r="X436" s="161">
        <f t="shared" si="21"/>
        <v>0</v>
      </c>
      <c r="Y436" s="161">
        <f t="shared" si="21"/>
        <v>0</v>
      </c>
      <c r="Z436" s="161">
        <f t="shared" si="21"/>
        <v>0</v>
      </c>
      <c r="AA436" s="161">
        <f t="shared" si="21"/>
        <v>0</v>
      </c>
      <c r="AB436" s="161">
        <f t="shared" si="21"/>
        <v>0</v>
      </c>
      <c r="AC436" s="161">
        <f t="shared" si="21"/>
        <v>0</v>
      </c>
      <c r="AD436" s="161">
        <f t="shared" si="21"/>
        <v>1</v>
      </c>
      <c r="AE436" s="293">
        <f>COUNTIFS($D$3:$D$418,"=g",$AL$3:$AL$418,"=Political science")</f>
        <v>3</v>
      </c>
      <c r="AF436" s="487">
        <f>COUNTIFS($D$3:$D$418,"=u",$AL$3:$AL$418,"=Political science")</f>
        <v>12</v>
      </c>
      <c r="AG436" s="293">
        <f>COUNTIFS($D$3:$D$418,"=Both",$AL$3:$AL$418,"=Political science")</f>
        <v>1</v>
      </c>
      <c r="AH436"/>
      <c r="AI436" s="293"/>
      <c r="AJ436" s="164"/>
      <c r="AK436" s="320"/>
      <c r="AL436" s="177"/>
      <c r="AM436" s="183"/>
      <c r="AN436" s="183"/>
      <c r="AO436" s="183"/>
      <c r="AP436" s="183"/>
    </row>
    <row r="437" spans="1:42" s="181" customFormat="1" ht="11.25" customHeight="1" thickBot="1">
      <c r="A437"/>
      <c r="B437"/>
      <c r="C437" s="158" t="s">
        <v>1704</v>
      </c>
      <c r="D437"/>
      <c r="E437" s="541"/>
      <c r="F437" s="215">
        <f t="shared" si="2"/>
        <v>14</v>
      </c>
      <c r="G437" s="238">
        <f t="shared" si="4"/>
        <v>116</v>
      </c>
      <c r="H437" s="161">
        <f t="shared" ref="H437:AD437" si="22">COUNTIFS(H3:H418,"=x",$AL$3:$AL$418,"=Psychology")</f>
        <v>0</v>
      </c>
      <c r="I437" s="161">
        <f t="shared" si="22"/>
        <v>0</v>
      </c>
      <c r="J437" s="161">
        <f t="shared" si="22"/>
        <v>0</v>
      </c>
      <c r="K437" s="161">
        <f t="shared" si="22"/>
        <v>0</v>
      </c>
      <c r="L437" s="161">
        <f t="shared" si="22"/>
        <v>0</v>
      </c>
      <c r="M437" s="161">
        <f t="shared" si="22"/>
        <v>3</v>
      </c>
      <c r="N437" s="161">
        <f t="shared" si="22"/>
        <v>0</v>
      </c>
      <c r="O437" s="161">
        <f t="shared" si="22"/>
        <v>0</v>
      </c>
      <c r="P437" s="161">
        <f t="shared" si="22"/>
        <v>0</v>
      </c>
      <c r="Q437" s="161">
        <f t="shared" si="22"/>
        <v>0</v>
      </c>
      <c r="R437" s="161">
        <f t="shared" si="22"/>
        <v>0</v>
      </c>
      <c r="S437" s="161">
        <f t="shared" si="22"/>
        <v>0</v>
      </c>
      <c r="T437" s="161">
        <f t="shared" si="22"/>
        <v>3</v>
      </c>
      <c r="U437" s="161">
        <f t="shared" si="22"/>
        <v>2</v>
      </c>
      <c r="V437" s="161">
        <f t="shared" si="22"/>
        <v>0</v>
      </c>
      <c r="W437" s="161">
        <f t="shared" si="22"/>
        <v>0</v>
      </c>
      <c r="X437" s="161">
        <f t="shared" si="22"/>
        <v>0</v>
      </c>
      <c r="Y437" s="161">
        <f t="shared" si="22"/>
        <v>3</v>
      </c>
      <c r="Z437" s="161">
        <f t="shared" si="22"/>
        <v>0</v>
      </c>
      <c r="AA437" s="161">
        <f t="shared" si="22"/>
        <v>3</v>
      </c>
      <c r="AB437" s="161">
        <f t="shared" si="22"/>
        <v>0</v>
      </c>
      <c r="AC437" s="161">
        <f t="shared" si="22"/>
        <v>0</v>
      </c>
      <c r="AD437" s="161">
        <f t="shared" si="22"/>
        <v>0</v>
      </c>
      <c r="AE437" s="293">
        <f>COUNTIFS($D$3:$D$418,"=g",$AL$3:$AL$418,"=Psychology")</f>
        <v>1</v>
      </c>
      <c r="AF437" s="487">
        <f>COUNTIFS($D$3:$D$418,"=u",$AL$3:$AL$418,"=Psychology")</f>
        <v>3</v>
      </c>
      <c r="AG437" s="293">
        <f>COUNTIFS($D$3:$D$418,"=Both",$AL$3:$AL$418,"=Psychology")</f>
        <v>0</v>
      </c>
      <c r="AH437"/>
      <c r="AI437" s="293"/>
      <c r="AJ437" s="164"/>
      <c r="AK437" s="321"/>
      <c r="AL437" s="177"/>
      <c r="AM437" s="183"/>
      <c r="AN437" s="183"/>
      <c r="AO437" s="183"/>
      <c r="AP437" s="183"/>
    </row>
    <row r="438" spans="1:42" s="181" customFormat="1" ht="11.25" customHeight="1" thickBot="1">
      <c r="A438"/>
      <c r="B438"/>
      <c r="C438" s="158" t="s">
        <v>1699</v>
      </c>
      <c r="D438"/>
      <c r="E438" s="541"/>
      <c r="F438" s="215">
        <f t="shared" si="2"/>
        <v>50</v>
      </c>
      <c r="G438" s="238">
        <f t="shared" si="4"/>
        <v>117</v>
      </c>
      <c r="H438" s="161">
        <f t="shared" ref="H438:AD438" si="23">COUNTIFS(H3:H418,"=x",$AL$3:$AL$418,"=Public health")</f>
        <v>0</v>
      </c>
      <c r="I438" s="161">
        <f t="shared" si="23"/>
        <v>0</v>
      </c>
      <c r="J438" s="161">
        <f t="shared" si="23"/>
        <v>0</v>
      </c>
      <c r="K438" s="161">
        <f t="shared" si="23"/>
        <v>2</v>
      </c>
      <c r="L438" s="161">
        <f t="shared" si="23"/>
        <v>1</v>
      </c>
      <c r="M438" s="161">
        <f t="shared" si="23"/>
        <v>4</v>
      </c>
      <c r="N438" s="161">
        <f t="shared" si="23"/>
        <v>0</v>
      </c>
      <c r="O438" s="161">
        <f t="shared" si="23"/>
        <v>14</v>
      </c>
      <c r="P438" s="161">
        <f t="shared" si="23"/>
        <v>1</v>
      </c>
      <c r="Q438" s="161">
        <f t="shared" si="23"/>
        <v>1</v>
      </c>
      <c r="R438" s="161">
        <f t="shared" si="23"/>
        <v>1</v>
      </c>
      <c r="S438" s="161">
        <f t="shared" si="23"/>
        <v>1</v>
      </c>
      <c r="T438" s="161">
        <f t="shared" si="23"/>
        <v>3</v>
      </c>
      <c r="U438" s="161">
        <f t="shared" si="23"/>
        <v>2</v>
      </c>
      <c r="V438" s="161">
        <f t="shared" si="23"/>
        <v>6</v>
      </c>
      <c r="W438" s="161">
        <f t="shared" si="23"/>
        <v>6</v>
      </c>
      <c r="X438" s="161">
        <f t="shared" si="23"/>
        <v>3</v>
      </c>
      <c r="Y438" s="161">
        <f t="shared" si="23"/>
        <v>2</v>
      </c>
      <c r="Z438" s="161">
        <f t="shared" si="23"/>
        <v>3</v>
      </c>
      <c r="AA438" s="161">
        <f t="shared" si="23"/>
        <v>0</v>
      </c>
      <c r="AB438" s="161">
        <f t="shared" si="23"/>
        <v>0</v>
      </c>
      <c r="AC438" s="161">
        <f t="shared" si="23"/>
        <v>2</v>
      </c>
      <c r="AD438" s="161">
        <f t="shared" si="23"/>
        <v>3</v>
      </c>
      <c r="AE438" s="293">
        <f>COUNTIFS($D$3:$D$418,"=g",$AL$3:$AL$418,"=Public health")</f>
        <v>12</v>
      </c>
      <c r="AF438" s="487">
        <f>COUNTIFS($D$3:$D$418,"=u",$AL$3:$AL$418,"=Public health")</f>
        <v>1</v>
      </c>
      <c r="AG438" s="293">
        <f>COUNTIFS($D$3:$D$418,"=Both",$AL$3:$AL$418,"=Public health")</f>
        <v>0</v>
      </c>
      <c r="AH438"/>
      <c r="AI438" s="293"/>
      <c r="AJ438" s="164"/>
      <c r="AK438" s="320"/>
      <c r="AL438" s="177"/>
      <c r="AM438" s="183"/>
      <c r="AN438" s="183"/>
      <c r="AO438" s="183"/>
      <c r="AP438" s="183"/>
    </row>
    <row r="439" spans="1:42" s="181" customFormat="1" ht="11.25" customHeight="1" thickBot="1">
      <c r="A439"/>
      <c r="B439"/>
      <c r="C439" s="158" t="s">
        <v>1707</v>
      </c>
      <c r="D439"/>
      <c r="E439" s="541"/>
      <c r="F439" s="215">
        <f t="shared" si="2"/>
        <v>6</v>
      </c>
      <c r="G439" s="238">
        <f t="shared" si="4"/>
        <v>118</v>
      </c>
      <c r="H439" s="161">
        <f t="shared" ref="H439:AD439" si="24">COUNTIFS(H3:H418,"=x",$AL$3:$AL$418,"=Sociology")</f>
        <v>0</v>
      </c>
      <c r="I439" s="161">
        <f t="shared" si="24"/>
        <v>0</v>
      </c>
      <c r="J439" s="161">
        <f t="shared" si="24"/>
        <v>0</v>
      </c>
      <c r="K439" s="161">
        <f t="shared" si="24"/>
        <v>0</v>
      </c>
      <c r="L439" s="161">
        <f t="shared" si="24"/>
        <v>0</v>
      </c>
      <c r="M439" s="161">
        <f t="shared" si="24"/>
        <v>3</v>
      </c>
      <c r="N439" s="161">
        <f t="shared" si="24"/>
        <v>1</v>
      </c>
      <c r="O439" s="161">
        <f t="shared" si="24"/>
        <v>0</v>
      </c>
      <c r="P439" s="161">
        <f t="shared" si="24"/>
        <v>1</v>
      </c>
      <c r="Q439" s="161">
        <f t="shared" si="24"/>
        <v>0</v>
      </c>
      <c r="R439" s="161">
        <f t="shared" si="24"/>
        <v>0</v>
      </c>
      <c r="S439" s="161">
        <f t="shared" si="24"/>
        <v>0</v>
      </c>
      <c r="T439" s="161">
        <f t="shared" si="24"/>
        <v>0</v>
      </c>
      <c r="U439" s="161">
        <f t="shared" si="24"/>
        <v>1</v>
      </c>
      <c r="V439" s="161">
        <f t="shared" si="24"/>
        <v>0</v>
      </c>
      <c r="W439" s="161">
        <f t="shared" si="24"/>
        <v>0</v>
      </c>
      <c r="X439" s="161">
        <f t="shared" si="24"/>
        <v>0</v>
      </c>
      <c r="Y439" s="161">
        <f t="shared" si="24"/>
        <v>0</v>
      </c>
      <c r="Z439" s="161">
        <f t="shared" si="24"/>
        <v>0</v>
      </c>
      <c r="AA439" s="161">
        <f t="shared" si="24"/>
        <v>0</v>
      </c>
      <c r="AB439" s="161">
        <f t="shared" si="24"/>
        <v>0</v>
      </c>
      <c r="AC439" s="161">
        <f t="shared" si="24"/>
        <v>0</v>
      </c>
      <c r="AD439" s="161">
        <f t="shared" si="24"/>
        <v>0</v>
      </c>
      <c r="AE439" s="293">
        <f>COUNTIFS($D$3:$D$418,"=g",$AL$3:$AL$418,"=Sociology")</f>
        <v>0</v>
      </c>
      <c r="AF439" s="487">
        <f>COUNTIFS($D$3:$D$418,"=u",$AL$3:$AL$418,"=Sociology")</f>
        <v>4</v>
      </c>
      <c r="AG439" s="293">
        <f>COUNTIFS($D$3:$D$418,"=Both",$AL$3:$AL$418,"=Sociology")</f>
        <v>0</v>
      </c>
      <c r="AH439"/>
      <c r="AI439" s="293"/>
      <c r="AJ439" s="164"/>
      <c r="AK439" s="321"/>
      <c r="AL439" s="177"/>
      <c r="AM439" s="183"/>
      <c r="AN439" s="183"/>
      <c r="AO439" s="183"/>
      <c r="AP439" s="183"/>
    </row>
    <row r="440" spans="1:42" s="181" customFormat="1" ht="11.25" customHeight="1" thickBot="1">
      <c r="A440"/>
      <c r="B440"/>
      <c r="C440" s="158" t="s">
        <v>1691</v>
      </c>
      <c r="D440"/>
      <c r="E440" s="541"/>
      <c r="F440" s="215">
        <f t="shared" si="2"/>
        <v>117</v>
      </c>
      <c r="G440" s="238">
        <f t="shared" si="4"/>
        <v>119</v>
      </c>
      <c r="H440" s="161">
        <f t="shared" ref="H440:AD440" si="25">COUNTIFS(H3:H418,"=x",$AL$3:$AL$418,"=SOM")</f>
        <v>23</v>
      </c>
      <c r="I440" s="161">
        <f t="shared" si="25"/>
        <v>21</v>
      </c>
      <c r="J440" s="161">
        <f t="shared" si="25"/>
        <v>22</v>
      </c>
      <c r="K440" s="161">
        <f t="shared" si="25"/>
        <v>4</v>
      </c>
      <c r="L440" s="161">
        <f t="shared" si="25"/>
        <v>6</v>
      </c>
      <c r="M440" s="161">
        <f t="shared" si="25"/>
        <v>5</v>
      </c>
      <c r="N440" s="161">
        <f t="shared" si="25"/>
        <v>3</v>
      </c>
      <c r="O440" s="161">
        <f t="shared" si="25"/>
        <v>0</v>
      </c>
      <c r="P440" s="161">
        <f t="shared" si="25"/>
        <v>1</v>
      </c>
      <c r="Q440" s="161">
        <f t="shared" si="25"/>
        <v>10</v>
      </c>
      <c r="R440" s="161">
        <f t="shared" si="25"/>
        <v>5</v>
      </c>
      <c r="S440" s="161">
        <f t="shared" si="25"/>
        <v>4</v>
      </c>
      <c r="T440" s="161">
        <f t="shared" si="25"/>
        <v>2</v>
      </c>
      <c r="U440" s="161">
        <f t="shared" si="25"/>
        <v>11</v>
      </c>
      <c r="V440" s="161">
        <f t="shared" si="25"/>
        <v>0</v>
      </c>
      <c r="W440" s="161">
        <f t="shared" si="25"/>
        <v>0</v>
      </c>
      <c r="X440" s="161">
        <f t="shared" si="25"/>
        <v>0</v>
      </c>
      <c r="Y440" s="161">
        <f t="shared" si="25"/>
        <v>0</v>
      </c>
      <c r="Z440" s="161">
        <f t="shared" si="25"/>
        <v>0</v>
      </c>
      <c r="AA440" s="161">
        <f t="shared" si="25"/>
        <v>0</v>
      </c>
      <c r="AB440" s="161">
        <f t="shared" si="25"/>
        <v>0</v>
      </c>
      <c r="AC440" s="161">
        <f t="shared" si="25"/>
        <v>8</v>
      </c>
      <c r="AD440" s="161">
        <f t="shared" si="25"/>
        <v>2</v>
      </c>
      <c r="AE440" s="293">
        <f>COUNTIFS($D$3:$D$418,"=g",$AL$3:$AL$418,"=SOM")</f>
        <v>80</v>
      </c>
      <c r="AF440" s="487">
        <f>COUNTIFS($D$3:$D$418,"=u",$AL$3:$AL$418,"=SOM")</f>
        <v>0</v>
      </c>
      <c r="AG440" s="293">
        <f>COUNTIFS($D$3:$D$418,"=Both",$AL$3:$AL$418,"=SOM")</f>
        <v>0</v>
      </c>
      <c r="AH440"/>
      <c r="AI440" s="293"/>
      <c r="AJ440" s="164"/>
      <c r="AK440" s="320"/>
      <c r="AL440" s="177"/>
      <c r="AM440" s="183"/>
      <c r="AN440" s="183"/>
      <c r="AO440" s="183"/>
      <c r="AP440" s="183"/>
    </row>
    <row r="441" spans="1:42" s="181" customFormat="1" ht="11.25" customHeight="1" thickBot="1">
      <c r="A441"/>
      <c r="B441"/>
      <c r="C441" s="158" t="s">
        <v>1706</v>
      </c>
      <c r="D441"/>
      <c r="E441" s="363"/>
      <c r="F441" s="215">
        <f t="shared" si="2"/>
        <v>8</v>
      </c>
      <c r="G441" s="238">
        <f t="shared" si="4"/>
        <v>120</v>
      </c>
      <c r="H441" s="161">
        <f t="shared" ref="H441:AD441" si="26">COUNTIFS(H3:H418,"=x",$AL$3:$AL$418,"=South asian studies")</f>
        <v>0</v>
      </c>
      <c r="I441" s="161">
        <f t="shared" si="26"/>
        <v>0</v>
      </c>
      <c r="J441" s="161">
        <f t="shared" si="26"/>
        <v>0</v>
      </c>
      <c r="K441" s="161">
        <f t="shared" si="26"/>
        <v>0</v>
      </c>
      <c r="L441" s="161">
        <f t="shared" si="26"/>
        <v>1</v>
      </c>
      <c r="M441" s="161">
        <f t="shared" si="26"/>
        <v>2</v>
      </c>
      <c r="N441" s="161">
        <f t="shared" si="26"/>
        <v>0</v>
      </c>
      <c r="O441" s="161">
        <f t="shared" si="26"/>
        <v>1</v>
      </c>
      <c r="P441" s="161">
        <f t="shared" si="26"/>
        <v>0</v>
      </c>
      <c r="Q441" s="161">
        <f t="shared" si="26"/>
        <v>0</v>
      </c>
      <c r="R441" s="161">
        <f t="shared" si="26"/>
        <v>1</v>
      </c>
      <c r="S441" s="161">
        <f t="shared" si="26"/>
        <v>0</v>
      </c>
      <c r="T441" s="161">
        <f t="shared" si="26"/>
        <v>0</v>
      </c>
      <c r="U441" s="161">
        <f t="shared" si="26"/>
        <v>2</v>
      </c>
      <c r="V441" s="161">
        <f t="shared" si="26"/>
        <v>0</v>
      </c>
      <c r="W441" s="161">
        <f t="shared" si="26"/>
        <v>0</v>
      </c>
      <c r="X441" s="161">
        <f t="shared" si="26"/>
        <v>0</v>
      </c>
      <c r="Y441" s="161">
        <f t="shared" si="26"/>
        <v>0</v>
      </c>
      <c r="Z441" s="161">
        <f t="shared" si="26"/>
        <v>1</v>
      </c>
      <c r="AA441" s="161">
        <f t="shared" si="26"/>
        <v>0</v>
      </c>
      <c r="AB441" s="161">
        <f t="shared" si="26"/>
        <v>0</v>
      </c>
      <c r="AC441" s="161">
        <f t="shared" si="26"/>
        <v>0</v>
      </c>
      <c r="AD441" s="161">
        <f t="shared" si="26"/>
        <v>0</v>
      </c>
      <c r="AE441" s="293">
        <f>COUNTIFS($D$3:$D$418,"=g",$AL$3:$AL$418,"=South asian studies")</f>
        <v>0</v>
      </c>
      <c r="AF441" s="487">
        <f>COUNTIFS($D$3:$D$418,"=u",$AL$3:$AL$418,"=South asian studies")</f>
        <v>2</v>
      </c>
      <c r="AG441" s="293">
        <f>COUNTIFS($D$3:$D$418,"=Both",$AL$3:$AL$418,"=South asian studies")</f>
        <v>0</v>
      </c>
      <c r="AH441"/>
      <c r="AI441" s="293"/>
      <c r="AJ441" s="164"/>
      <c r="AK441" s="321"/>
      <c r="AL441" s="177"/>
      <c r="AM441" s="183"/>
      <c r="AN441" s="183"/>
      <c r="AO441" s="183"/>
      <c r="AP441" s="183"/>
    </row>
    <row r="442" spans="1:42" s="181" customFormat="1" ht="11.25" customHeight="1" thickBot="1">
      <c r="A442"/>
      <c r="B442"/>
      <c r="C442" s="178" t="s">
        <v>1708</v>
      </c>
      <c r="D442"/>
      <c r="E442"/>
      <c r="F442" s="215">
        <f t="shared" si="2"/>
        <v>4</v>
      </c>
      <c r="G442" s="238">
        <f t="shared" si="4"/>
        <v>121</v>
      </c>
      <c r="H442" s="161">
        <f t="shared" ref="H442:AD442" si="27">COUNTIFS(H3:H418,"=x",$AL$3:$AL$418,"=Women's, gender, and sexuality studies")</f>
        <v>0</v>
      </c>
      <c r="I442" s="161">
        <f t="shared" si="27"/>
        <v>0</v>
      </c>
      <c r="J442" s="161">
        <f t="shared" si="27"/>
        <v>0</v>
      </c>
      <c r="K442" s="161">
        <f t="shared" si="27"/>
        <v>0</v>
      </c>
      <c r="L442" s="161">
        <f t="shared" si="27"/>
        <v>0</v>
      </c>
      <c r="M442" s="161">
        <f t="shared" si="27"/>
        <v>1</v>
      </c>
      <c r="N442" s="161">
        <f t="shared" si="27"/>
        <v>0</v>
      </c>
      <c r="O442" s="161">
        <f t="shared" si="27"/>
        <v>1</v>
      </c>
      <c r="P442" s="161">
        <f t="shared" si="27"/>
        <v>0</v>
      </c>
      <c r="Q442" s="161">
        <f t="shared" si="27"/>
        <v>0</v>
      </c>
      <c r="R442" s="161">
        <f t="shared" si="27"/>
        <v>0</v>
      </c>
      <c r="S442" s="161">
        <f t="shared" si="27"/>
        <v>0</v>
      </c>
      <c r="T442" s="161">
        <f t="shared" si="27"/>
        <v>0</v>
      </c>
      <c r="U442" s="161">
        <f t="shared" si="27"/>
        <v>0</v>
      </c>
      <c r="V442" s="161">
        <f t="shared" si="27"/>
        <v>0</v>
      </c>
      <c r="W442" s="161">
        <f t="shared" si="27"/>
        <v>0</v>
      </c>
      <c r="X442" s="161">
        <f t="shared" si="27"/>
        <v>0</v>
      </c>
      <c r="Y442" s="161">
        <f t="shared" si="27"/>
        <v>1</v>
      </c>
      <c r="Z442" s="161">
        <f t="shared" si="27"/>
        <v>0</v>
      </c>
      <c r="AA442" s="161">
        <f t="shared" si="27"/>
        <v>1</v>
      </c>
      <c r="AB442" s="161">
        <f t="shared" si="27"/>
        <v>0</v>
      </c>
      <c r="AC442" s="161">
        <f t="shared" si="27"/>
        <v>0</v>
      </c>
      <c r="AD442" s="161">
        <f t="shared" si="27"/>
        <v>0</v>
      </c>
      <c r="AE442" s="293">
        <f>COUNTIFS($D$3:$D$418,"=g",$AL$3:$AL$418,"=Women's, gender, and sexuality studies")</f>
        <v>0</v>
      </c>
      <c r="AF442" s="487">
        <f>COUNTIFS($D$3:$D$418,"=u",$AL$3:$AL$418,"=Women's, gender, and sexuality studies")</f>
        <v>1</v>
      </c>
      <c r="AG442" s="293">
        <f>COUNTIFS($D$3:$D$418,"=Both",$AL$3:$AL$418,"=Women's, gender, and sexuality studies")</f>
        <v>0</v>
      </c>
      <c r="AH442"/>
      <c r="AI442" s="293"/>
      <c r="AJ442" s="164"/>
      <c r="AK442" s="320"/>
      <c r="AL442" s="177"/>
      <c r="AM442" s="183"/>
      <c r="AN442" s="183"/>
      <c r="AO442" s="183"/>
      <c r="AP442" s="183"/>
    </row>
    <row r="443" spans="1:42" s="181" customFormat="1" ht="11.25" customHeight="1" thickBot="1">
      <c r="A443"/>
      <c r="B443"/>
      <c r="C443"/>
      <c r="D443"/>
      <c r="E443"/>
      <c r="F443" s="216">
        <f>SUM(F421:F442)</f>
        <v>1384</v>
      </c>
      <c r="G443" s="239"/>
      <c r="H443" s="197">
        <f>SUM(H421:H442)</f>
        <v>56</v>
      </c>
      <c r="I443" s="197">
        <f>SUM(I421:I442)</f>
        <v>33</v>
      </c>
      <c r="J443" s="197">
        <f>SUM(J421:J442)</f>
        <v>63</v>
      </c>
      <c r="K443" s="197">
        <f t="shared" ref="K443:AD443" si="28">SUM(K421:K442)</f>
        <v>78</v>
      </c>
      <c r="L443" s="197">
        <f t="shared" si="28"/>
        <v>75</v>
      </c>
      <c r="M443" s="197">
        <f t="shared" si="28"/>
        <v>139</v>
      </c>
      <c r="N443" s="197">
        <f t="shared" si="28"/>
        <v>74</v>
      </c>
      <c r="O443" s="197">
        <f t="shared" si="28"/>
        <v>42</v>
      </c>
      <c r="P443" s="197">
        <f t="shared" si="28"/>
        <v>42</v>
      </c>
      <c r="Q443" s="197">
        <f t="shared" si="28"/>
        <v>36</v>
      </c>
      <c r="R443" s="197">
        <f t="shared" si="28"/>
        <v>54</v>
      </c>
      <c r="S443" s="197">
        <f t="shared" si="28"/>
        <v>26</v>
      </c>
      <c r="T443" s="197">
        <f t="shared" si="28"/>
        <v>129</v>
      </c>
      <c r="U443" s="197">
        <f t="shared" si="28"/>
        <v>118</v>
      </c>
      <c r="V443" s="197">
        <f t="shared" si="28"/>
        <v>38</v>
      </c>
      <c r="W443" s="197">
        <f t="shared" si="28"/>
        <v>57</v>
      </c>
      <c r="X443" s="197">
        <f t="shared" si="28"/>
        <v>49</v>
      </c>
      <c r="Y443" s="197">
        <f t="shared" si="28"/>
        <v>65</v>
      </c>
      <c r="Z443" s="197">
        <f t="shared" si="28"/>
        <v>75</v>
      </c>
      <c r="AA443" s="197">
        <f t="shared" si="28"/>
        <v>90</v>
      </c>
      <c r="AB443" s="197">
        <f t="shared" si="28"/>
        <v>45</v>
      </c>
      <c r="AC443" s="198">
        <f t="shared" si="28"/>
        <v>77</v>
      </c>
      <c r="AD443" s="198">
        <f t="shared" si="28"/>
        <v>60</v>
      </c>
      <c r="AE443" s="198">
        <f>SUM(AE421:AE442)</f>
        <v>259</v>
      </c>
      <c r="AF443" s="198">
        <f>SUM(AF421:AF442)</f>
        <v>115</v>
      </c>
      <c r="AG443" s="356">
        <f>SUM(AG421:AG442)</f>
        <v>30</v>
      </c>
      <c r="AH443"/>
      <c r="AI443" s="198"/>
      <c r="AJ443" s="164"/>
      <c r="AK443"/>
      <c r="AL443" s="177"/>
      <c r="AM443" s="183"/>
      <c r="AN443" s="183"/>
      <c r="AO443" s="183"/>
      <c r="AP443" s="183"/>
    </row>
    <row r="444" spans="1:42" s="181" customFormat="1" ht="11.25" customHeight="1" thickBot="1">
      <c r="A444"/>
      <c r="B444"/>
      <c r="C444" s="226" t="s">
        <v>1988</v>
      </c>
      <c r="D444"/>
      <c r="E444"/>
      <c r="F444"/>
      <c r="G444" s="239"/>
      <c r="H444"/>
      <c r="I444"/>
      <c r="J444"/>
      <c r="K444"/>
      <c r="L444"/>
      <c r="M444"/>
      <c r="N444"/>
      <c r="O444"/>
      <c r="P444"/>
      <c r="Q444"/>
      <c r="R444"/>
      <c r="S444"/>
      <c r="T444"/>
      <c r="U444"/>
      <c r="V444"/>
      <c r="W444"/>
      <c r="X444"/>
      <c r="Y444"/>
      <c r="Z444"/>
      <c r="AA444"/>
      <c r="AB444"/>
      <c r="AC444"/>
      <c r="AD444" s="161"/>
      <c r="AE444" s="161"/>
      <c r="AF444" s="161"/>
      <c r="AG444" s="164"/>
      <c r="AH444"/>
      <c r="AI444"/>
      <c r="AJ444" s="164"/>
      <c r="AK444"/>
      <c r="AL444" s="177"/>
      <c r="AM444" s="183"/>
      <c r="AN444" s="183"/>
      <c r="AO444" s="183"/>
      <c r="AP444" s="183"/>
    </row>
    <row r="445" spans="1:42" s="181" customFormat="1" ht="11.25" customHeight="1">
      <c r="A445"/>
      <c r="B445"/>
      <c r="C445"/>
      <c r="D445"/>
      <c r="E445"/>
      <c r="F445" s="213" t="s">
        <v>1759</v>
      </c>
      <c r="G445" s="182"/>
      <c r="H445" s="188">
        <v>10</v>
      </c>
      <c r="I445" s="188">
        <f>H445+1</f>
        <v>11</v>
      </c>
      <c r="J445" s="188">
        <f t="shared" ref="J445" si="29">I445+1</f>
        <v>12</v>
      </c>
      <c r="K445" s="188">
        <f t="shared" ref="K445" si="30">J445+1</f>
        <v>13</v>
      </c>
      <c r="L445" s="188">
        <f t="shared" ref="L445" si="31">K445+1</f>
        <v>14</v>
      </c>
      <c r="M445" s="188">
        <f t="shared" ref="M445" si="32">L445+1</f>
        <v>15</v>
      </c>
      <c r="N445" s="188">
        <f t="shared" ref="N445" si="33">M445+1</f>
        <v>16</v>
      </c>
      <c r="O445" s="188">
        <f t="shared" ref="O445" si="34">N445+1</f>
        <v>17</v>
      </c>
      <c r="P445" s="188">
        <f t="shared" ref="P445" si="35">O445+1</f>
        <v>18</v>
      </c>
      <c r="Q445" s="188">
        <f t="shared" ref="Q445" si="36">P445+1</f>
        <v>19</v>
      </c>
      <c r="R445" s="188">
        <f t="shared" ref="R445" si="37">Q445+1</f>
        <v>20</v>
      </c>
      <c r="S445" s="188">
        <f t="shared" ref="S445" si="38">R445+1</f>
        <v>21</v>
      </c>
      <c r="T445" s="188">
        <f t="shared" ref="T445" si="39">S445+1</f>
        <v>22</v>
      </c>
      <c r="U445" s="188">
        <f t="shared" ref="U445" si="40">T445+1</f>
        <v>23</v>
      </c>
      <c r="V445" s="188">
        <f t="shared" ref="V445" si="41">U445+1</f>
        <v>24</v>
      </c>
      <c r="W445" s="188">
        <f t="shared" ref="W445" si="42">V445+1</f>
        <v>25</v>
      </c>
      <c r="X445" s="188">
        <f t="shared" ref="X445" si="43">W445+1</f>
        <v>26</v>
      </c>
      <c r="Y445" s="188">
        <f t="shared" ref="Y445" si="44">X445+1</f>
        <v>27</v>
      </c>
      <c r="Z445" s="188">
        <f t="shared" ref="Z445" si="45">Y445+1</f>
        <v>28</v>
      </c>
      <c r="AA445" s="188">
        <f t="shared" ref="AA445" si="46">Z445+1</f>
        <v>29</v>
      </c>
      <c r="AB445" s="188">
        <f t="shared" ref="AB445" si="47">AA445+1</f>
        <v>30</v>
      </c>
      <c r="AC445" s="184"/>
      <c r="AD445" s="224"/>
      <c r="AE445" s="161"/>
      <c r="AF445" s="161"/>
      <c r="AG445" s="164"/>
      <c r="AH445"/>
      <c r="AI445"/>
      <c r="AJ445" s="164"/>
      <c r="AK445"/>
      <c r="AL445" s="177"/>
      <c r="AM445" s="183"/>
      <c r="AN445" s="183"/>
      <c r="AO445" s="183"/>
      <c r="AP445" s="183"/>
    </row>
    <row r="446" spans="1:42" s="181" customFormat="1" ht="11.25" customHeight="1">
      <c r="A446"/>
      <c r="B446"/>
      <c r="C446" s="180" t="s">
        <v>2216</v>
      </c>
      <c r="D446"/>
      <c r="E446" s="533"/>
      <c r="F446" s="214">
        <f>SUM(H446:AB446)</f>
        <v>0</v>
      </c>
      <c r="G446" s="238">
        <v>100</v>
      </c>
      <c r="H446" s="161">
        <f t="shared" ref="H446:AD446" si="48">COUNTIFS(H3:H418,"=x",$AL$3:$AL$418,"=African/african american studies",$G$3:$G$418,"&gt;1")</f>
        <v>0</v>
      </c>
      <c r="I446" s="161">
        <f t="shared" si="48"/>
        <v>0</v>
      </c>
      <c r="J446" s="161">
        <f t="shared" si="48"/>
        <v>0</v>
      </c>
      <c r="K446" s="161">
        <f t="shared" si="48"/>
        <v>0</v>
      </c>
      <c r="L446" s="161">
        <f t="shared" si="48"/>
        <v>0</v>
      </c>
      <c r="M446" s="161">
        <f t="shared" si="48"/>
        <v>0</v>
      </c>
      <c r="N446" s="161">
        <f t="shared" si="48"/>
        <v>0</v>
      </c>
      <c r="O446" s="161">
        <f t="shared" si="48"/>
        <v>0</v>
      </c>
      <c r="P446" s="161">
        <f t="shared" si="48"/>
        <v>0</v>
      </c>
      <c r="Q446" s="161">
        <f t="shared" si="48"/>
        <v>0</v>
      </c>
      <c r="R446" s="161">
        <f t="shared" si="48"/>
        <v>0</v>
      </c>
      <c r="S446" s="161">
        <f t="shared" si="48"/>
        <v>0</v>
      </c>
      <c r="T446" s="161">
        <f t="shared" si="48"/>
        <v>0</v>
      </c>
      <c r="U446" s="161">
        <f t="shared" si="48"/>
        <v>0</v>
      </c>
      <c r="V446" s="161">
        <f t="shared" si="48"/>
        <v>0</v>
      </c>
      <c r="W446" s="161">
        <f t="shared" si="48"/>
        <v>0</v>
      </c>
      <c r="X446" s="161">
        <f t="shared" si="48"/>
        <v>0</v>
      </c>
      <c r="Y446" s="161">
        <f t="shared" si="48"/>
        <v>0</v>
      </c>
      <c r="Z446" s="161">
        <f t="shared" si="48"/>
        <v>0</v>
      </c>
      <c r="AA446" s="161">
        <f t="shared" si="48"/>
        <v>0</v>
      </c>
      <c r="AB446" s="161">
        <f t="shared" si="48"/>
        <v>0</v>
      </c>
      <c r="AC446" s="161">
        <f t="shared" si="48"/>
        <v>0</v>
      </c>
      <c r="AD446" s="161">
        <f t="shared" si="48"/>
        <v>0</v>
      </c>
      <c r="AE446" s="161"/>
      <c r="AF446" s="161"/>
      <c r="AG446" s="164"/>
      <c r="AH446"/>
      <c r="AI446"/>
      <c r="AJ446" s="164"/>
      <c r="AK446"/>
      <c r="AL446" s="177"/>
      <c r="AM446" s="183"/>
      <c r="AN446" s="183"/>
      <c r="AO446" s="183"/>
      <c r="AP446" s="183"/>
    </row>
    <row r="447" spans="1:42" s="181" customFormat="1" ht="11.25" customHeight="1">
      <c r="A447"/>
      <c r="B447"/>
      <c r="C447" s="180" t="s">
        <v>1701</v>
      </c>
      <c r="D447"/>
      <c r="E447" s="534" t="s">
        <v>1755</v>
      </c>
      <c r="F447" s="215">
        <f t="shared" ref="F447:F467" si="49">SUM(H447:AB447)</f>
        <v>4</v>
      </c>
      <c r="G447" s="238">
        <f>G446+1</f>
        <v>101</v>
      </c>
      <c r="H447" s="161">
        <f t="shared" ref="H447:AD447" si="50">COUNTIFS(H3:H418,"=x",$AL$3:$AL$418,"=Anthropology",$G$3:$G$418,"&gt;1")</f>
        <v>0</v>
      </c>
      <c r="I447" s="161">
        <f t="shared" si="50"/>
        <v>0</v>
      </c>
      <c r="J447" s="161">
        <f t="shared" si="50"/>
        <v>0</v>
      </c>
      <c r="K447" s="161">
        <f t="shared" si="50"/>
        <v>0</v>
      </c>
      <c r="L447" s="161">
        <f t="shared" si="50"/>
        <v>1</v>
      </c>
      <c r="M447" s="161">
        <f t="shared" si="50"/>
        <v>0</v>
      </c>
      <c r="N447" s="161">
        <f t="shared" si="50"/>
        <v>1</v>
      </c>
      <c r="O447" s="161">
        <f t="shared" si="50"/>
        <v>0</v>
      </c>
      <c r="P447" s="161">
        <f t="shared" si="50"/>
        <v>0</v>
      </c>
      <c r="Q447" s="161">
        <f t="shared" si="50"/>
        <v>0</v>
      </c>
      <c r="R447" s="161">
        <f t="shared" si="50"/>
        <v>0</v>
      </c>
      <c r="S447" s="161">
        <f t="shared" si="50"/>
        <v>0</v>
      </c>
      <c r="T447" s="161">
        <f t="shared" si="50"/>
        <v>1</v>
      </c>
      <c r="U447" s="161">
        <f t="shared" si="50"/>
        <v>1</v>
      </c>
      <c r="V447" s="161">
        <f t="shared" si="50"/>
        <v>0</v>
      </c>
      <c r="W447" s="161">
        <f t="shared" si="50"/>
        <v>0</v>
      </c>
      <c r="X447" s="161">
        <f t="shared" si="50"/>
        <v>0</v>
      </c>
      <c r="Y447" s="161">
        <f t="shared" si="50"/>
        <v>0</v>
      </c>
      <c r="Z447" s="161">
        <f t="shared" si="50"/>
        <v>0</v>
      </c>
      <c r="AA447" s="161">
        <f t="shared" si="50"/>
        <v>0</v>
      </c>
      <c r="AB447" s="161">
        <f t="shared" si="50"/>
        <v>0</v>
      </c>
      <c r="AC447" s="161">
        <f t="shared" si="50"/>
        <v>0</v>
      </c>
      <c r="AD447" s="161">
        <f t="shared" si="50"/>
        <v>0</v>
      </c>
      <c r="AE447" s="161"/>
      <c r="AF447" s="161"/>
      <c r="AG447" s="164"/>
      <c r="AH447"/>
      <c r="AI447"/>
      <c r="AJ447" s="164"/>
      <c r="AK447"/>
      <c r="AL447" s="177"/>
      <c r="AM447" s="183"/>
      <c r="AN447" s="183"/>
      <c r="AO447" s="183"/>
      <c r="AP447" s="183"/>
    </row>
    <row r="448" spans="1:42" s="181" customFormat="1" ht="11.25" customHeight="1">
      <c r="A448"/>
      <c r="B448"/>
      <c r="C448" s="180" t="s">
        <v>1702</v>
      </c>
      <c r="D448"/>
      <c r="E448" s="534"/>
      <c r="F448" s="215">
        <f t="shared" si="49"/>
        <v>11</v>
      </c>
      <c r="G448" s="238">
        <f t="shared" ref="G448:G467" si="51">G447+1</f>
        <v>102</v>
      </c>
      <c r="H448" s="161">
        <f t="shared" ref="H448:AD448" si="52">COUNTIFS(H3:H418,"=x",$AL$3:$AL$418,"=Architecture",$G$3:$G$418,"&gt;1")</f>
        <v>0</v>
      </c>
      <c r="I448" s="161">
        <f t="shared" si="52"/>
        <v>0</v>
      </c>
      <c r="J448" s="161">
        <f t="shared" si="52"/>
        <v>0</v>
      </c>
      <c r="K448" s="161">
        <f t="shared" si="52"/>
        <v>1</v>
      </c>
      <c r="L448" s="161">
        <f t="shared" si="52"/>
        <v>0</v>
      </c>
      <c r="M448" s="161">
        <f t="shared" si="52"/>
        <v>0</v>
      </c>
      <c r="N448" s="161">
        <f t="shared" si="52"/>
        <v>0</v>
      </c>
      <c r="O448" s="161">
        <f t="shared" si="52"/>
        <v>0</v>
      </c>
      <c r="P448" s="161">
        <f t="shared" si="52"/>
        <v>3</v>
      </c>
      <c r="Q448" s="161">
        <f t="shared" si="52"/>
        <v>1</v>
      </c>
      <c r="R448" s="161">
        <f t="shared" si="52"/>
        <v>3</v>
      </c>
      <c r="S448" s="161">
        <f t="shared" si="52"/>
        <v>2</v>
      </c>
      <c r="T448" s="161">
        <f t="shared" si="52"/>
        <v>0</v>
      </c>
      <c r="U448" s="161">
        <f t="shared" si="52"/>
        <v>0</v>
      </c>
      <c r="V448" s="161">
        <f t="shared" si="52"/>
        <v>0</v>
      </c>
      <c r="W448" s="161">
        <f t="shared" si="52"/>
        <v>0</v>
      </c>
      <c r="X448" s="161">
        <f t="shared" si="52"/>
        <v>1</v>
      </c>
      <c r="Y448" s="161">
        <f t="shared" si="52"/>
        <v>0</v>
      </c>
      <c r="Z448" s="161">
        <f t="shared" si="52"/>
        <v>0</v>
      </c>
      <c r="AA448" s="161">
        <f t="shared" si="52"/>
        <v>0</v>
      </c>
      <c r="AB448" s="161">
        <f t="shared" si="52"/>
        <v>0</v>
      </c>
      <c r="AC448" s="161">
        <f t="shared" si="52"/>
        <v>0</v>
      </c>
      <c r="AD448" s="161">
        <f t="shared" si="52"/>
        <v>0</v>
      </c>
      <c r="AE448" s="161"/>
      <c r="AF448" s="161"/>
      <c r="AG448" s="164"/>
      <c r="AH448"/>
      <c r="AI448"/>
      <c r="AJ448" s="164"/>
      <c r="AK448"/>
      <c r="AL448" s="177"/>
      <c r="AM448" s="183"/>
      <c r="AN448" s="183"/>
      <c r="AO448" s="183"/>
      <c r="AP448" s="183"/>
    </row>
    <row r="449" spans="1:42" s="181" customFormat="1" ht="11.25" customHeight="1">
      <c r="A449"/>
      <c r="B449"/>
      <c r="C449" s="180" t="s">
        <v>1694</v>
      </c>
      <c r="D449"/>
      <c r="E449" s="534"/>
      <c r="F449" s="215">
        <f t="shared" si="49"/>
        <v>14</v>
      </c>
      <c r="G449" s="238">
        <f t="shared" si="51"/>
        <v>103</v>
      </c>
      <c r="H449" s="161">
        <f t="shared" ref="H449:AD449" si="53">COUNTIFS(H3:H418,"=x",$AL$3:$AL$418,"=Biology",$G$3:$G$418,"&gt;1")</f>
        <v>0</v>
      </c>
      <c r="I449" s="161">
        <f t="shared" si="53"/>
        <v>0</v>
      </c>
      <c r="J449" s="161">
        <f t="shared" si="53"/>
        <v>0</v>
      </c>
      <c r="K449" s="161">
        <f t="shared" si="53"/>
        <v>2</v>
      </c>
      <c r="L449" s="161">
        <f t="shared" si="53"/>
        <v>0</v>
      </c>
      <c r="M449" s="161">
        <f t="shared" si="53"/>
        <v>0</v>
      </c>
      <c r="N449" s="161">
        <f t="shared" si="53"/>
        <v>0</v>
      </c>
      <c r="O449" s="161">
        <f t="shared" si="53"/>
        <v>0</v>
      </c>
      <c r="P449" s="161">
        <f t="shared" si="53"/>
        <v>0</v>
      </c>
      <c r="Q449" s="161">
        <f t="shared" si="53"/>
        <v>0</v>
      </c>
      <c r="R449" s="161">
        <f t="shared" si="53"/>
        <v>0</v>
      </c>
      <c r="S449" s="161">
        <f t="shared" si="53"/>
        <v>0</v>
      </c>
      <c r="T449" s="161">
        <f t="shared" si="53"/>
        <v>2</v>
      </c>
      <c r="U449" s="161">
        <f t="shared" si="53"/>
        <v>1</v>
      </c>
      <c r="V449" s="161">
        <f t="shared" si="53"/>
        <v>1</v>
      </c>
      <c r="W449" s="161">
        <f t="shared" si="53"/>
        <v>1</v>
      </c>
      <c r="X449" s="161">
        <f t="shared" si="53"/>
        <v>1</v>
      </c>
      <c r="Y449" s="161">
        <f t="shared" si="53"/>
        <v>1</v>
      </c>
      <c r="Z449" s="161">
        <f t="shared" si="53"/>
        <v>1</v>
      </c>
      <c r="AA449" s="161">
        <f t="shared" si="53"/>
        <v>2</v>
      </c>
      <c r="AB449" s="161">
        <f t="shared" si="53"/>
        <v>2</v>
      </c>
      <c r="AC449" s="161">
        <f t="shared" si="53"/>
        <v>0</v>
      </c>
      <c r="AD449" s="161">
        <f t="shared" si="53"/>
        <v>1</v>
      </c>
      <c r="AE449" s="161"/>
      <c r="AF449" s="161"/>
      <c r="AG449" s="164"/>
      <c r="AH449"/>
      <c r="AI449"/>
      <c r="AJ449" s="164"/>
      <c r="AK449"/>
      <c r="AL449" s="177"/>
      <c r="AM449" s="183"/>
      <c r="AN449" s="183"/>
      <c r="AO449" s="183"/>
      <c r="AP449" s="183"/>
    </row>
    <row r="450" spans="1:42" s="181" customFormat="1" ht="11.25" customHeight="1">
      <c r="A450"/>
      <c r="B450"/>
      <c r="C450" s="180" t="s">
        <v>2110</v>
      </c>
      <c r="D450"/>
      <c r="E450" s="534"/>
      <c r="F450" s="215">
        <f t="shared" si="49"/>
        <v>0</v>
      </c>
      <c r="G450" s="238">
        <f t="shared" si="51"/>
        <v>104</v>
      </c>
      <c r="H450" s="161">
        <f t="shared" ref="H450:AD450" si="54">COUNTIFS(H3:H418,"=x",$AL$3:$AL$418,"=Chemistry",$G$3:$G$418,"&gt;1")</f>
        <v>0</v>
      </c>
      <c r="I450" s="161">
        <f t="shared" si="54"/>
        <v>0</v>
      </c>
      <c r="J450" s="161">
        <f t="shared" si="54"/>
        <v>0</v>
      </c>
      <c r="K450" s="161">
        <f t="shared" si="54"/>
        <v>0</v>
      </c>
      <c r="L450" s="161">
        <f t="shared" si="54"/>
        <v>0</v>
      </c>
      <c r="M450" s="161">
        <f t="shared" si="54"/>
        <v>0</v>
      </c>
      <c r="N450" s="161">
        <f t="shared" si="54"/>
        <v>0</v>
      </c>
      <c r="O450" s="161">
        <f t="shared" si="54"/>
        <v>0</v>
      </c>
      <c r="P450" s="161">
        <f t="shared" si="54"/>
        <v>0</v>
      </c>
      <c r="Q450" s="161">
        <f t="shared" si="54"/>
        <v>0</v>
      </c>
      <c r="R450" s="161">
        <f t="shared" si="54"/>
        <v>0</v>
      </c>
      <c r="S450" s="161">
        <f t="shared" si="54"/>
        <v>0</v>
      </c>
      <c r="T450" s="161">
        <f t="shared" si="54"/>
        <v>0</v>
      </c>
      <c r="U450" s="161">
        <f t="shared" si="54"/>
        <v>0</v>
      </c>
      <c r="V450" s="161">
        <f t="shared" si="54"/>
        <v>0</v>
      </c>
      <c r="W450" s="161">
        <f t="shared" si="54"/>
        <v>0</v>
      </c>
      <c r="X450" s="161">
        <f t="shared" si="54"/>
        <v>0</v>
      </c>
      <c r="Y450" s="161">
        <f t="shared" si="54"/>
        <v>0</v>
      </c>
      <c r="Z450" s="161">
        <f t="shared" si="54"/>
        <v>0</v>
      </c>
      <c r="AA450" s="161">
        <f t="shared" si="54"/>
        <v>0</v>
      </c>
      <c r="AB450" s="161">
        <f t="shared" si="54"/>
        <v>0</v>
      </c>
      <c r="AC450" s="161">
        <f t="shared" si="54"/>
        <v>0</v>
      </c>
      <c r="AD450" s="161">
        <f t="shared" si="54"/>
        <v>0</v>
      </c>
      <c r="AE450" s="161"/>
      <c r="AF450" s="161"/>
      <c r="AG450" s="164"/>
      <c r="AH450"/>
      <c r="AI450"/>
      <c r="AJ450" s="164"/>
      <c r="AK450"/>
      <c r="AL450" s="177"/>
      <c r="AM450" s="183"/>
      <c r="AN450" s="183"/>
      <c r="AO450" s="183"/>
      <c r="AP450" s="183"/>
    </row>
    <row r="451" spans="1:42" s="181" customFormat="1" ht="15" customHeight="1">
      <c r="A451"/>
      <c r="B451"/>
      <c r="C451" s="180" t="s">
        <v>1705</v>
      </c>
      <c r="D451"/>
      <c r="E451" s="534"/>
      <c r="F451" s="215">
        <f t="shared" si="49"/>
        <v>0</v>
      </c>
      <c r="G451" s="238">
        <f t="shared" si="51"/>
        <v>105</v>
      </c>
      <c r="H451" s="161">
        <f t="shared" ref="H451:AD451" si="55">COUNTIFS(H3:H418,"=x",$AL$3:$AL$418,"=Divinity",$G$3:$G$418,"&gt;1")</f>
        <v>0</v>
      </c>
      <c r="I451" s="161">
        <f t="shared" si="55"/>
        <v>0</v>
      </c>
      <c r="J451" s="161">
        <f t="shared" si="55"/>
        <v>0</v>
      </c>
      <c r="K451" s="161">
        <f t="shared" si="55"/>
        <v>0</v>
      </c>
      <c r="L451" s="161">
        <f t="shared" si="55"/>
        <v>0</v>
      </c>
      <c r="M451" s="161">
        <f t="shared" si="55"/>
        <v>0</v>
      </c>
      <c r="N451" s="161">
        <f t="shared" si="55"/>
        <v>0</v>
      </c>
      <c r="O451" s="161">
        <f t="shared" si="55"/>
        <v>0</v>
      </c>
      <c r="P451" s="161">
        <f t="shared" si="55"/>
        <v>0</v>
      </c>
      <c r="Q451" s="161">
        <f t="shared" si="55"/>
        <v>0</v>
      </c>
      <c r="R451" s="161">
        <f t="shared" si="55"/>
        <v>0</v>
      </c>
      <c r="S451" s="161">
        <f t="shared" si="55"/>
        <v>0</v>
      </c>
      <c r="T451" s="161">
        <f t="shared" si="55"/>
        <v>0</v>
      </c>
      <c r="U451" s="161">
        <f t="shared" si="55"/>
        <v>0</v>
      </c>
      <c r="V451" s="161">
        <f t="shared" si="55"/>
        <v>0</v>
      </c>
      <c r="W451" s="161">
        <f t="shared" si="55"/>
        <v>0</v>
      </c>
      <c r="X451" s="161">
        <f t="shared" si="55"/>
        <v>0</v>
      </c>
      <c r="Y451" s="161">
        <f t="shared" si="55"/>
        <v>0</v>
      </c>
      <c r="Z451" s="161">
        <f t="shared" si="55"/>
        <v>0</v>
      </c>
      <c r="AA451" s="161">
        <f t="shared" si="55"/>
        <v>0</v>
      </c>
      <c r="AB451" s="161">
        <f t="shared" si="55"/>
        <v>0</v>
      </c>
      <c r="AC451" s="161">
        <f t="shared" si="55"/>
        <v>0</v>
      </c>
      <c r="AD451" s="161">
        <f t="shared" si="55"/>
        <v>0</v>
      </c>
      <c r="AE451" s="161"/>
      <c r="AF451" s="161"/>
      <c r="AG451" s="164"/>
      <c r="AH451"/>
      <c r="AI451"/>
      <c r="AJ451" s="164"/>
      <c r="AK451"/>
      <c r="AL451" s="177"/>
      <c r="AM451" s="183"/>
      <c r="AN451" s="183"/>
      <c r="AO451" s="183"/>
      <c r="AP451" s="183"/>
    </row>
    <row r="452" spans="1:42" s="181" customFormat="1" ht="17.25" customHeight="1">
      <c r="A452"/>
      <c r="B452"/>
      <c r="C452" s="158" t="s">
        <v>476</v>
      </c>
      <c r="D452"/>
      <c r="E452" s="534"/>
      <c r="F452" s="215">
        <f t="shared" si="49"/>
        <v>41</v>
      </c>
      <c r="G452" s="238">
        <f t="shared" si="51"/>
        <v>106</v>
      </c>
      <c r="H452" s="161">
        <f t="shared" ref="H452:AD452" si="56">COUNTIFS(H3:H418,"=x",$AL$3:$AL$418,"=Economics",$G$3:$G$418,"&gt;1")</f>
        <v>1</v>
      </c>
      <c r="I452" s="161">
        <f t="shared" si="56"/>
        <v>0</v>
      </c>
      <c r="J452" s="161">
        <f t="shared" si="56"/>
        <v>3</v>
      </c>
      <c r="K452" s="161">
        <f t="shared" si="56"/>
        <v>4</v>
      </c>
      <c r="L452" s="161">
        <f t="shared" si="56"/>
        <v>1</v>
      </c>
      <c r="M452" s="161">
        <f t="shared" si="56"/>
        <v>5</v>
      </c>
      <c r="N452" s="161">
        <f t="shared" si="56"/>
        <v>5</v>
      </c>
      <c r="O452" s="161">
        <f t="shared" si="56"/>
        <v>1</v>
      </c>
      <c r="P452" s="161">
        <f t="shared" si="56"/>
        <v>0</v>
      </c>
      <c r="Q452" s="161">
        <f t="shared" si="56"/>
        <v>1</v>
      </c>
      <c r="R452" s="161">
        <f t="shared" si="56"/>
        <v>1</v>
      </c>
      <c r="S452" s="161">
        <f t="shared" si="56"/>
        <v>0</v>
      </c>
      <c r="T452" s="161">
        <f t="shared" si="56"/>
        <v>3</v>
      </c>
      <c r="U452" s="161">
        <f t="shared" si="56"/>
        <v>3</v>
      </c>
      <c r="V452" s="161">
        <f t="shared" si="56"/>
        <v>0</v>
      </c>
      <c r="W452" s="161">
        <f t="shared" si="56"/>
        <v>3</v>
      </c>
      <c r="X452" s="161">
        <f t="shared" si="56"/>
        <v>3</v>
      </c>
      <c r="Y452" s="161">
        <f t="shared" si="56"/>
        <v>1</v>
      </c>
      <c r="Z452" s="161">
        <f t="shared" si="56"/>
        <v>2</v>
      </c>
      <c r="AA452" s="161">
        <f t="shared" si="56"/>
        <v>2</v>
      </c>
      <c r="AB452" s="161">
        <f t="shared" si="56"/>
        <v>2</v>
      </c>
      <c r="AC452" s="161">
        <f t="shared" si="56"/>
        <v>0</v>
      </c>
      <c r="AD452" s="161">
        <f t="shared" si="56"/>
        <v>2</v>
      </c>
      <c r="AE452" s="161"/>
      <c r="AF452" s="161"/>
      <c r="AG452" s="164"/>
      <c r="AH452"/>
      <c r="AI452"/>
      <c r="AJ452" s="164"/>
      <c r="AK452"/>
      <c r="AL452" s="177"/>
      <c r="AM452" s="183"/>
      <c r="AN452" s="183"/>
      <c r="AO452" s="183"/>
      <c r="AP452" s="183"/>
    </row>
    <row r="453" spans="1:42" s="181" customFormat="1" ht="11.25" customHeight="1">
      <c r="A453"/>
      <c r="B453"/>
      <c r="C453" s="158" t="s">
        <v>1693</v>
      </c>
      <c r="D453"/>
      <c r="E453" s="534"/>
      <c r="F453" s="215">
        <f t="shared" si="49"/>
        <v>47</v>
      </c>
      <c r="G453" s="238">
        <f t="shared" si="51"/>
        <v>107</v>
      </c>
      <c r="H453" s="161">
        <f t="shared" ref="H453:AD453" si="57">COUNTIFS(H3:H418,"=x",$AL$3:$AL$418,"=Engineering",$G$3:$G$418,"&gt;1")</f>
        <v>1</v>
      </c>
      <c r="I453" s="161">
        <f t="shared" si="57"/>
        <v>0</v>
      </c>
      <c r="J453" s="161">
        <f t="shared" si="57"/>
        <v>0</v>
      </c>
      <c r="K453" s="161">
        <f t="shared" si="57"/>
        <v>3</v>
      </c>
      <c r="L453" s="161">
        <f t="shared" si="57"/>
        <v>0</v>
      </c>
      <c r="M453" s="161">
        <f t="shared" si="57"/>
        <v>1</v>
      </c>
      <c r="N453" s="161">
        <f t="shared" si="57"/>
        <v>0</v>
      </c>
      <c r="O453" s="161">
        <f t="shared" si="57"/>
        <v>3</v>
      </c>
      <c r="P453" s="161">
        <f t="shared" si="57"/>
        <v>1</v>
      </c>
      <c r="Q453" s="161">
        <f t="shared" si="57"/>
        <v>0</v>
      </c>
      <c r="R453" s="161">
        <f t="shared" si="57"/>
        <v>2</v>
      </c>
      <c r="S453" s="161">
        <f t="shared" si="57"/>
        <v>4</v>
      </c>
      <c r="T453" s="161">
        <f t="shared" si="57"/>
        <v>3</v>
      </c>
      <c r="U453" s="161">
        <f t="shared" si="57"/>
        <v>1</v>
      </c>
      <c r="V453" s="161">
        <f t="shared" si="57"/>
        <v>6</v>
      </c>
      <c r="W453" s="161">
        <f t="shared" si="57"/>
        <v>5</v>
      </c>
      <c r="X453" s="161">
        <f t="shared" si="57"/>
        <v>4</v>
      </c>
      <c r="Y453" s="161">
        <f t="shared" si="57"/>
        <v>4</v>
      </c>
      <c r="Z453" s="161">
        <f t="shared" si="57"/>
        <v>7</v>
      </c>
      <c r="AA453" s="161">
        <f t="shared" si="57"/>
        <v>1</v>
      </c>
      <c r="AB453" s="161">
        <f t="shared" si="57"/>
        <v>1</v>
      </c>
      <c r="AC453" s="161">
        <f t="shared" si="57"/>
        <v>4</v>
      </c>
      <c r="AD453" s="161">
        <f t="shared" si="57"/>
        <v>3</v>
      </c>
      <c r="AE453" s="161"/>
      <c r="AF453" s="161"/>
      <c r="AG453" s="164"/>
      <c r="AH453"/>
      <c r="AI453"/>
      <c r="AJ453" s="164"/>
      <c r="AK453"/>
      <c r="AL453" s="177"/>
      <c r="AM453" s="183"/>
      <c r="AN453" s="183"/>
      <c r="AO453" s="183"/>
      <c r="AP453" s="183"/>
    </row>
    <row r="454" spans="1:42" s="181" customFormat="1" ht="11.25" customHeight="1">
      <c r="A454"/>
      <c r="B454"/>
      <c r="C454" s="158" t="s">
        <v>1698</v>
      </c>
      <c r="D454"/>
      <c r="E454" s="534"/>
      <c r="F454" s="215">
        <f t="shared" si="49"/>
        <v>42</v>
      </c>
      <c r="G454" s="238">
        <f t="shared" si="51"/>
        <v>108</v>
      </c>
      <c r="H454" s="161">
        <f t="shared" ref="H454:AD454" si="58">COUNTIFS(H3:H418,"=x",$AL$3:$AL$418,"=Environmental studies",$G$3:$G$418,"&gt;1")</f>
        <v>1</v>
      </c>
      <c r="I454" s="161">
        <f t="shared" si="58"/>
        <v>1</v>
      </c>
      <c r="J454" s="161">
        <f t="shared" si="58"/>
        <v>0</v>
      </c>
      <c r="K454" s="161">
        <f t="shared" si="58"/>
        <v>4</v>
      </c>
      <c r="L454" s="161">
        <f t="shared" si="58"/>
        <v>2</v>
      </c>
      <c r="M454" s="161">
        <f t="shared" si="58"/>
        <v>4</v>
      </c>
      <c r="N454" s="161">
        <f t="shared" si="58"/>
        <v>0</v>
      </c>
      <c r="O454" s="161">
        <f t="shared" si="58"/>
        <v>1</v>
      </c>
      <c r="P454" s="161">
        <f t="shared" si="58"/>
        <v>2</v>
      </c>
      <c r="Q454" s="161">
        <f t="shared" si="58"/>
        <v>1</v>
      </c>
      <c r="R454" s="161">
        <f t="shared" si="58"/>
        <v>3</v>
      </c>
      <c r="S454" s="161">
        <f t="shared" si="58"/>
        <v>1</v>
      </c>
      <c r="T454" s="161">
        <f t="shared" si="58"/>
        <v>3</v>
      </c>
      <c r="U454" s="161">
        <f t="shared" si="58"/>
        <v>3</v>
      </c>
      <c r="V454" s="161">
        <f t="shared" si="58"/>
        <v>0</v>
      </c>
      <c r="W454" s="161">
        <f t="shared" si="58"/>
        <v>4</v>
      </c>
      <c r="X454" s="161">
        <f t="shared" si="58"/>
        <v>2</v>
      </c>
      <c r="Y454" s="161">
        <f t="shared" si="58"/>
        <v>3</v>
      </c>
      <c r="Z454" s="161">
        <f t="shared" si="58"/>
        <v>4</v>
      </c>
      <c r="AA454" s="161">
        <f t="shared" si="58"/>
        <v>2</v>
      </c>
      <c r="AB454" s="161">
        <f t="shared" si="58"/>
        <v>1</v>
      </c>
      <c r="AC454" s="161">
        <f t="shared" si="58"/>
        <v>1</v>
      </c>
      <c r="AD454" s="161">
        <f t="shared" si="58"/>
        <v>0</v>
      </c>
      <c r="AE454" s="161"/>
      <c r="AF454" s="161"/>
      <c r="AG454" s="164"/>
      <c r="AH454"/>
      <c r="AI454"/>
      <c r="AJ454" s="164"/>
      <c r="AK454"/>
      <c r="AL454" s="177"/>
      <c r="AM454" s="183"/>
      <c r="AN454" s="183"/>
      <c r="AO454" s="183"/>
      <c r="AP454" s="183"/>
    </row>
    <row r="455" spans="1:42" s="181" customFormat="1" ht="11.25" customHeight="1">
      <c r="A455"/>
      <c r="B455"/>
      <c r="C455" s="178" t="s">
        <v>1690</v>
      </c>
      <c r="D455"/>
      <c r="E455" s="534"/>
      <c r="F455" s="215">
        <f t="shared" si="49"/>
        <v>423</v>
      </c>
      <c r="G455" s="238">
        <f t="shared" si="51"/>
        <v>109</v>
      </c>
      <c r="H455" s="161">
        <f t="shared" ref="H455:AD455" si="59">COUNTIFS(H3:H418,"=x",$AL$3:$AL$418,"=FES",$G$3:$G$418,"&gt;1")</f>
        <v>21</v>
      </c>
      <c r="I455" s="161">
        <f t="shared" si="59"/>
        <v>6</v>
      </c>
      <c r="J455" s="161">
        <f t="shared" si="59"/>
        <v>21</v>
      </c>
      <c r="K455" s="161">
        <f t="shared" si="59"/>
        <v>23</v>
      </c>
      <c r="L455" s="161">
        <f t="shared" si="59"/>
        <v>17</v>
      </c>
      <c r="M455" s="161">
        <f t="shared" si="59"/>
        <v>41</v>
      </c>
      <c r="N455" s="161">
        <f t="shared" si="59"/>
        <v>22</v>
      </c>
      <c r="O455" s="161">
        <f t="shared" si="59"/>
        <v>11</v>
      </c>
      <c r="P455" s="161">
        <f t="shared" si="59"/>
        <v>19</v>
      </c>
      <c r="Q455" s="161">
        <f t="shared" si="59"/>
        <v>16</v>
      </c>
      <c r="R455" s="161">
        <f t="shared" si="59"/>
        <v>14</v>
      </c>
      <c r="S455" s="161">
        <f t="shared" si="59"/>
        <v>8</v>
      </c>
      <c r="T455" s="161">
        <f t="shared" si="59"/>
        <v>44</v>
      </c>
      <c r="U455" s="161">
        <f t="shared" si="59"/>
        <v>19</v>
      </c>
      <c r="V455" s="161">
        <f t="shared" si="59"/>
        <v>11</v>
      </c>
      <c r="W455" s="161">
        <f t="shared" si="59"/>
        <v>16</v>
      </c>
      <c r="X455" s="161">
        <f t="shared" si="59"/>
        <v>16</v>
      </c>
      <c r="Y455" s="161">
        <f t="shared" si="59"/>
        <v>23</v>
      </c>
      <c r="Z455" s="161">
        <f t="shared" si="59"/>
        <v>25</v>
      </c>
      <c r="AA455" s="161">
        <f t="shared" si="59"/>
        <v>31</v>
      </c>
      <c r="AB455" s="161">
        <f t="shared" si="59"/>
        <v>19</v>
      </c>
      <c r="AC455" s="161">
        <f t="shared" si="59"/>
        <v>31</v>
      </c>
      <c r="AD455" s="161">
        <f t="shared" si="59"/>
        <v>11</v>
      </c>
      <c r="AE455" s="161"/>
      <c r="AF455" s="161"/>
      <c r="AG455" s="164"/>
      <c r="AH455"/>
      <c r="AI455"/>
      <c r="AJ455" s="164"/>
      <c r="AK455"/>
      <c r="AL455" s="177"/>
      <c r="AM455" s="183"/>
      <c r="AN455" s="183"/>
      <c r="AO455" s="183"/>
      <c r="AP455" s="183"/>
    </row>
    <row r="456" spans="1:42" s="181" customFormat="1" ht="11.25" customHeight="1">
      <c r="A456"/>
      <c r="B456"/>
      <c r="C456" s="158" t="s">
        <v>1697</v>
      </c>
      <c r="D456"/>
      <c r="E456" s="534"/>
      <c r="F456" s="215">
        <f t="shared" si="49"/>
        <v>0</v>
      </c>
      <c r="G456" s="238">
        <f t="shared" si="51"/>
        <v>110</v>
      </c>
      <c r="H456" s="161">
        <f t="shared" ref="H456:AD456" si="60">COUNTIFS(H3:H418,"=x",$AL$3:$AL$418,"=Genetics",$G$3:$G$418,"&gt;1")</f>
        <v>0</v>
      </c>
      <c r="I456" s="161">
        <f t="shared" si="60"/>
        <v>0</v>
      </c>
      <c r="J456" s="161">
        <f t="shared" si="60"/>
        <v>0</v>
      </c>
      <c r="K456" s="161">
        <f t="shared" si="60"/>
        <v>0</v>
      </c>
      <c r="L456" s="161">
        <f t="shared" si="60"/>
        <v>0</v>
      </c>
      <c r="M456" s="161">
        <f t="shared" si="60"/>
        <v>0</v>
      </c>
      <c r="N456" s="161">
        <f t="shared" si="60"/>
        <v>0</v>
      </c>
      <c r="O456" s="161">
        <f t="shared" si="60"/>
        <v>0</v>
      </c>
      <c r="P456" s="161">
        <f t="shared" si="60"/>
        <v>0</v>
      </c>
      <c r="Q456" s="161">
        <f t="shared" si="60"/>
        <v>0</v>
      </c>
      <c r="R456" s="161">
        <f t="shared" si="60"/>
        <v>0</v>
      </c>
      <c r="S456" s="161">
        <f t="shared" si="60"/>
        <v>0</v>
      </c>
      <c r="T456" s="161">
        <f t="shared" si="60"/>
        <v>0</v>
      </c>
      <c r="U456" s="161">
        <f t="shared" si="60"/>
        <v>0</v>
      </c>
      <c r="V456" s="161">
        <f t="shared" si="60"/>
        <v>0</v>
      </c>
      <c r="W456" s="161">
        <f t="shared" si="60"/>
        <v>0</v>
      </c>
      <c r="X456" s="161">
        <f t="shared" si="60"/>
        <v>0</v>
      </c>
      <c r="Y456" s="161">
        <f t="shared" si="60"/>
        <v>0</v>
      </c>
      <c r="Z456" s="161">
        <f t="shared" si="60"/>
        <v>0</v>
      </c>
      <c r="AA456" s="161">
        <f t="shared" si="60"/>
        <v>0</v>
      </c>
      <c r="AB456" s="161">
        <f t="shared" si="60"/>
        <v>0</v>
      </c>
      <c r="AC456" s="161">
        <f t="shared" si="60"/>
        <v>0</v>
      </c>
      <c r="AD456" s="161">
        <f t="shared" si="60"/>
        <v>0</v>
      </c>
      <c r="AE456" s="161"/>
      <c r="AF456" s="161"/>
      <c r="AG456" s="164"/>
      <c r="AH456"/>
      <c r="AI456"/>
      <c r="AJ456" s="164"/>
      <c r="AK456"/>
      <c r="AL456" s="177"/>
      <c r="AM456" s="183"/>
      <c r="AN456" s="183"/>
      <c r="AO456" s="183"/>
      <c r="AP456" s="183"/>
    </row>
    <row r="457" spans="1:42" s="181" customFormat="1" ht="11.25" customHeight="1">
      <c r="A457"/>
      <c r="B457"/>
      <c r="C457" s="158" t="s">
        <v>1696</v>
      </c>
      <c r="D457"/>
      <c r="E457" s="534"/>
      <c r="F457" s="215">
        <f t="shared" si="49"/>
        <v>9</v>
      </c>
      <c r="G457" s="238">
        <f t="shared" si="51"/>
        <v>111</v>
      </c>
      <c r="H457" s="161">
        <f t="shared" ref="H457:AD457" si="61">COUNTIFS(H3:H418,"=x",$AL$3:$AL$418,"=Geology &amp; geophysics",$G$3:$G$418,"&gt;1")</f>
        <v>0</v>
      </c>
      <c r="I457" s="161">
        <f t="shared" si="61"/>
        <v>0</v>
      </c>
      <c r="J457" s="161">
        <f t="shared" si="61"/>
        <v>0</v>
      </c>
      <c r="K457" s="161">
        <f t="shared" si="61"/>
        <v>1</v>
      </c>
      <c r="L457" s="161">
        <f t="shared" si="61"/>
        <v>0</v>
      </c>
      <c r="M457" s="161">
        <f t="shared" si="61"/>
        <v>1</v>
      </c>
      <c r="N457" s="161">
        <f t="shared" si="61"/>
        <v>0</v>
      </c>
      <c r="O457" s="161">
        <f t="shared" si="61"/>
        <v>0</v>
      </c>
      <c r="P457" s="161">
        <f t="shared" si="61"/>
        <v>0</v>
      </c>
      <c r="Q457" s="161">
        <f t="shared" si="61"/>
        <v>0</v>
      </c>
      <c r="R457" s="161">
        <f t="shared" si="61"/>
        <v>2</v>
      </c>
      <c r="S457" s="161">
        <f t="shared" si="61"/>
        <v>0</v>
      </c>
      <c r="T457" s="161">
        <f t="shared" si="61"/>
        <v>1</v>
      </c>
      <c r="U457" s="161">
        <f t="shared" si="61"/>
        <v>0</v>
      </c>
      <c r="V457" s="161">
        <f t="shared" si="61"/>
        <v>0</v>
      </c>
      <c r="W457" s="161">
        <f t="shared" si="61"/>
        <v>0</v>
      </c>
      <c r="X457" s="161">
        <f t="shared" si="61"/>
        <v>0</v>
      </c>
      <c r="Y457" s="161">
        <f t="shared" si="61"/>
        <v>1</v>
      </c>
      <c r="Z457" s="161">
        <f t="shared" si="61"/>
        <v>1</v>
      </c>
      <c r="AA457" s="161">
        <f t="shared" si="61"/>
        <v>1</v>
      </c>
      <c r="AB457" s="161">
        <f t="shared" si="61"/>
        <v>1</v>
      </c>
      <c r="AC457" s="161">
        <f t="shared" si="61"/>
        <v>0</v>
      </c>
      <c r="AD457" s="161">
        <f t="shared" si="61"/>
        <v>0</v>
      </c>
      <c r="AE457" s="161"/>
      <c r="AF457" s="161"/>
      <c r="AG457" s="164"/>
      <c r="AH457"/>
      <c r="AI457"/>
      <c r="AJ457" s="164"/>
      <c r="AK457"/>
      <c r="AL457" s="177"/>
      <c r="AM457" s="479"/>
      <c r="AN457" s="479"/>
      <c r="AO457" s="479"/>
      <c r="AP457" s="479"/>
    </row>
    <row r="458" spans="1:42" s="181" customFormat="1" ht="12" customHeight="1">
      <c r="A458"/>
      <c r="B458"/>
      <c r="C458" s="158" t="s">
        <v>2044</v>
      </c>
      <c r="D458"/>
      <c r="E458" s="534"/>
      <c r="F458" s="215">
        <f t="shared" si="49"/>
        <v>7</v>
      </c>
      <c r="G458" s="238">
        <f t="shared" si="51"/>
        <v>112</v>
      </c>
      <c r="H458" s="161">
        <f t="shared" ref="H458:AD458" si="62">COUNTIFS(H3:H418,"=x",$AL$3:$AL$418,"=History",$G$3:$G$418,"&gt;1")</f>
        <v>0</v>
      </c>
      <c r="I458" s="161">
        <f t="shared" si="62"/>
        <v>0</v>
      </c>
      <c r="J458" s="161">
        <f t="shared" si="62"/>
        <v>0</v>
      </c>
      <c r="K458" s="161">
        <f t="shared" si="62"/>
        <v>1</v>
      </c>
      <c r="L458" s="161">
        <f t="shared" si="62"/>
        <v>1</v>
      </c>
      <c r="M458" s="161">
        <f t="shared" si="62"/>
        <v>1</v>
      </c>
      <c r="N458" s="161">
        <f t="shared" si="62"/>
        <v>0</v>
      </c>
      <c r="O458" s="161">
        <f t="shared" si="62"/>
        <v>0</v>
      </c>
      <c r="P458" s="161">
        <f t="shared" si="62"/>
        <v>0</v>
      </c>
      <c r="Q458" s="161">
        <f t="shared" si="62"/>
        <v>0</v>
      </c>
      <c r="R458" s="161">
        <f t="shared" si="62"/>
        <v>0</v>
      </c>
      <c r="S458" s="161">
        <f t="shared" si="62"/>
        <v>0</v>
      </c>
      <c r="T458" s="161">
        <f t="shared" si="62"/>
        <v>1</v>
      </c>
      <c r="U458" s="161">
        <f t="shared" si="62"/>
        <v>1</v>
      </c>
      <c r="V458" s="161">
        <f t="shared" si="62"/>
        <v>0</v>
      </c>
      <c r="W458" s="161">
        <f t="shared" si="62"/>
        <v>0</v>
      </c>
      <c r="X458" s="161">
        <f t="shared" si="62"/>
        <v>0</v>
      </c>
      <c r="Y458" s="161">
        <f t="shared" si="62"/>
        <v>1</v>
      </c>
      <c r="Z458" s="161">
        <f t="shared" si="62"/>
        <v>0</v>
      </c>
      <c r="AA458" s="161">
        <f t="shared" si="62"/>
        <v>1</v>
      </c>
      <c r="AB458" s="161">
        <f t="shared" si="62"/>
        <v>0</v>
      </c>
      <c r="AC458" s="161">
        <f t="shared" si="62"/>
        <v>0</v>
      </c>
      <c r="AD458" s="161">
        <f t="shared" si="62"/>
        <v>0</v>
      </c>
      <c r="AE458" s="161"/>
      <c r="AF458" s="161"/>
      <c r="AG458" s="164"/>
      <c r="AH458"/>
      <c r="AI458"/>
      <c r="AJ458" s="164"/>
      <c r="AK458"/>
      <c r="AL458" s="177"/>
      <c r="AM458" s="479"/>
      <c r="AN458" s="479"/>
      <c r="AO458" s="479"/>
      <c r="AP458" s="479"/>
    </row>
    <row r="459" spans="1:42" s="181" customFormat="1" ht="11.25" customHeight="1">
      <c r="A459"/>
      <c r="B459"/>
      <c r="C459" s="158" t="s">
        <v>1695</v>
      </c>
      <c r="D459"/>
      <c r="E459" s="534"/>
      <c r="F459" s="215">
        <f t="shared" si="49"/>
        <v>0</v>
      </c>
      <c r="G459" s="238">
        <f t="shared" si="51"/>
        <v>113</v>
      </c>
      <c r="H459" s="161">
        <f t="shared" ref="H459:AD459" si="63">COUNTIFS(H3:H418,"=x",$AL$3:$AL$418,"=International relations",$G$3:$G$418,"&gt;1")</f>
        <v>0</v>
      </c>
      <c r="I459" s="161">
        <f t="shared" si="63"/>
        <v>0</v>
      </c>
      <c r="J459" s="161">
        <f t="shared" si="63"/>
        <v>0</v>
      </c>
      <c r="K459" s="161">
        <f t="shared" si="63"/>
        <v>0</v>
      </c>
      <c r="L459" s="161">
        <f t="shared" si="63"/>
        <v>0</v>
      </c>
      <c r="M459" s="161">
        <f t="shared" si="63"/>
        <v>0</v>
      </c>
      <c r="N459" s="161">
        <f t="shared" si="63"/>
        <v>0</v>
      </c>
      <c r="O459" s="161">
        <f t="shared" si="63"/>
        <v>0</v>
      </c>
      <c r="P459" s="161">
        <f t="shared" si="63"/>
        <v>0</v>
      </c>
      <c r="Q459" s="161">
        <f t="shared" si="63"/>
        <v>0</v>
      </c>
      <c r="R459" s="161">
        <f t="shared" si="63"/>
        <v>0</v>
      </c>
      <c r="S459" s="161">
        <f t="shared" si="63"/>
        <v>0</v>
      </c>
      <c r="T459" s="161">
        <f t="shared" si="63"/>
        <v>0</v>
      </c>
      <c r="U459" s="161">
        <f t="shared" si="63"/>
        <v>0</v>
      </c>
      <c r="V459" s="161">
        <f t="shared" si="63"/>
        <v>0</v>
      </c>
      <c r="W459" s="161">
        <f t="shared" si="63"/>
        <v>0</v>
      </c>
      <c r="X459" s="161">
        <f t="shared" si="63"/>
        <v>0</v>
      </c>
      <c r="Y459" s="161">
        <f t="shared" si="63"/>
        <v>0</v>
      </c>
      <c r="Z459" s="161">
        <f t="shared" si="63"/>
        <v>0</v>
      </c>
      <c r="AA459" s="161">
        <f t="shared" si="63"/>
        <v>0</v>
      </c>
      <c r="AB459" s="161">
        <f t="shared" si="63"/>
        <v>0</v>
      </c>
      <c r="AC459" s="161">
        <f t="shared" si="63"/>
        <v>0</v>
      </c>
      <c r="AD459" s="161">
        <f t="shared" si="63"/>
        <v>0</v>
      </c>
      <c r="AE459" s="161"/>
      <c r="AF459" s="161"/>
      <c r="AG459" s="164"/>
      <c r="AH459"/>
      <c r="AI459"/>
      <c r="AJ459" s="164"/>
      <c r="AK459"/>
      <c r="AL459" s="177"/>
      <c r="AM459" s="161"/>
      <c r="AN459" s="161"/>
      <c r="AO459" s="161"/>
      <c r="AP459" s="161"/>
    </row>
    <row r="460" spans="1:42" s="181" customFormat="1">
      <c r="A460"/>
      <c r="B460"/>
      <c r="C460" s="158" t="s">
        <v>1692</v>
      </c>
      <c r="D460"/>
      <c r="E460" s="534"/>
      <c r="F460" s="215">
        <f t="shared" si="49"/>
        <v>23</v>
      </c>
      <c r="G460" s="238">
        <f t="shared" si="51"/>
        <v>114</v>
      </c>
      <c r="H460" s="161">
        <f t="shared" ref="H460:AD460" si="64">COUNTIFS(H3:H418,"=x",$AL$3:$AL$418,"=Law",$G$3:$G$418,"&gt;1")</f>
        <v>1</v>
      </c>
      <c r="I460" s="161">
        <f t="shared" si="64"/>
        <v>0</v>
      </c>
      <c r="J460" s="161">
        <f t="shared" si="64"/>
        <v>3</v>
      </c>
      <c r="K460" s="161">
        <f t="shared" si="64"/>
        <v>2</v>
      </c>
      <c r="L460" s="161">
        <f t="shared" si="64"/>
        <v>1</v>
      </c>
      <c r="M460" s="161">
        <f t="shared" si="64"/>
        <v>4</v>
      </c>
      <c r="N460" s="161">
        <f t="shared" si="64"/>
        <v>2</v>
      </c>
      <c r="O460" s="161">
        <f t="shared" si="64"/>
        <v>0</v>
      </c>
      <c r="P460" s="161">
        <f t="shared" si="64"/>
        <v>2</v>
      </c>
      <c r="Q460" s="161">
        <f t="shared" si="64"/>
        <v>1</v>
      </c>
      <c r="R460" s="161">
        <f t="shared" si="64"/>
        <v>2</v>
      </c>
      <c r="S460" s="161">
        <f t="shared" si="64"/>
        <v>0</v>
      </c>
      <c r="T460" s="161">
        <f t="shared" si="64"/>
        <v>0</v>
      </c>
      <c r="U460" s="161">
        <f t="shared" si="64"/>
        <v>2</v>
      </c>
      <c r="V460" s="161">
        <f t="shared" si="64"/>
        <v>0</v>
      </c>
      <c r="W460" s="161">
        <f t="shared" si="64"/>
        <v>2</v>
      </c>
      <c r="X460" s="161">
        <f t="shared" si="64"/>
        <v>1</v>
      </c>
      <c r="Y460" s="161">
        <f t="shared" si="64"/>
        <v>0</v>
      </c>
      <c r="Z460" s="161">
        <f t="shared" si="64"/>
        <v>0</v>
      </c>
      <c r="AA460" s="161">
        <f t="shared" si="64"/>
        <v>0</v>
      </c>
      <c r="AB460" s="161">
        <f t="shared" si="64"/>
        <v>0</v>
      </c>
      <c r="AC460" s="161">
        <f t="shared" si="64"/>
        <v>0</v>
      </c>
      <c r="AD460" s="161">
        <f t="shared" si="64"/>
        <v>1</v>
      </c>
      <c r="AE460" s="161"/>
      <c r="AF460" s="161"/>
      <c r="AG460" s="164"/>
      <c r="AH460"/>
      <c r="AI460"/>
      <c r="AJ460" s="164"/>
      <c r="AK460"/>
      <c r="AL460" s="177"/>
      <c r="AM460" s="161"/>
      <c r="AN460" s="161"/>
      <c r="AO460" s="161"/>
      <c r="AP460" s="161"/>
    </row>
    <row r="461" spans="1:42" s="181" customFormat="1" ht="14.25" customHeight="1">
      <c r="A461"/>
      <c r="B461"/>
      <c r="C461" s="180" t="s">
        <v>1703</v>
      </c>
      <c r="D461"/>
      <c r="E461" s="534"/>
      <c r="F461" s="215">
        <f t="shared" si="49"/>
        <v>4</v>
      </c>
      <c r="G461" s="238">
        <f t="shared" si="51"/>
        <v>115</v>
      </c>
      <c r="H461" s="161">
        <f t="shared" ref="H461:AD461" si="65">COUNTIFS(H3:H418,"=x",$AL$3:$AL$418,"=Political science",$G$3:$G$418,"&gt;1")</f>
        <v>1</v>
      </c>
      <c r="I461" s="161">
        <f t="shared" si="65"/>
        <v>1</v>
      </c>
      <c r="J461" s="161">
        <f t="shared" si="65"/>
        <v>0</v>
      </c>
      <c r="K461" s="161">
        <f t="shared" si="65"/>
        <v>0</v>
      </c>
      <c r="L461" s="161">
        <f t="shared" si="65"/>
        <v>0</v>
      </c>
      <c r="M461" s="161">
        <f t="shared" si="65"/>
        <v>0</v>
      </c>
      <c r="N461" s="161">
        <f t="shared" si="65"/>
        <v>0</v>
      </c>
      <c r="O461" s="161">
        <f t="shared" si="65"/>
        <v>0</v>
      </c>
      <c r="P461" s="161">
        <f t="shared" si="65"/>
        <v>0</v>
      </c>
      <c r="Q461" s="161">
        <f t="shared" si="65"/>
        <v>1</v>
      </c>
      <c r="R461" s="161">
        <f t="shared" si="65"/>
        <v>0</v>
      </c>
      <c r="S461" s="161">
        <f t="shared" si="65"/>
        <v>0</v>
      </c>
      <c r="T461" s="161">
        <f t="shared" si="65"/>
        <v>0</v>
      </c>
      <c r="U461" s="161">
        <f t="shared" si="65"/>
        <v>1</v>
      </c>
      <c r="V461" s="161">
        <f t="shared" si="65"/>
        <v>0</v>
      </c>
      <c r="W461" s="161">
        <f t="shared" si="65"/>
        <v>0</v>
      </c>
      <c r="X461" s="161">
        <f t="shared" si="65"/>
        <v>0</v>
      </c>
      <c r="Y461" s="161">
        <f t="shared" si="65"/>
        <v>0</v>
      </c>
      <c r="Z461" s="161">
        <f t="shared" si="65"/>
        <v>0</v>
      </c>
      <c r="AA461" s="161">
        <f t="shared" si="65"/>
        <v>0</v>
      </c>
      <c r="AB461" s="161">
        <f t="shared" si="65"/>
        <v>0</v>
      </c>
      <c r="AC461" s="161">
        <f t="shared" si="65"/>
        <v>0</v>
      </c>
      <c r="AD461" s="161">
        <f t="shared" si="65"/>
        <v>0</v>
      </c>
      <c r="AE461" s="161"/>
      <c r="AF461" s="161"/>
      <c r="AG461" s="164"/>
      <c r="AH461"/>
      <c r="AI461"/>
      <c r="AJ461" s="164"/>
      <c r="AK461"/>
      <c r="AL461" s="177"/>
      <c r="AM461" s="161"/>
      <c r="AN461" s="161"/>
      <c r="AO461" s="161"/>
      <c r="AP461" s="161"/>
    </row>
    <row r="462" spans="1:42" s="119" customFormat="1">
      <c r="A462"/>
      <c r="B462"/>
      <c r="C462" s="158" t="s">
        <v>1704</v>
      </c>
      <c r="D462"/>
      <c r="E462" s="534"/>
      <c r="F462" s="215">
        <f t="shared" si="49"/>
        <v>0</v>
      </c>
      <c r="G462" s="238">
        <f t="shared" si="51"/>
        <v>116</v>
      </c>
      <c r="H462" s="161">
        <f t="shared" ref="H462:AD462" si="66">COUNTIFS(H3:H418,"=x",$AL$3:$AL$418,"=Psychology",$G$3:$G$418,"&gt;1")</f>
        <v>0</v>
      </c>
      <c r="I462" s="161">
        <f t="shared" si="66"/>
        <v>0</v>
      </c>
      <c r="J462" s="161">
        <f t="shared" si="66"/>
        <v>0</v>
      </c>
      <c r="K462" s="161">
        <f t="shared" si="66"/>
        <v>0</v>
      </c>
      <c r="L462" s="161">
        <f t="shared" si="66"/>
        <v>0</v>
      </c>
      <c r="M462" s="161">
        <f t="shared" si="66"/>
        <v>0</v>
      </c>
      <c r="N462" s="161">
        <f t="shared" si="66"/>
        <v>0</v>
      </c>
      <c r="O462" s="161">
        <f t="shared" si="66"/>
        <v>0</v>
      </c>
      <c r="P462" s="161">
        <f t="shared" si="66"/>
        <v>0</v>
      </c>
      <c r="Q462" s="161">
        <f t="shared" si="66"/>
        <v>0</v>
      </c>
      <c r="R462" s="161">
        <f t="shared" si="66"/>
        <v>0</v>
      </c>
      <c r="S462" s="161">
        <f t="shared" si="66"/>
        <v>0</v>
      </c>
      <c r="T462" s="161">
        <f t="shared" si="66"/>
        <v>0</v>
      </c>
      <c r="U462" s="161">
        <f t="shared" si="66"/>
        <v>0</v>
      </c>
      <c r="V462" s="161">
        <f t="shared" si="66"/>
        <v>0</v>
      </c>
      <c r="W462" s="161">
        <f t="shared" si="66"/>
        <v>0</v>
      </c>
      <c r="X462" s="161">
        <f t="shared" si="66"/>
        <v>0</v>
      </c>
      <c r="Y462" s="161">
        <f t="shared" si="66"/>
        <v>0</v>
      </c>
      <c r="Z462" s="161">
        <f t="shared" si="66"/>
        <v>0</v>
      </c>
      <c r="AA462" s="161">
        <f t="shared" si="66"/>
        <v>0</v>
      </c>
      <c r="AB462" s="161">
        <f t="shared" si="66"/>
        <v>0</v>
      </c>
      <c r="AC462" s="161">
        <f t="shared" si="66"/>
        <v>0</v>
      </c>
      <c r="AD462" s="161">
        <f t="shared" si="66"/>
        <v>0</v>
      </c>
      <c r="AE462" s="161"/>
      <c r="AF462" s="161"/>
      <c r="AG462" s="164"/>
      <c r="AH462"/>
      <c r="AI462"/>
      <c r="AJ462" s="164"/>
      <c r="AK462"/>
      <c r="AL462" s="177"/>
      <c r="AM462" s="161"/>
      <c r="AN462" s="161"/>
      <c r="AO462" s="161"/>
      <c r="AP462" s="161"/>
    </row>
    <row r="463" spans="1:42" s="119" customFormat="1">
      <c r="A463"/>
      <c r="B463"/>
      <c r="C463" s="158" t="s">
        <v>1699</v>
      </c>
      <c r="D463"/>
      <c r="E463" s="534"/>
      <c r="F463" s="215">
        <f t="shared" si="49"/>
        <v>18</v>
      </c>
      <c r="G463" s="238">
        <f t="shared" si="51"/>
        <v>117</v>
      </c>
      <c r="H463" s="161">
        <f t="shared" ref="H463:AD463" si="67">COUNTIFS(H3:H418,"=x",$AL$3:$AL$418,"=Public health",$G$3:$G$418,"&gt;1")</f>
        <v>0</v>
      </c>
      <c r="I463" s="161">
        <f t="shared" si="67"/>
        <v>0</v>
      </c>
      <c r="J463" s="161">
        <f t="shared" si="67"/>
        <v>0</v>
      </c>
      <c r="K463" s="161">
        <f t="shared" si="67"/>
        <v>2</v>
      </c>
      <c r="L463" s="161">
        <f t="shared" si="67"/>
        <v>1</v>
      </c>
      <c r="M463" s="161">
        <f t="shared" si="67"/>
        <v>1</v>
      </c>
      <c r="N463" s="161">
        <f t="shared" si="67"/>
        <v>0</v>
      </c>
      <c r="O463" s="161">
        <f t="shared" si="67"/>
        <v>3</v>
      </c>
      <c r="P463" s="161">
        <f t="shared" si="67"/>
        <v>0</v>
      </c>
      <c r="Q463" s="161">
        <f t="shared" si="67"/>
        <v>0</v>
      </c>
      <c r="R463" s="161">
        <f t="shared" si="67"/>
        <v>1</v>
      </c>
      <c r="S463" s="161">
        <f t="shared" si="67"/>
        <v>0</v>
      </c>
      <c r="T463" s="161">
        <f t="shared" si="67"/>
        <v>1</v>
      </c>
      <c r="U463" s="161">
        <f t="shared" si="67"/>
        <v>0</v>
      </c>
      <c r="V463" s="161">
        <f t="shared" si="67"/>
        <v>2</v>
      </c>
      <c r="W463" s="161">
        <f t="shared" si="67"/>
        <v>3</v>
      </c>
      <c r="X463" s="161">
        <f t="shared" si="67"/>
        <v>2</v>
      </c>
      <c r="Y463" s="161">
        <f t="shared" si="67"/>
        <v>0</v>
      </c>
      <c r="Z463" s="161">
        <f t="shared" si="67"/>
        <v>2</v>
      </c>
      <c r="AA463" s="161">
        <f t="shared" si="67"/>
        <v>0</v>
      </c>
      <c r="AB463" s="161">
        <f t="shared" si="67"/>
        <v>0</v>
      </c>
      <c r="AC463" s="161">
        <f t="shared" si="67"/>
        <v>1</v>
      </c>
      <c r="AD463" s="161">
        <f t="shared" si="67"/>
        <v>0</v>
      </c>
      <c r="AE463" s="161"/>
      <c r="AF463" s="161"/>
      <c r="AG463" s="164"/>
      <c r="AH463"/>
      <c r="AI463"/>
      <c r="AJ463" s="164"/>
      <c r="AK463"/>
      <c r="AL463" s="177"/>
      <c r="AM463" s="161"/>
      <c r="AN463" s="161"/>
      <c r="AO463" s="161"/>
      <c r="AP463" s="161"/>
    </row>
    <row r="464" spans="1:42" s="119" customFormat="1">
      <c r="A464"/>
      <c r="B464"/>
      <c r="C464" s="158" t="s">
        <v>1707</v>
      </c>
      <c r="D464"/>
      <c r="E464" s="534"/>
      <c r="F464" s="215">
        <f t="shared" si="49"/>
        <v>0</v>
      </c>
      <c r="G464" s="238">
        <f t="shared" si="51"/>
        <v>118</v>
      </c>
      <c r="H464" s="161">
        <f t="shared" ref="H464:AD464" si="68">COUNTIFS(H3:H418,"=x",$AL$3:$AL$418,"=Sociology",$G$3:$G$418,"&gt;1")</f>
        <v>0</v>
      </c>
      <c r="I464" s="161">
        <f t="shared" si="68"/>
        <v>0</v>
      </c>
      <c r="J464" s="161">
        <f t="shared" si="68"/>
        <v>0</v>
      </c>
      <c r="K464" s="161">
        <f t="shared" si="68"/>
        <v>0</v>
      </c>
      <c r="L464" s="161">
        <f t="shared" si="68"/>
        <v>0</v>
      </c>
      <c r="M464" s="161">
        <f t="shared" si="68"/>
        <v>0</v>
      </c>
      <c r="N464" s="161">
        <f t="shared" si="68"/>
        <v>0</v>
      </c>
      <c r="O464" s="161">
        <f t="shared" si="68"/>
        <v>0</v>
      </c>
      <c r="P464" s="161">
        <f t="shared" si="68"/>
        <v>0</v>
      </c>
      <c r="Q464" s="161">
        <f t="shared" si="68"/>
        <v>0</v>
      </c>
      <c r="R464" s="161">
        <f t="shared" si="68"/>
        <v>0</v>
      </c>
      <c r="S464" s="161">
        <f t="shared" si="68"/>
        <v>0</v>
      </c>
      <c r="T464" s="161">
        <f t="shared" si="68"/>
        <v>0</v>
      </c>
      <c r="U464" s="161">
        <f t="shared" si="68"/>
        <v>0</v>
      </c>
      <c r="V464" s="161">
        <f t="shared" si="68"/>
        <v>0</v>
      </c>
      <c r="W464" s="161">
        <f t="shared" si="68"/>
        <v>0</v>
      </c>
      <c r="X464" s="161">
        <f t="shared" si="68"/>
        <v>0</v>
      </c>
      <c r="Y464" s="161">
        <f t="shared" si="68"/>
        <v>0</v>
      </c>
      <c r="Z464" s="161">
        <f t="shared" si="68"/>
        <v>0</v>
      </c>
      <c r="AA464" s="161">
        <f t="shared" si="68"/>
        <v>0</v>
      </c>
      <c r="AB464" s="161">
        <f t="shared" si="68"/>
        <v>0</v>
      </c>
      <c r="AC464" s="161">
        <f t="shared" si="68"/>
        <v>0</v>
      </c>
      <c r="AD464" s="161">
        <f t="shared" si="68"/>
        <v>0</v>
      </c>
      <c r="AE464" s="161"/>
      <c r="AF464" s="161"/>
      <c r="AG464" s="164"/>
      <c r="AH464"/>
      <c r="AI464"/>
      <c r="AJ464" s="164"/>
      <c r="AK464"/>
      <c r="AL464" s="177"/>
      <c r="AM464" s="161"/>
      <c r="AN464" s="161"/>
      <c r="AO464" s="161"/>
      <c r="AP464" s="161"/>
    </row>
    <row r="465" spans="1:42" s="119" customFormat="1">
      <c r="A465"/>
      <c r="B465"/>
      <c r="C465" s="158" t="s">
        <v>1691</v>
      </c>
      <c r="D465"/>
      <c r="E465" s="362"/>
      <c r="F465" s="215">
        <f t="shared" si="49"/>
        <v>57</v>
      </c>
      <c r="G465" s="238">
        <f t="shared" si="51"/>
        <v>119</v>
      </c>
      <c r="H465" s="161">
        <f t="shared" ref="H465:AD465" si="69">COUNTIFS(H3:H418,"=x",$AL$3:$AL$418,"=SOM",$G$3:$G$418,"&gt;1")</f>
        <v>5</v>
      </c>
      <c r="I465" s="161">
        <f t="shared" si="69"/>
        <v>12</v>
      </c>
      <c r="J465" s="161">
        <f t="shared" si="69"/>
        <v>7</v>
      </c>
      <c r="K465" s="161">
        <f t="shared" si="69"/>
        <v>4</v>
      </c>
      <c r="L465" s="161">
        <f t="shared" si="69"/>
        <v>4</v>
      </c>
      <c r="M465" s="161">
        <f t="shared" si="69"/>
        <v>1</v>
      </c>
      <c r="N465" s="161">
        <f t="shared" si="69"/>
        <v>1</v>
      </c>
      <c r="O465" s="161">
        <f t="shared" si="69"/>
        <v>0</v>
      </c>
      <c r="P465" s="161">
        <f t="shared" si="69"/>
        <v>0</v>
      </c>
      <c r="Q465" s="161">
        <f t="shared" si="69"/>
        <v>8</v>
      </c>
      <c r="R465" s="161">
        <f t="shared" si="69"/>
        <v>5</v>
      </c>
      <c r="S465" s="161">
        <f t="shared" si="69"/>
        <v>0</v>
      </c>
      <c r="T465" s="161">
        <f t="shared" si="69"/>
        <v>2</v>
      </c>
      <c r="U465" s="161">
        <f t="shared" si="69"/>
        <v>8</v>
      </c>
      <c r="V465" s="161">
        <f t="shared" si="69"/>
        <v>0</v>
      </c>
      <c r="W465" s="161">
        <f t="shared" si="69"/>
        <v>0</v>
      </c>
      <c r="X465" s="161">
        <f t="shared" si="69"/>
        <v>0</v>
      </c>
      <c r="Y465" s="161">
        <f t="shared" si="69"/>
        <v>0</v>
      </c>
      <c r="Z465" s="161">
        <f t="shared" si="69"/>
        <v>0</v>
      </c>
      <c r="AA465" s="161">
        <f t="shared" si="69"/>
        <v>0</v>
      </c>
      <c r="AB465" s="161">
        <f t="shared" si="69"/>
        <v>0</v>
      </c>
      <c r="AC465" s="161">
        <f t="shared" si="69"/>
        <v>2</v>
      </c>
      <c r="AD465" s="161">
        <f t="shared" si="69"/>
        <v>0</v>
      </c>
      <c r="AE465" s="161"/>
      <c r="AF465" s="161"/>
      <c r="AG465" s="164"/>
      <c r="AH465"/>
      <c r="AI465"/>
      <c r="AJ465" s="164"/>
      <c r="AK465"/>
      <c r="AL465" s="177"/>
      <c r="AM465" s="161"/>
      <c r="AN465" s="161"/>
      <c r="AO465" s="161"/>
      <c r="AP465" s="161"/>
    </row>
    <row r="466" spans="1:42" s="119" customFormat="1">
      <c r="A466"/>
      <c r="B466"/>
      <c r="C466" s="158" t="s">
        <v>1706</v>
      </c>
      <c r="D466"/>
      <c r="E466"/>
      <c r="F466" s="215">
        <f t="shared" si="49"/>
        <v>0</v>
      </c>
      <c r="G466" s="238">
        <f t="shared" si="51"/>
        <v>120</v>
      </c>
      <c r="H466" s="161">
        <f t="shared" ref="H466:AD466" si="70">COUNTIFS(H3:H418,"=x",$AL$3:$AL$418,"=South asian studies",$G$3:$G$418,"&gt;1")</f>
        <v>0</v>
      </c>
      <c r="I466" s="161">
        <f t="shared" si="70"/>
        <v>0</v>
      </c>
      <c r="J466" s="161">
        <f t="shared" si="70"/>
        <v>0</v>
      </c>
      <c r="K466" s="161">
        <f t="shared" si="70"/>
        <v>0</v>
      </c>
      <c r="L466" s="161">
        <f t="shared" si="70"/>
        <v>0</v>
      </c>
      <c r="M466" s="161">
        <f t="shared" si="70"/>
        <v>0</v>
      </c>
      <c r="N466" s="161">
        <f t="shared" si="70"/>
        <v>0</v>
      </c>
      <c r="O466" s="161">
        <f t="shared" si="70"/>
        <v>0</v>
      </c>
      <c r="P466" s="161">
        <f t="shared" si="70"/>
        <v>0</v>
      </c>
      <c r="Q466" s="161">
        <f t="shared" si="70"/>
        <v>0</v>
      </c>
      <c r="R466" s="161">
        <f t="shared" si="70"/>
        <v>0</v>
      </c>
      <c r="S466" s="161">
        <f t="shared" si="70"/>
        <v>0</v>
      </c>
      <c r="T466" s="161">
        <f t="shared" si="70"/>
        <v>0</v>
      </c>
      <c r="U466" s="161">
        <f t="shared" si="70"/>
        <v>0</v>
      </c>
      <c r="V466" s="161">
        <f t="shared" si="70"/>
        <v>0</v>
      </c>
      <c r="W466" s="161">
        <f t="shared" si="70"/>
        <v>0</v>
      </c>
      <c r="X466" s="161">
        <f t="shared" si="70"/>
        <v>0</v>
      </c>
      <c r="Y466" s="161">
        <f t="shared" si="70"/>
        <v>0</v>
      </c>
      <c r="Z466" s="161">
        <f t="shared" si="70"/>
        <v>0</v>
      </c>
      <c r="AA466" s="161">
        <f t="shared" si="70"/>
        <v>0</v>
      </c>
      <c r="AB466" s="161">
        <f t="shared" si="70"/>
        <v>0</v>
      </c>
      <c r="AC466" s="161">
        <f t="shared" si="70"/>
        <v>0</v>
      </c>
      <c r="AD466" s="161">
        <f t="shared" si="70"/>
        <v>0</v>
      </c>
      <c r="AE466" s="161"/>
      <c r="AF466" s="161"/>
      <c r="AG466" s="164"/>
      <c r="AH466"/>
      <c r="AI466"/>
      <c r="AJ466" s="164"/>
      <c r="AK466"/>
      <c r="AL466" s="177"/>
      <c r="AM466" s="161"/>
      <c r="AN466" s="161"/>
      <c r="AO466" s="161"/>
      <c r="AP466" s="161"/>
    </row>
    <row r="467" spans="1:42" s="119" customFormat="1">
      <c r="A467"/>
      <c r="B467"/>
      <c r="C467" s="178" t="s">
        <v>1762</v>
      </c>
      <c r="D467"/>
      <c r="E467"/>
      <c r="F467" s="215">
        <f t="shared" si="49"/>
        <v>0</v>
      </c>
      <c r="G467" s="238">
        <f t="shared" si="51"/>
        <v>121</v>
      </c>
      <c r="H467" s="161">
        <f t="shared" ref="H467:AD467" si="71">COUNTIFS(H3:H418,"=x",$AL$3:$AL$418,"=Women's, gender, and sexuality studies",$G$3:$G$418,"&gt;1")</f>
        <v>0</v>
      </c>
      <c r="I467" s="161">
        <f t="shared" si="71"/>
        <v>0</v>
      </c>
      <c r="J467" s="161">
        <f t="shared" si="71"/>
        <v>0</v>
      </c>
      <c r="K467" s="161">
        <f t="shared" si="71"/>
        <v>0</v>
      </c>
      <c r="L467" s="161">
        <f t="shared" si="71"/>
        <v>0</v>
      </c>
      <c r="M467" s="161">
        <f t="shared" si="71"/>
        <v>0</v>
      </c>
      <c r="N467" s="161">
        <f t="shared" si="71"/>
        <v>0</v>
      </c>
      <c r="O467" s="161">
        <f t="shared" si="71"/>
        <v>0</v>
      </c>
      <c r="P467" s="161">
        <f t="shared" si="71"/>
        <v>0</v>
      </c>
      <c r="Q467" s="161">
        <f t="shared" si="71"/>
        <v>0</v>
      </c>
      <c r="R467" s="161">
        <f t="shared" si="71"/>
        <v>0</v>
      </c>
      <c r="S467" s="161">
        <f t="shared" si="71"/>
        <v>0</v>
      </c>
      <c r="T467" s="161">
        <f t="shared" si="71"/>
        <v>0</v>
      </c>
      <c r="U467" s="161">
        <f t="shared" si="71"/>
        <v>0</v>
      </c>
      <c r="V467" s="161">
        <f t="shared" si="71"/>
        <v>0</v>
      </c>
      <c r="W467" s="161">
        <f t="shared" si="71"/>
        <v>0</v>
      </c>
      <c r="X467" s="161">
        <f t="shared" si="71"/>
        <v>0</v>
      </c>
      <c r="Y467" s="161">
        <f t="shared" si="71"/>
        <v>0</v>
      </c>
      <c r="Z467" s="161">
        <f t="shared" si="71"/>
        <v>0</v>
      </c>
      <c r="AA467" s="161">
        <f t="shared" si="71"/>
        <v>0</v>
      </c>
      <c r="AB467" s="161">
        <f t="shared" si="71"/>
        <v>0</v>
      </c>
      <c r="AC467" s="161">
        <f t="shared" si="71"/>
        <v>0</v>
      </c>
      <c r="AD467" s="161">
        <f t="shared" si="71"/>
        <v>0</v>
      </c>
      <c r="AE467" s="161"/>
      <c r="AF467" s="161"/>
      <c r="AG467" s="164"/>
      <c r="AH467"/>
      <c r="AI467"/>
      <c r="AJ467" s="164"/>
      <c r="AK467"/>
      <c r="AL467" s="177"/>
      <c r="AM467" s="161"/>
      <c r="AN467" s="161"/>
      <c r="AO467" s="161"/>
      <c r="AP467" s="161"/>
    </row>
    <row r="468" spans="1:42" s="119" customFormat="1" ht="15.75" thickBot="1">
      <c r="A468"/>
      <c r="B468"/>
      <c r="C468"/>
      <c r="D468"/>
      <c r="E468"/>
      <c r="F468" s="216">
        <f>SUM(F446:F467)</f>
        <v>700</v>
      </c>
      <c r="G468" s="239"/>
      <c r="H468" s="197">
        <f>SUM(H446:H467)</f>
        <v>31</v>
      </c>
      <c r="I468" s="197">
        <f>SUM(I446:I467)</f>
        <v>20</v>
      </c>
      <c r="J468" s="197">
        <f>SUM(J446:J467)</f>
        <v>34</v>
      </c>
      <c r="K468" s="197">
        <f t="shared" ref="K468" si="72">SUM(K446:K467)</f>
        <v>47</v>
      </c>
      <c r="L468" s="197">
        <f t="shared" ref="L468" si="73">SUM(L446:L467)</f>
        <v>28</v>
      </c>
      <c r="M468" s="197">
        <f t="shared" ref="M468" si="74">SUM(M446:M467)</f>
        <v>59</v>
      </c>
      <c r="N468" s="197">
        <f t="shared" ref="N468" si="75">SUM(N446:N467)</f>
        <v>31</v>
      </c>
      <c r="O468" s="197">
        <f t="shared" ref="O468" si="76">SUM(O446:O467)</f>
        <v>19</v>
      </c>
      <c r="P468" s="197">
        <f t="shared" ref="P468" si="77">SUM(P446:P467)</f>
        <v>27</v>
      </c>
      <c r="Q468" s="197">
        <f t="shared" ref="Q468" si="78">SUM(Q446:Q467)</f>
        <v>29</v>
      </c>
      <c r="R468" s="197">
        <f t="shared" ref="R468" si="79">SUM(R446:R467)</f>
        <v>33</v>
      </c>
      <c r="S468" s="197">
        <f t="shared" ref="S468" si="80">SUM(S446:S467)</f>
        <v>15</v>
      </c>
      <c r="T468" s="197">
        <f t="shared" ref="T468" si="81">SUM(T446:T467)</f>
        <v>61</v>
      </c>
      <c r="U468" s="197">
        <f t="shared" ref="U468" si="82">SUM(U446:U467)</f>
        <v>40</v>
      </c>
      <c r="V468" s="197">
        <f t="shared" ref="V468" si="83">SUM(V446:V467)</f>
        <v>20</v>
      </c>
      <c r="W468" s="197">
        <f t="shared" ref="W468" si="84">SUM(W446:W467)</f>
        <v>34</v>
      </c>
      <c r="X468" s="197">
        <f t="shared" ref="X468" si="85">SUM(X446:X467)</f>
        <v>30</v>
      </c>
      <c r="Y468" s="197">
        <f t="shared" ref="Y468" si="86">SUM(Y446:Y467)</f>
        <v>34</v>
      </c>
      <c r="Z468" s="197">
        <f t="shared" ref="Z468" si="87">SUM(Z446:Z467)</f>
        <v>42</v>
      </c>
      <c r="AA468" s="197">
        <f t="shared" ref="AA468" si="88">SUM(AA446:AA467)</f>
        <v>40</v>
      </c>
      <c r="AB468" s="197">
        <f t="shared" ref="AB468" si="89">SUM(AB446:AB467)</f>
        <v>26</v>
      </c>
      <c r="AC468" s="198">
        <f t="shared" ref="AC468" si="90">SUM(AC446:AC467)</f>
        <v>39</v>
      </c>
      <c r="AD468" s="198">
        <f t="shared" ref="AD468" si="91">SUM(AD446:AD467)</f>
        <v>18</v>
      </c>
      <c r="AE468" s="161"/>
      <c r="AF468" s="161"/>
      <c r="AG468" s="164"/>
      <c r="AH468"/>
      <c r="AI468"/>
      <c r="AJ468" s="164"/>
      <c r="AK468"/>
      <c r="AL468" s="177"/>
      <c r="AM468" s="161"/>
      <c r="AN468" s="161"/>
      <c r="AO468" s="161"/>
      <c r="AP468" s="161"/>
    </row>
    <row r="469" spans="1:42" s="119" customFormat="1">
      <c r="A469"/>
      <c r="B469"/>
      <c r="C469"/>
      <c r="D469"/>
      <c r="E469"/>
      <c r="F469"/>
      <c r="G469" s="239"/>
      <c r="H469"/>
      <c r="I469"/>
      <c r="J469"/>
      <c r="K469"/>
      <c r="L469"/>
      <c r="M469"/>
      <c r="N469"/>
      <c r="O469"/>
      <c r="P469"/>
      <c r="Q469"/>
      <c r="R469"/>
      <c r="S469"/>
      <c r="T469"/>
      <c r="U469"/>
      <c r="V469"/>
      <c r="W469"/>
      <c r="X469"/>
      <c r="Y469"/>
      <c r="Z469"/>
      <c r="AA469"/>
      <c r="AB469"/>
      <c r="AC469"/>
      <c r="AD469" s="161"/>
      <c r="AE469" s="161"/>
      <c r="AF469" s="161"/>
      <c r="AG469" s="164"/>
      <c r="AH469"/>
      <c r="AI469"/>
      <c r="AJ469" s="164"/>
      <c r="AK469"/>
      <c r="AL469" s="177"/>
      <c r="AM469" s="161"/>
      <c r="AN469" s="161"/>
      <c r="AO469" s="161"/>
      <c r="AP469" s="161"/>
    </row>
    <row r="470" spans="1:42" s="119" customFormat="1">
      <c r="A470"/>
      <c r="B470"/>
      <c r="C470"/>
      <c r="D470"/>
      <c r="E470"/>
      <c r="F470"/>
      <c r="G470" s="239"/>
      <c r="H470"/>
      <c r="I470"/>
      <c r="J470"/>
      <c r="K470"/>
      <c r="L470"/>
      <c r="M470"/>
      <c r="N470"/>
      <c r="O470"/>
      <c r="P470"/>
      <c r="Q470"/>
      <c r="R470"/>
      <c r="S470"/>
      <c r="T470"/>
      <c r="U470"/>
      <c r="V470"/>
      <c r="W470"/>
      <c r="X470"/>
      <c r="Y470"/>
      <c r="Z470"/>
      <c r="AA470"/>
      <c r="AB470"/>
      <c r="AC470"/>
      <c r="AD470" s="161"/>
      <c r="AE470" s="161"/>
      <c r="AF470" s="161"/>
      <c r="AG470" s="164"/>
      <c r="AH470"/>
      <c r="AI470"/>
      <c r="AJ470" s="164"/>
      <c r="AK470"/>
      <c r="AL470" s="177"/>
      <c r="AM470" s="161"/>
      <c r="AN470" s="161"/>
      <c r="AO470" s="161"/>
      <c r="AP470" s="161"/>
    </row>
    <row r="471" spans="1:42" s="119" customFormat="1">
      <c r="A471"/>
      <c r="B471"/>
      <c r="C471"/>
      <c r="D471"/>
      <c r="E471"/>
      <c r="F471"/>
      <c r="G471" s="239"/>
      <c r="H471"/>
      <c r="I471"/>
      <c r="J471"/>
      <c r="K471"/>
      <c r="L471"/>
      <c r="M471"/>
      <c r="N471"/>
      <c r="O471"/>
      <c r="P471"/>
      <c r="Q471"/>
      <c r="R471"/>
      <c r="S471"/>
      <c r="T471"/>
      <c r="U471"/>
      <c r="V471"/>
      <c r="W471"/>
      <c r="X471"/>
      <c r="Y471"/>
      <c r="Z471"/>
      <c r="AA471"/>
      <c r="AB471"/>
      <c r="AC471"/>
      <c r="AD471" s="161"/>
      <c r="AE471" s="161"/>
      <c r="AF471" s="161"/>
      <c r="AG471" s="164"/>
      <c r="AH471"/>
      <c r="AI471"/>
      <c r="AJ471" s="164"/>
      <c r="AK471"/>
      <c r="AL471" s="177"/>
      <c r="AM471" s="161"/>
      <c r="AN471" s="161"/>
      <c r="AO471" s="161"/>
      <c r="AP471" s="161"/>
    </row>
    <row r="472" spans="1:42" s="119" customFormat="1" ht="20.25" thickBot="1">
      <c r="A472"/>
      <c r="B472"/>
      <c r="C472" s="226" t="s">
        <v>1987</v>
      </c>
      <c r="D472"/>
      <c r="E472"/>
      <c r="F472"/>
      <c r="G472" s="239"/>
      <c r="H472"/>
      <c r="I472"/>
      <c r="J472"/>
      <c r="K472"/>
      <c r="L472"/>
      <c r="M472"/>
      <c r="N472"/>
      <c r="O472"/>
      <c r="P472"/>
      <c r="Q472"/>
      <c r="R472"/>
      <c r="S472"/>
      <c r="T472"/>
      <c r="U472"/>
      <c r="V472"/>
      <c r="W472"/>
      <c r="X472"/>
      <c r="Y472"/>
      <c r="Z472"/>
      <c r="AA472"/>
      <c r="AB472"/>
      <c r="AC472"/>
      <c r="AD472" s="161"/>
      <c r="AE472" s="161"/>
      <c r="AF472" s="161"/>
      <c r="AG472" s="164"/>
      <c r="AH472"/>
      <c r="AI472"/>
      <c r="AJ472" s="164"/>
      <c r="AK472"/>
      <c r="AL472" s="177"/>
      <c r="AM472" s="161"/>
      <c r="AN472" s="161"/>
      <c r="AO472" s="161"/>
      <c r="AP472" s="161"/>
    </row>
    <row r="473" spans="1:42" s="119" customFormat="1">
      <c r="A473"/>
      <c r="B473"/>
      <c r="C473"/>
      <c r="D473"/>
      <c r="E473"/>
      <c r="F473" s="213" t="s">
        <v>1759</v>
      </c>
      <c r="G473" s="182"/>
      <c r="H473" s="188">
        <v>10</v>
      </c>
      <c r="I473" s="188">
        <f>H473+1</f>
        <v>11</v>
      </c>
      <c r="J473" s="188">
        <f t="shared" ref="J473" si="92">I473+1</f>
        <v>12</v>
      </c>
      <c r="K473" s="188">
        <f t="shared" ref="K473" si="93">J473+1</f>
        <v>13</v>
      </c>
      <c r="L473" s="188">
        <f t="shared" ref="L473" si="94">K473+1</f>
        <v>14</v>
      </c>
      <c r="M473" s="188">
        <f t="shared" ref="M473" si="95">L473+1</f>
        <v>15</v>
      </c>
      <c r="N473" s="188">
        <f t="shared" ref="N473" si="96">M473+1</f>
        <v>16</v>
      </c>
      <c r="O473" s="188">
        <f t="shared" ref="O473" si="97">N473+1</f>
        <v>17</v>
      </c>
      <c r="P473" s="188">
        <f t="shared" ref="P473" si="98">O473+1</f>
        <v>18</v>
      </c>
      <c r="Q473" s="188">
        <f t="shared" ref="Q473" si="99">P473+1</f>
        <v>19</v>
      </c>
      <c r="R473" s="188">
        <f t="shared" ref="R473" si="100">Q473+1</f>
        <v>20</v>
      </c>
      <c r="S473" s="188">
        <f t="shared" ref="S473" si="101">R473+1</f>
        <v>21</v>
      </c>
      <c r="T473" s="188">
        <f t="shared" ref="T473" si="102">S473+1</f>
        <v>22</v>
      </c>
      <c r="U473" s="188">
        <f t="shared" ref="U473" si="103">T473+1</f>
        <v>23</v>
      </c>
      <c r="V473" s="188">
        <f t="shared" ref="V473" si="104">U473+1</f>
        <v>24</v>
      </c>
      <c r="W473" s="188">
        <f t="shared" ref="W473" si="105">V473+1</f>
        <v>25</v>
      </c>
      <c r="X473" s="188">
        <f t="shared" ref="X473" si="106">W473+1</f>
        <v>26</v>
      </c>
      <c r="Y473" s="188">
        <f t="shared" ref="Y473" si="107">X473+1</f>
        <v>27</v>
      </c>
      <c r="Z473" s="188">
        <f t="shared" ref="Z473" si="108">Y473+1</f>
        <v>28</v>
      </c>
      <c r="AA473" s="188">
        <f t="shared" ref="AA473" si="109">Z473+1</f>
        <v>29</v>
      </c>
      <c r="AB473" s="188">
        <f t="shared" ref="AB473" si="110">AA473+1</f>
        <v>30</v>
      </c>
      <c r="AC473" s="184"/>
      <c r="AD473" s="224"/>
      <c r="AE473" s="161"/>
      <c r="AF473" s="161"/>
      <c r="AG473" s="164"/>
      <c r="AH473"/>
      <c r="AI473"/>
      <c r="AJ473" s="164"/>
      <c r="AK473"/>
      <c r="AL473" s="177"/>
      <c r="AM473" s="161"/>
      <c r="AN473" s="161"/>
      <c r="AO473" s="161"/>
      <c r="AP473" s="161"/>
    </row>
    <row r="474" spans="1:42" s="119" customFormat="1">
      <c r="A474"/>
      <c r="B474"/>
      <c r="C474" s="180" t="s">
        <v>1761</v>
      </c>
      <c r="D474"/>
      <c r="E474" s="533"/>
      <c r="F474" s="214">
        <f>SUM(H474:AB474)</f>
        <v>0</v>
      </c>
      <c r="G474" s="238">
        <v>100</v>
      </c>
      <c r="H474" s="161">
        <f t="shared" ref="H474:AD474" si="111">COUNTIFS(H3:H418,"=x",$AL$3:$AL$418,"=African/african american studies",$G$3:$G$418,"&gt;2")</f>
        <v>0</v>
      </c>
      <c r="I474" s="161">
        <f t="shared" si="111"/>
        <v>0</v>
      </c>
      <c r="J474" s="161">
        <f t="shared" si="111"/>
        <v>0</v>
      </c>
      <c r="K474" s="161">
        <f t="shared" si="111"/>
        <v>0</v>
      </c>
      <c r="L474" s="161">
        <f t="shared" si="111"/>
        <v>0</v>
      </c>
      <c r="M474" s="161">
        <f t="shared" si="111"/>
        <v>0</v>
      </c>
      <c r="N474" s="161">
        <f t="shared" si="111"/>
        <v>0</v>
      </c>
      <c r="O474" s="161">
        <f t="shared" si="111"/>
        <v>0</v>
      </c>
      <c r="P474" s="161">
        <f t="shared" si="111"/>
        <v>0</v>
      </c>
      <c r="Q474" s="161">
        <f t="shared" si="111"/>
        <v>0</v>
      </c>
      <c r="R474" s="161">
        <f t="shared" si="111"/>
        <v>0</v>
      </c>
      <c r="S474" s="161">
        <f t="shared" si="111"/>
        <v>0</v>
      </c>
      <c r="T474" s="161">
        <f t="shared" si="111"/>
        <v>0</v>
      </c>
      <c r="U474" s="161">
        <f t="shared" si="111"/>
        <v>0</v>
      </c>
      <c r="V474" s="161">
        <f t="shared" si="111"/>
        <v>0</v>
      </c>
      <c r="W474" s="161">
        <f t="shared" si="111"/>
        <v>0</v>
      </c>
      <c r="X474" s="161">
        <f t="shared" si="111"/>
        <v>0</v>
      </c>
      <c r="Y474" s="161">
        <f t="shared" si="111"/>
        <v>0</v>
      </c>
      <c r="Z474" s="161">
        <f t="shared" si="111"/>
        <v>0</v>
      </c>
      <c r="AA474" s="161">
        <f t="shared" si="111"/>
        <v>0</v>
      </c>
      <c r="AB474" s="161">
        <f t="shared" si="111"/>
        <v>0</v>
      </c>
      <c r="AC474" s="161">
        <f t="shared" si="111"/>
        <v>0</v>
      </c>
      <c r="AD474" s="161">
        <f t="shared" si="111"/>
        <v>0</v>
      </c>
      <c r="AE474" s="161"/>
      <c r="AF474" s="161"/>
      <c r="AG474" s="164"/>
      <c r="AH474"/>
      <c r="AI474"/>
      <c r="AJ474" s="164"/>
      <c r="AK474"/>
      <c r="AL474" s="177"/>
      <c r="AM474" s="161"/>
      <c r="AN474" s="161"/>
      <c r="AO474" s="161"/>
      <c r="AP474" s="161"/>
    </row>
    <row r="475" spans="1:42" s="119" customFormat="1">
      <c r="A475"/>
      <c r="B475"/>
      <c r="C475" s="180" t="s">
        <v>1701</v>
      </c>
      <c r="D475"/>
      <c r="E475" s="534" t="s">
        <v>1755</v>
      </c>
      <c r="F475" s="215">
        <f t="shared" ref="F475:F495" si="112">SUM(H475:AB475)</f>
        <v>0</v>
      </c>
      <c r="G475" s="238">
        <f>G474+1</f>
        <v>101</v>
      </c>
      <c r="H475" s="161">
        <f t="shared" ref="H475:AD475" si="113">COUNTIFS(H3:H418,"=x",$AL$3:$AL$418,"=Anthropology",$G$3:$G$418,"&gt;2")</f>
        <v>0</v>
      </c>
      <c r="I475" s="161">
        <f t="shared" si="113"/>
        <v>0</v>
      </c>
      <c r="J475" s="161">
        <f t="shared" si="113"/>
        <v>0</v>
      </c>
      <c r="K475" s="161">
        <f t="shared" si="113"/>
        <v>0</v>
      </c>
      <c r="L475" s="161">
        <f t="shared" si="113"/>
        <v>0</v>
      </c>
      <c r="M475" s="161">
        <f t="shared" si="113"/>
        <v>0</v>
      </c>
      <c r="N475" s="161">
        <f t="shared" si="113"/>
        <v>0</v>
      </c>
      <c r="O475" s="161">
        <f t="shared" si="113"/>
        <v>0</v>
      </c>
      <c r="P475" s="161">
        <f t="shared" si="113"/>
        <v>0</v>
      </c>
      <c r="Q475" s="161">
        <f t="shared" si="113"/>
        <v>0</v>
      </c>
      <c r="R475" s="161">
        <f t="shared" si="113"/>
        <v>0</v>
      </c>
      <c r="S475" s="161">
        <f t="shared" si="113"/>
        <v>0</v>
      </c>
      <c r="T475" s="161">
        <f t="shared" si="113"/>
        <v>0</v>
      </c>
      <c r="U475" s="161">
        <f t="shared" si="113"/>
        <v>0</v>
      </c>
      <c r="V475" s="161">
        <f t="shared" si="113"/>
        <v>0</v>
      </c>
      <c r="W475" s="161">
        <f t="shared" si="113"/>
        <v>0</v>
      </c>
      <c r="X475" s="161">
        <f t="shared" si="113"/>
        <v>0</v>
      </c>
      <c r="Y475" s="161">
        <f t="shared" si="113"/>
        <v>0</v>
      </c>
      <c r="Z475" s="161">
        <f t="shared" si="113"/>
        <v>0</v>
      </c>
      <c r="AA475" s="161">
        <f t="shared" si="113"/>
        <v>0</v>
      </c>
      <c r="AB475" s="161">
        <f t="shared" si="113"/>
        <v>0</v>
      </c>
      <c r="AC475" s="161">
        <f t="shared" si="113"/>
        <v>0</v>
      </c>
      <c r="AD475" s="161">
        <f t="shared" si="113"/>
        <v>0</v>
      </c>
      <c r="AE475" s="161"/>
      <c r="AF475" s="161"/>
      <c r="AG475" s="164"/>
      <c r="AH475"/>
      <c r="AI475"/>
      <c r="AJ475" s="164"/>
      <c r="AK475"/>
      <c r="AL475" s="177"/>
      <c r="AM475" s="161"/>
      <c r="AN475" s="161"/>
      <c r="AO475" s="161"/>
      <c r="AP475" s="161"/>
    </row>
    <row r="476" spans="1:42" s="119" customFormat="1">
      <c r="A476"/>
      <c r="B476"/>
      <c r="C476" s="180" t="s">
        <v>1702</v>
      </c>
      <c r="D476"/>
      <c r="E476" s="534"/>
      <c r="F476" s="215">
        <f t="shared" si="112"/>
        <v>0</v>
      </c>
      <c r="G476" s="238">
        <f t="shared" ref="G476:G495" si="114">G475+1</f>
        <v>102</v>
      </c>
      <c r="H476" s="161">
        <f t="shared" ref="H476:AD476" si="115">COUNTIFS(H3:H418,"=x",$AL$3:$AL$418,"=Architecture",$G$3:$G$418,"&gt;2")</f>
        <v>0</v>
      </c>
      <c r="I476" s="161">
        <f t="shared" si="115"/>
        <v>0</v>
      </c>
      <c r="J476" s="161">
        <f t="shared" si="115"/>
        <v>0</v>
      </c>
      <c r="K476" s="161">
        <f t="shared" si="115"/>
        <v>0</v>
      </c>
      <c r="L476" s="161">
        <f t="shared" si="115"/>
        <v>0</v>
      </c>
      <c r="M476" s="161">
        <f t="shared" si="115"/>
        <v>0</v>
      </c>
      <c r="N476" s="161">
        <f t="shared" si="115"/>
        <v>0</v>
      </c>
      <c r="O476" s="161">
        <f t="shared" si="115"/>
        <v>0</v>
      </c>
      <c r="P476" s="161">
        <f t="shared" si="115"/>
        <v>0</v>
      </c>
      <c r="Q476" s="161">
        <f t="shared" si="115"/>
        <v>0</v>
      </c>
      <c r="R476" s="161">
        <f t="shared" si="115"/>
        <v>0</v>
      </c>
      <c r="S476" s="161">
        <f t="shared" si="115"/>
        <v>0</v>
      </c>
      <c r="T476" s="161">
        <f t="shared" si="115"/>
        <v>0</v>
      </c>
      <c r="U476" s="161">
        <f t="shared" si="115"/>
        <v>0</v>
      </c>
      <c r="V476" s="161">
        <f t="shared" si="115"/>
        <v>0</v>
      </c>
      <c r="W476" s="161">
        <f t="shared" si="115"/>
        <v>0</v>
      </c>
      <c r="X476" s="161">
        <f t="shared" si="115"/>
        <v>0</v>
      </c>
      <c r="Y476" s="161">
        <f t="shared" si="115"/>
        <v>0</v>
      </c>
      <c r="Z476" s="161">
        <f t="shared" si="115"/>
        <v>0</v>
      </c>
      <c r="AA476" s="161">
        <f t="shared" si="115"/>
        <v>0</v>
      </c>
      <c r="AB476" s="161">
        <f t="shared" si="115"/>
        <v>0</v>
      </c>
      <c r="AC476" s="161">
        <f t="shared" si="115"/>
        <v>0</v>
      </c>
      <c r="AD476" s="161">
        <f t="shared" si="115"/>
        <v>0</v>
      </c>
      <c r="AE476" s="161"/>
      <c r="AF476" s="161"/>
      <c r="AG476" s="164"/>
      <c r="AH476"/>
      <c r="AI476"/>
      <c r="AJ476" s="164"/>
      <c r="AK476"/>
      <c r="AL476" s="177"/>
      <c r="AM476" s="161"/>
      <c r="AN476" s="161"/>
      <c r="AO476" s="161"/>
      <c r="AP476" s="161"/>
    </row>
    <row r="477" spans="1:42" s="119" customFormat="1">
      <c r="A477"/>
      <c r="B477"/>
      <c r="C477" s="180" t="s">
        <v>1694</v>
      </c>
      <c r="D477"/>
      <c r="E477" s="534"/>
      <c r="F477" s="215">
        <f t="shared" si="112"/>
        <v>0</v>
      </c>
      <c r="G477" s="238">
        <f t="shared" si="114"/>
        <v>103</v>
      </c>
      <c r="H477" s="161">
        <f t="shared" ref="H477:AD477" si="116">COUNTIFS(H3:H418,"=x",$AL$3:$AL$418,"=Biology",$G$3:$G$418,"&gt;2")</f>
        <v>0</v>
      </c>
      <c r="I477" s="161">
        <f t="shared" si="116"/>
        <v>0</v>
      </c>
      <c r="J477" s="161">
        <f t="shared" si="116"/>
        <v>0</v>
      </c>
      <c r="K477" s="161">
        <f t="shared" si="116"/>
        <v>0</v>
      </c>
      <c r="L477" s="161">
        <f t="shared" si="116"/>
        <v>0</v>
      </c>
      <c r="M477" s="161">
        <f t="shared" si="116"/>
        <v>0</v>
      </c>
      <c r="N477" s="161">
        <f t="shared" si="116"/>
        <v>0</v>
      </c>
      <c r="O477" s="161">
        <f t="shared" si="116"/>
        <v>0</v>
      </c>
      <c r="P477" s="161">
        <f t="shared" si="116"/>
        <v>0</v>
      </c>
      <c r="Q477" s="161">
        <f t="shared" si="116"/>
        <v>0</v>
      </c>
      <c r="R477" s="161">
        <f t="shared" si="116"/>
        <v>0</v>
      </c>
      <c r="S477" s="161">
        <f t="shared" si="116"/>
        <v>0</v>
      </c>
      <c r="T477" s="161">
        <f t="shared" si="116"/>
        <v>0</v>
      </c>
      <c r="U477" s="161">
        <f t="shared" si="116"/>
        <v>0</v>
      </c>
      <c r="V477" s="161">
        <f t="shared" si="116"/>
        <v>0</v>
      </c>
      <c r="W477" s="161">
        <f t="shared" si="116"/>
        <v>0</v>
      </c>
      <c r="X477" s="161">
        <f t="shared" si="116"/>
        <v>0</v>
      </c>
      <c r="Y477" s="161">
        <f t="shared" si="116"/>
        <v>0</v>
      </c>
      <c r="Z477" s="161">
        <f t="shared" si="116"/>
        <v>0</v>
      </c>
      <c r="AA477" s="161">
        <f t="shared" si="116"/>
        <v>0</v>
      </c>
      <c r="AB477" s="161">
        <f t="shared" si="116"/>
        <v>0</v>
      </c>
      <c r="AC477" s="161">
        <f t="shared" si="116"/>
        <v>0</v>
      </c>
      <c r="AD477" s="161">
        <f t="shared" si="116"/>
        <v>0</v>
      </c>
      <c r="AE477" s="161"/>
      <c r="AF477" s="161"/>
      <c r="AG477" s="164"/>
      <c r="AH477"/>
      <c r="AI477"/>
      <c r="AJ477" s="164"/>
      <c r="AK477"/>
      <c r="AL477" s="177"/>
      <c r="AM477" s="161"/>
      <c r="AN477" s="161"/>
      <c r="AO477" s="161"/>
      <c r="AP477" s="161"/>
    </row>
    <row r="478" spans="1:42" s="119" customFormat="1">
      <c r="A478"/>
      <c r="B478"/>
      <c r="C478" s="180" t="s">
        <v>2110</v>
      </c>
      <c r="D478"/>
      <c r="E478" s="534"/>
      <c r="F478" s="215">
        <f t="shared" si="112"/>
        <v>0</v>
      </c>
      <c r="G478" s="238">
        <f t="shared" si="114"/>
        <v>104</v>
      </c>
      <c r="H478" s="161">
        <f t="shared" ref="H478:AD478" si="117">COUNTIFS(H3:H418,"=x",$AL$3:$AL$418,"=Chemistry",$G$3:$G$418,"&gt;2")</f>
        <v>0</v>
      </c>
      <c r="I478" s="161">
        <f t="shared" si="117"/>
        <v>0</v>
      </c>
      <c r="J478" s="161">
        <f t="shared" si="117"/>
        <v>0</v>
      </c>
      <c r="K478" s="161">
        <f t="shared" si="117"/>
        <v>0</v>
      </c>
      <c r="L478" s="161">
        <f t="shared" si="117"/>
        <v>0</v>
      </c>
      <c r="M478" s="161">
        <f t="shared" si="117"/>
        <v>0</v>
      </c>
      <c r="N478" s="161">
        <f t="shared" si="117"/>
        <v>0</v>
      </c>
      <c r="O478" s="161">
        <f t="shared" si="117"/>
        <v>0</v>
      </c>
      <c r="P478" s="161">
        <f t="shared" si="117"/>
        <v>0</v>
      </c>
      <c r="Q478" s="161">
        <f t="shared" si="117"/>
        <v>0</v>
      </c>
      <c r="R478" s="161">
        <f t="shared" si="117"/>
        <v>0</v>
      </c>
      <c r="S478" s="161">
        <f t="shared" si="117"/>
        <v>0</v>
      </c>
      <c r="T478" s="161">
        <f t="shared" si="117"/>
        <v>0</v>
      </c>
      <c r="U478" s="161">
        <f t="shared" si="117"/>
        <v>0</v>
      </c>
      <c r="V478" s="161">
        <f t="shared" si="117"/>
        <v>0</v>
      </c>
      <c r="W478" s="161">
        <f t="shared" si="117"/>
        <v>0</v>
      </c>
      <c r="X478" s="161">
        <f t="shared" si="117"/>
        <v>0</v>
      </c>
      <c r="Y478" s="161">
        <f t="shared" si="117"/>
        <v>0</v>
      </c>
      <c r="Z478" s="161">
        <f t="shared" si="117"/>
        <v>0</v>
      </c>
      <c r="AA478" s="161">
        <f t="shared" si="117"/>
        <v>0</v>
      </c>
      <c r="AB478" s="161">
        <f t="shared" si="117"/>
        <v>0</v>
      </c>
      <c r="AC478" s="161">
        <f t="shared" si="117"/>
        <v>0</v>
      </c>
      <c r="AD478" s="161">
        <f t="shared" si="117"/>
        <v>0</v>
      </c>
      <c r="AE478" s="161"/>
      <c r="AF478" s="161"/>
      <c r="AG478" s="164"/>
      <c r="AH478"/>
      <c r="AI478"/>
      <c r="AJ478" s="164"/>
      <c r="AK478"/>
      <c r="AL478" s="177"/>
      <c r="AM478" s="161"/>
      <c r="AN478" s="161"/>
      <c r="AO478" s="161"/>
      <c r="AP478" s="161"/>
    </row>
    <row r="479" spans="1:42" s="119" customFormat="1">
      <c r="A479"/>
      <c r="B479"/>
      <c r="C479" s="180" t="s">
        <v>1705</v>
      </c>
      <c r="D479"/>
      <c r="E479" s="534"/>
      <c r="F479" s="215">
        <f t="shared" si="112"/>
        <v>0</v>
      </c>
      <c r="G479" s="238">
        <f t="shared" si="114"/>
        <v>105</v>
      </c>
      <c r="H479" s="161">
        <f t="shared" ref="H479:AD479" si="118">COUNTIFS(H3:H418,"=x",$AL$3:$AL$418,"=Divinity",$G$3:$G$418,"&gt;2")</f>
        <v>0</v>
      </c>
      <c r="I479" s="161">
        <f t="shared" si="118"/>
        <v>0</v>
      </c>
      <c r="J479" s="161">
        <f t="shared" si="118"/>
        <v>0</v>
      </c>
      <c r="K479" s="161">
        <f t="shared" si="118"/>
        <v>0</v>
      </c>
      <c r="L479" s="161">
        <f t="shared" si="118"/>
        <v>0</v>
      </c>
      <c r="M479" s="161">
        <f t="shared" si="118"/>
        <v>0</v>
      </c>
      <c r="N479" s="161">
        <f t="shared" si="118"/>
        <v>0</v>
      </c>
      <c r="O479" s="161">
        <f t="shared" si="118"/>
        <v>0</v>
      </c>
      <c r="P479" s="161">
        <f t="shared" si="118"/>
        <v>0</v>
      </c>
      <c r="Q479" s="161">
        <f t="shared" si="118"/>
        <v>0</v>
      </c>
      <c r="R479" s="161">
        <f t="shared" si="118"/>
        <v>0</v>
      </c>
      <c r="S479" s="161">
        <f t="shared" si="118"/>
        <v>0</v>
      </c>
      <c r="T479" s="161">
        <f t="shared" si="118"/>
        <v>0</v>
      </c>
      <c r="U479" s="161">
        <f t="shared" si="118"/>
        <v>0</v>
      </c>
      <c r="V479" s="161">
        <f t="shared" si="118"/>
        <v>0</v>
      </c>
      <c r="W479" s="161">
        <f t="shared" si="118"/>
        <v>0</v>
      </c>
      <c r="X479" s="161">
        <f t="shared" si="118"/>
        <v>0</v>
      </c>
      <c r="Y479" s="161">
        <f t="shared" si="118"/>
        <v>0</v>
      </c>
      <c r="Z479" s="161">
        <f t="shared" si="118"/>
        <v>0</v>
      </c>
      <c r="AA479" s="161">
        <f t="shared" si="118"/>
        <v>0</v>
      </c>
      <c r="AB479" s="161">
        <f t="shared" si="118"/>
        <v>0</v>
      </c>
      <c r="AC479" s="161">
        <f t="shared" si="118"/>
        <v>0</v>
      </c>
      <c r="AD479" s="161">
        <f t="shared" si="118"/>
        <v>0</v>
      </c>
      <c r="AE479" s="161"/>
      <c r="AF479" s="161"/>
      <c r="AG479" s="164"/>
      <c r="AH479"/>
      <c r="AI479"/>
      <c r="AJ479" s="164"/>
      <c r="AK479"/>
      <c r="AL479" s="177"/>
      <c r="AM479" s="161"/>
      <c r="AN479" s="161"/>
      <c r="AO479" s="161"/>
      <c r="AP479" s="161"/>
    </row>
    <row r="480" spans="1:42" s="119" customFormat="1">
      <c r="A480"/>
      <c r="B480"/>
      <c r="C480" s="158" t="s">
        <v>476</v>
      </c>
      <c r="D480"/>
      <c r="E480" s="534"/>
      <c r="F480" s="215">
        <f t="shared" si="112"/>
        <v>18</v>
      </c>
      <c r="G480" s="238">
        <f t="shared" si="114"/>
        <v>106</v>
      </c>
      <c r="H480" s="161">
        <f t="shared" ref="H480:AD480" si="119">COUNTIFS(H3:H418,"=x",$AL$3:$AL$418,"=Economics",$G$3:$G$418,"&gt;2")</f>
        <v>0</v>
      </c>
      <c r="I480" s="161">
        <f t="shared" si="119"/>
        <v>0</v>
      </c>
      <c r="J480" s="161">
        <f t="shared" si="119"/>
        <v>1</v>
      </c>
      <c r="K480" s="161">
        <f t="shared" si="119"/>
        <v>2</v>
      </c>
      <c r="L480" s="161">
        <f t="shared" si="119"/>
        <v>0</v>
      </c>
      <c r="M480" s="161">
        <f t="shared" si="119"/>
        <v>2</v>
      </c>
      <c r="N480" s="161">
        <f t="shared" si="119"/>
        <v>2</v>
      </c>
      <c r="O480" s="161">
        <f t="shared" si="119"/>
        <v>0</v>
      </c>
      <c r="P480" s="161">
        <f t="shared" si="119"/>
        <v>0</v>
      </c>
      <c r="Q480" s="161">
        <f t="shared" si="119"/>
        <v>0</v>
      </c>
      <c r="R480" s="161">
        <f t="shared" si="119"/>
        <v>1</v>
      </c>
      <c r="S480" s="161">
        <f t="shared" si="119"/>
        <v>0</v>
      </c>
      <c r="T480" s="161">
        <f t="shared" si="119"/>
        <v>2</v>
      </c>
      <c r="U480" s="161">
        <f t="shared" si="119"/>
        <v>1</v>
      </c>
      <c r="V480" s="161">
        <f t="shared" si="119"/>
        <v>0</v>
      </c>
      <c r="W480" s="161">
        <f t="shared" si="119"/>
        <v>2</v>
      </c>
      <c r="X480" s="161">
        <f t="shared" si="119"/>
        <v>2</v>
      </c>
      <c r="Y480" s="161">
        <f t="shared" si="119"/>
        <v>0</v>
      </c>
      <c r="Z480" s="161">
        <f t="shared" si="119"/>
        <v>1</v>
      </c>
      <c r="AA480" s="161">
        <f t="shared" si="119"/>
        <v>1</v>
      </c>
      <c r="AB480" s="161">
        <f t="shared" si="119"/>
        <v>1</v>
      </c>
      <c r="AC480" s="161">
        <f t="shared" si="119"/>
        <v>0</v>
      </c>
      <c r="AD480" s="161">
        <f t="shared" si="119"/>
        <v>2</v>
      </c>
      <c r="AE480" s="161"/>
      <c r="AF480" s="161"/>
      <c r="AG480" s="164"/>
      <c r="AH480"/>
      <c r="AI480"/>
      <c r="AJ480" s="164"/>
      <c r="AK480"/>
      <c r="AL480" s="177"/>
      <c r="AM480" s="161"/>
      <c r="AN480" s="161"/>
      <c r="AO480" s="161"/>
      <c r="AP480" s="161"/>
    </row>
    <row r="481" spans="1:42" s="119" customFormat="1">
      <c r="A481"/>
      <c r="B481"/>
      <c r="C481" s="158" t="s">
        <v>1693</v>
      </c>
      <c r="D481"/>
      <c r="E481" s="534"/>
      <c r="F481" s="215">
        <f t="shared" si="112"/>
        <v>14</v>
      </c>
      <c r="G481" s="238">
        <f t="shared" si="114"/>
        <v>107</v>
      </c>
      <c r="H481" s="161">
        <f t="shared" ref="H481:AD481" si="120">COUNTIFS(H3:H418,"=x",$AL$3:$AL$418,"=Engineering",$G$3:$G$418,"&gt;2")</f>
        <v>1</v>
      </c>
      <c r="I481" s="161">
        <f t="shared" si="120"/>
        <v>0</v>
      </c>
      <c r="J481" s="161">
        <f t="shared" si="120"/>
        <v>0</v>
      </c>
      <c r="K481" s="161">
        <f t="shared" si="120"/>
        <v>1</v>
      </c>
      <c r="L481" s="161">
        <f t="shared" si="120"/>
        <v>0</v>
      </c>
      <c r="M481" s="161">
        <f t="shared" si="120"/>
        <v>0</v>
      </c>
      <c r="N481" s="161">
        <f t="shared" si="120"/>
        <v>0</v>
      </c>
      <c r="O481" s="161">
        <f t="shared" si="120"/>
        <v>2</v>
      </c>
      <c r="P481" s="161">
        <f t="shared" si="120"/>
        <v>0</v>
      </c>
      <c r="Q481" s="161">
        <f t="shared" si="120"/>
        <v>0</v>
      </c>
      <c r="R481" s="161">
        <f t="shared" si="120"/>
        <v>0</v>
      </c>
      <c r="S481" s="161">
        <f t="shared" si="120"/>
        <v>1</v>
      </c>
      <c r="T481" s="161">
        <f t="shared" si="120"/>
        <v>1</v>
      </c>
      <c r="U481" s="161">
        <f t="shared" si="120"/>
        <v>0</v>
      </c>
      <c r="V481" s="161">
        <f t="shared" si="120"/>
        <v>1</v>
      </c>
      <c r="W481" s="161">
        <f t="shared" si="120"/>
        <v>2</v>
      </c>
      <c r="X481" s="161">
        <f t="shared" si="120"/>
        <v>2</v>
      </c>
      <c r="Y481" s="161">
        <f t="shared" si="120"/>
        <v>1</v>
      </c>
      <c r="Z481" s="161">
        <f t="shared" si="120"/>
        <v>1</v>
      </c>
      <c r="AA481" s="161">
        <f t="shared" si="120"/>
        <v>0</v>
      </c>
      <c r="AB481" s="161">
        <f t="shared" si="120"/>
        <v>1</v>
      </c>
      <c r="AC481" s="161">
        <f t="shared" si="120"/>
        <v>2</v>
      </c>
      <c r="AD481" s="161">
        <f t="shared" si="120"/>
        <v>2</v>
      </c>
      <c r="AE481" s="161"/>
      <c r="AF481" s="161"/>
      <c r="AG481" s="164"/>
      <c r="AH481"/>
      <c r="AI481"/>
      <c r="AJ481" s="164"/>
      <c r="AK481"/>
      <c r="AL481" s="177"/>
      <c r="AM481" s="161"/>
      <c r="AN481" s="161"/>
      <c r="AO481" s="161"/>
      <c r="AP481" s="161"/>
    </row>
    <row r="482" spans="1:42" s="119" customFormat="1">
      <c r="A482"/>
      <c r="B482"/>
      <c r="C482" s="158" t="s">
        <v>1698</v>
      </c>
      <c r="D482"/>
      <c r="E482" s="534"/>
      <c r="F482" s="215">
        <f t="shared" si="112"/>
        <v>4</v>
      </c>
      <c r="G482" s="238">
        <f t="shared" si="114"/>
        <v>108</v>
      </c>
      <c r="H482" s="161">
        <f t="shared" ref="H482:AD482" si="121">COUNTIFS(H3:H418,"=x",$AL$3:$AL$418,"=Environmental studies",$G$3:$G$418,"&gt;2")</f>
        <v>1</v>
      </c>
      <c r="I482" s="161">
        <f t="shared" si="121"/>
        <v>1</v>
      </c>
      <c r="J482" s="161">
        <f t="shared" si="121"/>
        <v>0</v>
      </c>
      <c r="K482" s="161">
        <f t="shared" si="121"/>
        <v>0</v>
      </c>
      <c r="L482" s="161">
        <f t="shared" si="121"/>
        <v>0</v>
      </c>
      <c r="M482" s="161">
        <f t="shared" si="121"/>
        <v>1</v>
      </c>
      <c r="N482" s="161">
        <f t="shared" si="121"/>
        <v>0</v>
      </c>
      <c r="O482" s="161">
        <f t="shared" si="121"/>
        <v>0</v>
      </c>
      <c r="P482" s="161">
        <f t="shared" si="121"/>
        <v>0</v>
      </c>
      <c r="Q482" s="161">
        <f t="shared" si="121"/>
        <v>1</v>
      </c>
      <c r="R482" s="161">
        <f t="shared" si="121"/>
        <v>0</v>
      </c>
      <c r="S482" s="161">
        <f t="shared" si="121"/>
        <v>0</v>
      </c>
      <c r="T482" s="161">
        <f t="shared" si="121"/>
        <v>0</v>
      </c>
      <c r="U482" s="161">
        <f t="shared" si="121"/>
        <v>0</v>
      </c>
      <c r="V482" s="161">
        <f t="shared" si="121"/>
        <v>0</v>
      </c>
      <c r="W482" s="161">
        <f t="shared" si="121"/>
        <v>0</v>
      </c>
      <c r="X482" s="161">
        <f t="shared" si="121"/>
        <v>0</v>
      </c>
      <c r="Y482" s="161">
        <f t="shared" si="121"/>
        <v>0</v>
      </c>
      <c r="Z482" s="161">
        <f t="shared" si="121"/>
        <v>0</v>
      </c>
      <c r="AA482" s="161">
        <f t="shared" si="121"/>
        <v>0</v>
      </c>
      <c r="AB482" s="161">
        <f t="shared" si="121"/>
        <v>0</v>
      </c>
      <c r="AC482" s="161">
        <f t="shared" si="121"/>
        <v>0</v>
      </c>
      <c r="AD482" s="161">
        <f t="shared" si="121"/>
        <v>0</v>
      </c>
      <c r="AE482" s="161"/>
      <c r="AF482" s="161"/>
      <c r="AG482" s="164"/>
      <c r="AH482"/>
      <c r="AI482"/>
      <c r="AJ482" s="164"/>
      <c r="AK482"/>
      <c r="AL482" s="177"/>
      <c r="AM482" s="5"/>
      <c r="AN482" s="5"/>
      <c r="AO482" s="5"/>
      <c r="AP482" s="5"/>
    </row>
    <row r="483" spans="1:42" s="119" customFormat="1">
      <c r="A483"/>
      <c r="B483"/>
      <c r="C483" s="178" t="s">
        <v>1690</v>
      </c>
      <c r="D483"/>
      <c r="E483" s="534"/>
      <c r="F483" s="215">
        <f t="shared" si="112"/>
        <v>194</v>
      </c>
      <c r="G483" s="238">
        <f t="shared" si="114"/>
        <v>109</v>
      </c>
      <c r="H483" s="161">
        <f t="shared" ref="H483:AD483" si="122">COUNTIFS(H3:H418,"=x",$AL$3:$AL$418,"=FES",$G$3:$G$418,"&gt;2")</f>
        <v>18</v>
      </c>
      <c r="I483" s="161">
        <f t="shared" si="122"/>
        <v>6</v>
      </c>
      <c r="J483" s="161">
        <f t="shared" si="122"/>
        <v>16</v>
      </c>
      <c r="K483" s="161">
        <f t="shared" si="122"/>
        <v>8</v>
      </c>
      <c r="L483" s="161">
        <f t="shared" si="122"/>
        <v>7</v>
      </c>
      <c r="M483" s="161">
        <f t="shared" si="122"/>
        <v>19</v>
      </c>
      <c r="N483" s="161">
        <f t="shared" si="122"/>
        <v>13</v>
      </c>
      <c r="O483" s="161">
        <f t="shared" si="122"/>
        <v>8</v>
      </c>
      <c r="P483" s="161">
        <f t="shared" si="122"/>
        <v>9</v>
      </c>
      <c r="Q483" s="161">
        <f t="shared" si="122"/>
        <v>13</v>
      </c>
      <c r="R483" s="161">
        <f t="shared" si="122"/>
        <v>8</v>
      </c>
      <c r="S483" s="161">
        <f t="shared" si="122"/>
        <v>6</v>
      </c>
      <c r="T483" s="161">
        <f t="shared" si="122"/>
        <v>15</v>
      </c>
      <c r="U483" s="161">
        <f t="shared" si="122"/>
        <v>7</v>
      </c>
      <c r="V483" s="161">
        <f t="shared" si="122"/>
        <v>3</v>
      </c>
      <c r="W483" s="161">
        <f t="shared" si="122"/>
        <v>5</v>
      </c>
      <c r="X483" s="161">
        <f t="shared" si="122"/>
        <v>4</v>
      </c>
      <c r="Y483" s="161">
        <f t="shared" si="122"/>
        <v>5</v>
      </c>
      <c r="Z483" s="161">
        <f t="shared" si="122"/>
        <v>9</v>
      </c>
      <c r="AA483" s="161">
        <f t="shared" si="122"/>
        <v>10</v>
      </c>
      <c r="AB483" s="161">
        <f t="shared" si="122"/>
        <v>5</v>
      </c>
      <c r="AC483" s="161">
        <f t="shared" si="122"/>
        <v>13</v>
      </c>
      <c r="AD483" s="161">
        <f t="shared" si="122"/>
        <v>5</v>
      </c>
      <c r="AE483" s="161"/>
      <c r="AF483" s="161"/>
      <c r="AG483" s="164"/>
      <c r="AH483"/>
      <c r="AI483"/>
      <c r="AJ483" s="164"/>
      <c r="AK483"/>
      <c r="AL483" s="177"/>
      <c r="AM483" s="161"/>
      <c r="AN483" s="161"/>
      <c r="AO483" s="161"/>
      <c r="AP483" s="161"/>
    </row>
    <row r="484" spans="1:42" s="119" customFormat="1">
      <c r="A484"/>
      <c r="B484"/>
      <c r="C484" s="158" t="s">
        <v>1697</v>
      </c>
      <c r="D484"/>
      <c r="E484" s="534"/>
      <c r="F484" s="215">
        <f t="shared" si="112"/>
        <v>0</v>
      </c>
      <c r="G484" s="238">
        <f t="shared" si="114"/>
        <v>110</v>
      </c>
      <c r="H484" s="161">
        <f t="shared" ref="H484:AD484" si="123">COUNTIFS(H3:H418,"=x",$AL$3:$AL$418,"=Genetics",$G$3:$G$418,"&gt;2")</f>
        <v>0</v>
      </c>
      <c r="I484" s="161">
        <f t="shared" si="123"/>
        <v>0</v>
      </c>
      <c r="J484" s="161">
        <f t="shared" si="123"/>
        <v>0</v>
      </c>
      <c r="K484" s="161">
        <f t="shared" si="123"/>
        <v>0</v>
      </c>
      <c r="L484" s="161">
        <f t="shared" si="123"/>
        <v>0</v>
      </c>
      <c r="M484" s="161">
        <f t="shared" si="123"/>
        <v>0</v>
      </c>
      <c r="N484" s="161">
        <f t="shared" si="123"/>
        <v>0</v>
      </c>
      <c r="O484" s="161">
        <f t="shared" si="123"/>
        <v>0</v>
      </c>
      <c r="P484" s="161">
        <f t="shared" si="123"/>
        <v>0</v>
      </c>
      <c r="Q484" s="161">
        <f t="shared" si="123"/>
        <v>0</v>
      </c>
      <c r="R484" s="161">
        <f t="shared" si="123"/>
        <v>0</v>
      </c>
      <c r="S484" s="161">
        <f t="shared" si="123"/>
        <v>0</v>
      </c>
      <c r="T484" s="161">
        <f t="shared" si="123"/>
        <v>0</v>
      </c>
      <c r="U484" s="161">
        <f t="shared" si="123"/>
        <v>0</v>
      </c>
      <c r="V484" s="161">
        <f t="shared" si="123"/>
        <v>0</v>
      </c>
      <c r="W484" s="161">
        <f t="shared" si="123"/>
        <v>0</v>
      </c>
      <c r="X484" s="161">
        <f t="shared" si="123"/>
        <v>0</v>
      </c>
      <c r="Y484" s="161">
        <f t="shared" si="123"/>
        <v>0</v>
      </c>
      <c r="Z484" s="161">
        <f t="shared" si="123"/>
        <v>0</v>
      </c>
      <c r="AA484" s="161">
        <f t="shared" si="123"/>
        <v>0</v>
      </c>
      <c r="AB484" s="161">
        <f t="shared" si="123"/>
        <v>0</v>
      </c>
      <c r="AC484" s="161">
        <f t="shared" si="123"/>
        <v>0</v>
      </c>
      <c r="AD484" s="161">
        <f t="shared" si="123"/>
        <v>0</v>
      </c>
      <c r="AE484" s="161"/>
      <c r="AF484" s="161"/>
      <c r="AG484" s="164"/>
      <c r="AH484"/>
      <c r="AI484"/>
      <c r="AJ484" s="164"/>
      <c r="AK484"/>
      <c r="AL484" s="177"/>
      <c r="AM484" s="161"/>
      <c r="AN484" s="161"/>
      <c r="AO484" s="161"/>
      <c r="AP484" s="161"/>
    </row>
    <row r="485" spans="1:42" s="119" customFormat="1">
      <c r="A485"/>
      <c r="B485"/>
      <c r="C485" s="158" t="s">
        <v>1696</v>
      </c>
      <c r="D485"/>
      <c r="E485" s="534"/>
      <c r="F485" s="215">
        <f t="shared" si="112"/>
        <v>0</v>
      </c>
      <c r="G485" s="238">
        <f t="shared" si="114"/>
        <v>111</v>
      </c>
      <c r="H485" s="161">
        <f t="shared" ref="H485:AD485" si="124">COUNTIFS(H3:H418,"=x",$AL$3:$AL$418,"=Geology &amp; geophysics",$G$3:$G$418,"&gt;2")</f>
        <v>0</v>
      </c>
      <c r="I485" s="161">
        <f t="shared" si="124"/>
        <v>0</v>
      </c>
      <c r="J485" s="161">
        <f t="shared" si="124"/>
        <v>0</v>
      </c>
      <c r="K485" s="161">
        <f t="shared" si="124"/>
        <v>0</v>
      </c>
      <c r="L485" s="161">
        <f t="shared" si="124"/>
        <v>0</v>
      </c>
      <c r="M485" s="161">
        <f t="shared" si="124"/>
        <v>0</v>
      </c>
      <c r="N485" s="161">
        <f t="shared" si="124"/>
        <v>0</v>
      </c>
      <c r="O485" s="161">
        <f t="shared" si="124"/>
        <v>0</v>
      </c>
      <c r="P485" s="161">
        <f t="shared" si="124"/>
        <v>0</v>
      </c>
      <c r="Q485" s="161">
        <f t="shared" si="124"/>
        <v>0</v>
      </c>
      <c r="R485" s="161">
        <f t="shared" si="124"/>
        <v>0</v>
      </c>
      <c r="S485" s="161">
        <f t="shared" si="124"/>
        <v>0</v>
      </c>
      <c r="T485" s="161">
        <f t="shared" si="124"/>
        <v>0</v>
      </c>
      <c r="U485" s="161">
        <f t="shared" si="124"/>
        <v>0</v>
      </c>
      <c r="V485" s="161">
        <f t="shared" si="124"/>
        <v>0</v>
      </c>
      <c r="W485" s="161">
        <f t="shared" si="124"/>
        <v>0</v>
      </c>
      <c r="X485" s="161">
        <f t="shared" si="124"/>
        <v>0</v>
      </c>
      <c r="Y485" s="161">
        <f t="shared" si="124"/>
        <v>0</v>
      </c>
      <c r="Z485" s="161">
        <f t="shared" si="124"/>
        <v>0</v>
      </c>
      <c r="AA485" s="161">
        <f t="shared" si="124"/>
        <v>0</v>
      </c>
      <c r="AB485" s="161">
        <f t="shared" si="124"/>
        <v>0</v>
      </c>
      <c r="AC485" s="161">
        <f t="shared" si="124"/>
        <v>0</v>
      </c>
      <c r="AD485" s="161">
        <f t="shared" si="124"/>
        <v>0</v>
      </c>
      <c r="AE485" s="161"/>
      <c r="AF485" s="161"/>
      <c r="AG485" s="164"/>
      <c r="AH485"/>
      <c r="AI485"/>
      <c r="AJ485" s="164"/>
      <c r="AK485"/>
      <c r="AL485" s="177"/>
      <c r="AM485" s="161"/>
      <c r="AN485" s="161"/>
      <c r="AO485" s="161"/>
      <c r="AP485" s="161"/>
    </row>
    <row r="486" spans="1:42" s="119" customFormat="1">
      <c r="A486"/>
      <c r="B486"/>
      <c r="C486" s="158" t="s">
        <v>2044</v>
      </c>
      <c r="D486"/>
      <c r="E486" s="534"/>
      <c r="F486" s="215">
        <f t="shared" si="112"/>
        <v>0</v>
      </c>
      <c r="G486" s="238">
        <f t="shared" si="114"/>
        <v>112</v>
      </c>
      <c r="H486" s="161">
        <f t="shared" ref="H486:AD486" si="125">COUNTIFS(H3:H418,"=x",$AL$3:$AL$418,"=History",$G$3:$G$418,"&gt;2")</f>
        <v>0</v>
      </c>
      <c r="I486" s="161">
        <f t="shared" si="125"/>
        <v>0</v>
      </c>
      <c r="J486" s="161">
        <f t="shared" si="125"/>
        <v>0</v>
      </c>
      <c r="K486" s="161">
        <f t="shared" si="125"/>
        <v>0</v>
      </c>
      <c r="L486" s="161">
        <f t="shared" si="125"/>
        <v>0</v>
      </c>
      <c r="M486" s="161">
        <f t="shared" si="125"/>
        <v>0</v>
      </c>
      <c r="N486" s="161">
        <f t="shared" si="125"/>
        <v>0</v>
      </c>
      <c r="O486" s="161">
        <f t="shared" si="125"/>
        <v>0</v>
      </c>
      <c r="P486" s="161">
        <f t="shared" si="125"/>
        <v>0</v>
      </c>
      <c r="Q486" s="161">
        <f t="shared" si="125"/>
        <v>0</v>
      </c>
      <c r="R486" s="161">
        <f t="shared" si="125"/>
        <v>0</v>
      </c>
      <c r="S486" s="161">
        <f t="shared" si="125"/>
        <v>0</v>
      </c>
      <c r="T486" s="161">
        <f t="shared" si="125"/>
        <v>0</v>
      </c>
      <c r="U486" s="161">
        <f t="shared" si="125"/>
        <v>0</v>
      </c>
      <c r="V486" s="161">
        <f t="shared" si="125"/>
        <v>0</v>
      </c>
      <c r="W486" s="161">
        <f t="shared" si="125"/>
        <v>0</v>
      </c>
      <c r="X486" s="161">
        <f t="shared" si="125"/>
        <v>0</v>
      </c>
      <c r="Y486" s="161">
        <f t="shared" si="125"/>
        <v>0</v>
      </c>
      <c r="Z486" s="161">
        <f t="shared" si="125"/>
        <v>0</v>
      </c>
      <c r="AA486" s="161">
        <f t="shared" si="125"/>
        <v>0</v>
      </c>
      <c r="AB486" s="161">
        <f t="shared" si="125"/>
        <v>0</v>
      </c>
      <c r="AC486" s="161">
        <f t="shared" si="125"/>
        <v>0</v>
      </c>
      <c r="AD486" s="161">
        <f t="shared" si="125"/>
        <v>0</v>
      </c>
      <c r="AE486" s="161"/>
      <c r="AF486" s="161"/>
      <c r="AG486" s="164"/>
      <c r="AH486"/>
      <c r="AI486"/>
      <c r="AJ486" s="164"/>
      <c r="AK486"/>
      <c r="AL486" s="177"/>
      <c r="AM486" s="161"/>
      <c r="AN486" s="161"/>
      <c r="AO486" s="161"/>
      <c r="AP486" s="161"/>
    </row>
    <row r="487" spans="1:42" s="181" customFormat="1" ht="11.25" customHeight="1">
      <c r="A487"/>
      <c r="B487"/>
      <c r="C487" s="158" t="s">
        <v>1695</v>
      </c>
      <c r="D487"/>
      <c r="E487" s="534"/>
      <c r="F487" s="215">
        <f t="shared" si="112"/>
        <v>0</v>
      </c>
      <c r="G487" s="238">
        <f t="shared" si="114"/>
        <v>113</v>
      </c>
      <c r="H487" s="161">
        <f t="shared" ref="H487:AD487" si="126">COUNTIFS(H3:H418,"=x",$AL$3:$AL$418,"=International relations",$G$3:$G$418,"&gt;2")</f>
        <v>0</v>
      </c>
      <c r="I487" s="161">
        <f t="shared" si="126"/>
        <v>0</v>
      </c>
      <c r="J487" s="161">
        <f t="shared" si="126"/>
        <v>0</v>
      </c>
      <c r="K487" s="161">
        <f t="shared" si="126"/>
        <v>0</v>
      </c>
      <c r="L487" s="161">
        <f t="shared" si="126"/>
        <v>0</v>
      </c>
      <c r="M487" s="161">
        <f t="shared" si="126"/>
        <v>0</v>
      </c>
      <c r="N487" s="161">
        <f t="shared" si="126"/>
        <v>0</v>
      </c>
      <c r="O487" s="161">
        <f t="shared" si="126"/>
        <v>0</v>
      </c>
      <c r="P487" s="161">
        <f t="shared" si="126"/>
        <v>0</v>
      </c>
      <c r="Q487" s="161">
        <f t="shared" si="126"/>
        <v>0</v>
      </c>
      <c r="R487" s="161">
        <f t="shared" si="126"/>
        <v>0</v>
      </c>
      <c r="S487" s="161">
        <f t="shared" si="126"/>
        <v>0</v>
      </c>
      <c r="T487" s="161">
        <f t="shared" si="126"/>
        <v>0</v>
      </c>
      <c r="U487" s="161">
        <f t="shared" si="126"/>
        <v>0</v>
      </c>
      <c r="V487" s="161">
        <f t="shared" si="126"/>
        <v>0</v>
      </c>
      <c r="W487" s="161">
        <f t="shared" si="126"/>
        <v>0</v>
      </c>
      <c r="X487" s="161">
        <f t="shared" si="126"/>
        <v>0</v>
      </c>
      <c r="Y487" s="161">
        <f t="shared" si="126"/>
        <v>0</v>
      </c>
      <c r="Z487" s="161">
        <f t="shared" si="126"/>
        <v>0</v>
      </c>
      <c r="AA487" s="161">
        <f t="shared" si="126"/>
        <v>0</v>
      </c>
      <c r="AB487" s="161">
        <f t="shared" si="126"/>
        <v>0</v>
      </c>
      <c r="AC487" s="161">
        <f t="shared" si="126"/>
        <v>0</v>
      </c>
      <c r="AD487" s="161">
        <f t="shared" si="126"/>
        <v>0</v>
      </c>
      <c r="AE487" s="161"/>
      <c r="AF487" s="161"/>
      <c r="AG487" s="164"/>
      <c r="AH487"/>
      <c r="AI487"/>
      <c r="AJ487" s="164"/>
      <c r="AK487"/>
      <c r="AL487" s="177"/>
      <c r="AM487" s="161"/>
      <c r="AN487" s="161"/>
      <c r="AO487" s="161"/>
      <c r="AP487" s="161"/>
    </row>
    <row r="488" spans="1:42" s="119" customFormat="1">
      <c r="A488"/>
      <c r="B488"/>
      <c r="C488" s="158" t="s">
        <v>1692</v>
      </c>
      <c r="D488"/>
      <c r="E488" s="534"/>
      <c r="F488" s="215">
        <f t="shared" si="112"/>
        <v>0</v>
      </c>
      <c r="G488" s="238">
        <f t="shared" si="114"/>
        <v>114</v>
      </c>
      <c r="H488" s="161">
        <f t="shared" ref="H488:AD488" si="127">COUNTIFS(H3:H418,"=x",$AL$3:$AL$418,"=Law",$G$3:$G$418,"&gt;2")</f>
        <v>0</v>
      </c>
      <c r="I488" s="161">
        <f t="shared" si="127"/>
        <v>0</v>
      </c>
      <c r="J488" s="161">
        <f t="shared" si="127"/>
        <v>0</v>
      </c>
      <c r="K488" s="161">
        <f t="shared" si="127"/>
        <v>0</v>
      </c>
      <c r="L488" s="161">
        <f t="shared" si="127"/>
        <v>0</v>
      </c>
      <c r="M488" s="161">
        <f t="shared" si="127"/>
        <v>0</v>
      </c>
      <c r="N488" s="161">
        <f t="shared" si="127"/>
        <v>0</v>
      </c>
      <c r="O488" s="161">
        <f t="shared" si="127"/>
        <v>0</v>
      </c>
      <c r="P488" s="161">
        <f t="shared" si="127"/>
        <v>0</v>
      </c>
      <c r="Q488" s="161">
        <f t="shared" si="127"/>
        <v>0</v>
      </c>
      <c r="R488" s="161">
        <f t="shared" si="127"/>
        <v>0</v>
      </c>
      <c r="S488" s="161">
        <f t="shared" si="127"/>
        <v>0</v>
      </c>
      <c r="T488" s="161">
        <f t="shared" si="127"/>
        <v>0</v>
      </c>
      <c r="U488" s="161">
        <f t="shared" si="127"/>
        <v>0</v>
      </c>
      <c r="V488" s="161">
        <f t="shared" si="127"/>
        <v>0</v>
      </c>
      <c r="W488" s="161">
        <f t="shared" si="127"/>
        <v>0</v>
      </c>
      <c r="X488" s="161">
        <f t="shared" si="127"/>
        <v>0</v>
      </c>
      <c r="Y488" s="161">
        <f t="shared" si="127"/>
        <v>0</v>
      </c>
      <c r="Z488" s="161">
        <f t="shared" si="127"/>
        <v>0</v>
      </c>
      <c r="AA488" s="161">
        <f t="shared" si="127"/>
        <v>0</v>
      </c>
      <c r="AB488" s="161">
        <f t="shared" si="127"/>
        <v>0</v>
      </c>
      <c r="AC488" s="161">
        <f t="shared" si="127"/>
        <v>0</v>
      </c>
      <c r="AD488" s="161">
        <f t="shared" si="127"/>
        <v>0</v>
      </c>
      <c r="AE488" s="161"/>
      <c r="AF488" s="161"/>
      <c r="AG488" s="164"/>
      <c r="AH488"/>
      <c r="AI488"/>
      <c r="AJ488" s="164"/>
      <c r="AK488"/>
      <c r="AL488" s="177"/>
      <c r="AM488" s="161"/>
      <c r="AN488" s="161"/>
      <c r="AO488" s="161"/>
      <c r="AP488" s="161"/>
    </row>
    <row r="489" spans="1:42" s="119" customFormat="1">
      <c r="A489"/>
      <c r="B489"/>
      <c r="C489" s="180" t="s">
        <v>1703</v>
      </c>
      <c r="D489"/>
      <c r="E489" s="534"/>
      <c r="F489" s="215">
        <f t="shared" si="112"/>
        <v>0</v>
      </c>
      <c r="G489" s="238">
        <f t="shared" si="114"/>
        <v>115</v>
      </c>
      <c r="H489" s="161">
        <f t="shared" ref="H489:AD489" si="128">COUNTIFS(H3:H418,"=x",$AL$3:$AL$418,"=Political science",$G$3:$G$418,"&gt;2")</f>
        <v>0</v>
      </c>
      <c r="I489" s="161">
        <f t="shared" si="128"/>
        <v>0</v>
      </c>
      <c r="J489" s="161">
        <f t="shared" si="128"/>
        <v>0</v>
      </c>
      <c r="K489" s="161">
        <f t="shared" si="128"/>
        <v>0</v>
      </c>
      <c r="L489" s="161">
        <f t="shared" si="128"/>
        <v>0</v>
      </c>
      <c r="M489" s="161">
        <f t="shared" si="128"/>
        <v>0</v>
      </c>
      <c r="N489" s="161">
        <f t="shared" si="128"/>
        <v>0</v>
      </c>
      <c r="O489" s="161">
        <f t="shared" si="128"/>
        <v>0</v>
      </c>
      <c r="P489" s="161">
        <f t="shared" si="128"/>
        <v>0</v>
      </c>
      <c r="Q489" s="161">
        <f t="shared" si="128"/>
        <v>0</v>
      </c>
      <c r="R489" s="161">
        <f t="shared" si="128"/>
        <v>0</v>
      </c>
      <c r="S489" s="161">
        <f t="shared" si="128"/>
        <v>0</v>
      </c>
      <c r="T489" s="161">
        <f t="shared" si="128"/>
        <v>0</v>
      </c>
      <c r="U489" s="161">
        <f t="shared" si="128"/>
        <v>0</v>
      </c>
      <c r="V489" s="161">
        <f t="shared" si="128"/>
        <v>0</v>
      </c>
      <c r="W489" s="161">
        <f t="shared" si="128"/>
        <v>0</v>
      </c>
      <c r="X489" s="161">
        <f t="shared" si="128"/>
        <v>0</v>
      </c>
      <c r="Y489" s="161">
        <f t="shared" si="128"/>
        <v>0</v>
      </c>
      <c r="Z489" s="161">
        <f t="shared" si="128"/>
        <v>0</v>
      </c>
      <c r="AA489" s="161">
        <f t="shared" si="128"/>
        <v>0</v>
      </c>
      <c r="AB489" s="161">
        <f t="shared" si="128"/>
        <v>0</v>
      </c>
      <c r="AC489" s="161">
        <f t="shared" si="128"/>
        <v>0</v>
      </c>
      <c r="AD489" s="161">
        <f t="shared" si="128"/>
        <v>0</v>
      </c>
      <c r="AE489" s="161"/>
      <c r="AF489" s="161"/>
      <c r="AG489" s="164"/>
      <c r="AH489"/>
      <c r="AI489"/>
      <c r="AJ489" s="164"/>
      <c r="AK489"/>
      <c r="AL489" s="177"/>
      <c r="AM489" s="161"/>
      <c r="AN489" s="161"/>
      <c r="AO489" s="161"/>
      <c r="AP489" s="161"/>
    </row>
    <row r="490" spans="1:42" s="119" customFormat="1">
      <c r="A490"/>
      <c r="B490"/>
      <c r="C490" s="158" t="s">
        <v>1704</v>
      </c>
      <c r="D490"/>
      <c r="E490" s="534"/>
      <c r="F490" s="215">
        <f t="shared" si="112"/>
        <v>0</v>
      </c>
      <c r="G490" s="238">
        <f t="shared" si="114"/>
        <v>116</v>
      </c>
      <c r="H490" s="161">
        <f t="shared" ref="H490:AD490" si="129">COUNTIFS(H3:H418,"=x",$AL$3:$AL$418,"=Psychology",$G$3:$G$418,"&gt;2")</f>
        <v>0</v>
      </c>
      <c r="I490" s="161">
        <f t="shared" si="129"/>
        <v>0</v>
      </c>
      <c r="J490" s="161">
        <f t="shared" si="129"/>
        <v>0</v>
      </c>
      <c r="K490" s="161">
        <f t="shared" si="129"/>
        <v>0</v>
      </c>
      <c r="L490" s="161">
        <f t="shared" si="129"/>
        <v>0</v>
      </c>
      <c r="M490" s="161">
        <f t="shared" si="129"/>
        <v>0</v>
      </c>
      <c r="N490" s="161">
        <f t="shared" si="129"/>
        <v>0</v>
      </c>
      <c r="O490" s="161">
        <f t="shared" si="129"/>
        <v>0</v>
      </c>
      <c r="P490" s="161">
        <f t="shared" si="129"/>
        <v>0</v>
      </c>
      <c r="Q490" s="161">
        <f t="shared" si="129"/>
        <v>0</v>
      </c>
      <c r="R490" s="161">
        <f t="shared" si="129"/>
        <v>0</v>
      </c>
      <c r="S490" s="161">
        <f t="shared" si="129"/>
        <v>0</v>
      </c>
      <c r="T490" s="161">
        <f t="shared" si="129"/>
        <v>0</v>
      </c>
      <c r="U490" s="161">
        <f t="shared" si="129"/>
        <v>0</v>
      </c>
      <c r="V490" s="161">
        <f t="shared" si="129"/>
        <v>0</v>
      </c>
      <c r="W490" s="161">
        <f t="shared" si="129"/>
        <v>0</v>
      </c>
      <c r="X490" s="161">
        <f t="shared" si="129"/>
        <v>0</v>
      </c>
      <c r="Y490" s="161">
        <f t="shared" si="129"/>
        <v>0</v>
      </c>
      <c r="Z490" s="161">
        <f t="shared" si="129"/>
        <v>0</v>
      </c>
      <c r="AA490" s="161">
        <f t="shared" si="129"/>
        <v>0</v>
      </c>
      <c r="AB490" s="161">
        <f t="shared" si="129"/>
        <v>0</v>
      </c>
      <c r="AC490" s="161">
        <f t="shared" si="129"/>
        <v>0</v>
      </c>
      <c r="AD490" s="161">
        <f t="shared" si="129"/>
        <v>0</v>
      </c>
      <c r="AE490" s="161"/>
      <c r="AF490" s="161"/>
      <c r="AG490" s="164"/>
      <c r="AH490"/>
      <c r="AI490"/>
      <c r="AJ490" s="164"/>
      <c r="AK490"/>
      <c r="AL490" s="177"/>
      <c r="AM490" s="161"/>
      <c r="AN490" s="161"/>
      <c r="AO490" s="161"/>
      <c r="AP490" s="161"/>
    </row>
    <row r="491" spans="1:42" s="119" customFormat="1">
      <c r="A491"/>
      <c r="B491"/>
      <c r="C491" s="158" t="s">
        <v>1699</v>
      </c>
      <c r="D491"/>
      <c r="E491" s="534"/>
      <c r="F491" s="215">
        <f t="shared" si="112"/>
        <v>0</v>
      </c>
      <c r="G491" s="238">
        <f t="shared" si="114"/>
        <v>117</v>
      </c>
      <c r="H491" s="161">
        <f t="shared" ref="H491:AD491" si="130">COUNTIFS(H3:H418,"=x",$AL$3:$AL$418,"=Public health",$G$3:$G$418,"&gt;2")</f>
        <v>0</v>
      </c>
      <c r="I491" s="161">
        <f t="shared" si="130"/>
        <v>0</v>
      </c>
      <c r="J491" s="161">
        <f t="shared" si="130"/>
        <v>0</v>
      </c>
      <c r="K491" s="161">
        <f t="shared" si="130"/>
        <v>0</v>
      </c>
      <c r="L491" s="161">
        <f t="shared" si="130"/>
        <v>0</v>
      </c>
      <c r="M491" s="161">
        <f t="shared" si="130"/>
        <v>0</v>
      </c>
      <c r="N491" s="161">
        <f t="shared" si="130"/>
        <v>0</v>
      </c>
      <c r="O491" s="161">
        <f t="shared" si="130"/>
        <v>0</v>
      </c>
      <c r="P491" s="161">
        <f t="shared" si="130"/>
        <v>0</v>
      </c>
      <c r="Q491" s="161">
        <f t="shared" si="130"/>
        <v>0</v>
      </c>
      <c r="R491" s="161">
        <f t="shared" si="130"/>
        <v>0</v>
      </c>
      <c r="S491" s="161">
        <f t="shared" si="130"/>
        <v>0</v>
      </c>
      <c r="T491" s="161">
        <f t="shared" si="130"/>
        <v>0</v>
      </c>
      <c r="U491" s="161">
        <f t="shared" si="130"/>
        <v>0</v>
      </c>
      <c r="V491" s="161">
        <f t="shared" si="130"/>
        <v>0</v>
      </c>
      <c r="W491" s="161">
        <f t="shared" si="130"/>
        <v>0</v>
      </c>
      <c r="X491" s="161">
        <f t="shared" si="130"/>
        <v>0</v>
      </c>
      <c r="Y491" s="161">
        <f t="shared" si="130"/>
        <v>0</v>
      </c>
      <c r="Z491" s="161">
        <f t="shared" si="130"/>
        <v>0</v>
      </c>
      <c r="AA491" s="161">
        <f t="shared" si="130"/>
        <v>0</v>
      </c>
      <c r="AB491" s="161">
        <f t="shared" si="130"/>
        <v>0</v>
      </c>
      <c r="AC491" s="161">
        <f t="shared" si="130"/>
        <v>0</v>
      </c>
      <c r="AD491" s="161">
        <f t="shared" si="130"/>
        <v>0</v>
      </c>
      <c r="AE491" s="161"/>
      <c r="AF491" s="161"/>
      <c r="AG491" s="164"/>
      <c r="AH491"/>
      <c r="AI491"/>
      <c r="AJ491" s="164"/>
      <c r="AK491"/>
      <c r="AL491" s="177"/>
      <c r="AM491" s="161"/>
      <c r="AN491" s="161"/>
      <c r="AO491" s="161"/>
      <c r="AP491" s="161"/>
    </row>
    <row r="492" spans="1:42" s="119" customFormat="1">
      <c r="A492"/>
      <c r="B492"/>
      <c r="C492" s="158" t="s">
        <v>1707</v>
      </c>
      <c r="D492"/>
      <c r="E492" s="534"/>
      <c r="F492" s="215">
        <f t="shared" si="112"/>
        <v>0</v>
      </c>
      <c r="G492" s="238">
        <f t="shared" si="114"/>
        <v>118</v>
      </c>
      <c r="H492" s="161">
        <f t="shared" ref="H492:AD492" si="131">COUNTIFS(H3:H418,"=x",$AL$3:$AL$418,"=Sociology",$G$3:$G$418,"&gt;2")</f>
        <v>0</v>
      </c>
      <c r="I492" s="161">
        <f t="shared" si="131"/>
        <v>0</v>
      </c>
      <c r="J492" s="161">
        <f t="shared" si="131"/>
        <v>0</v>
      </c>
      <c r="K492" s="161">
        <f t="shared" si="131"/>
        <v>0</v>
      </c>
      <c r="L492" s="161">
        <f t="shared" si="131"/>
        <v>0</v>
      </c>
      <c r="M492" s="161">
        <f t="shared" si="131"/>
        <v>0</v>
      </c>
      <c r="N492" s="161">
        <f t="shared" si="131"/>
        <v>0</v>
      </c>
      <c r="O492" s="161">
        <f t="shared" si="131"/>
        <v>0</v>
      </c>
      <c r="P492" s="161">
        <f t="shared" si="131"/>
        <v>0</v>
      </c>
      <c r="Q492" s="161">
        <f t="shared" si="131"/>
        <v>0</v>
      </c>
      <c r="R492" s="161">
        <f t="shared" si="131"/>
        <v>0</v>
      </c>
      <c r="S492" s="161">
        <f t="shared" si="131"/>
        <v>0</v>
      </c>
      <c r="T492" s="161">
        <f t="shared" si="131"/>
        <v>0</v>
      </c>
      <c r="U492" s="161">
        <f t="shared" si="131"/>
        <v>0</v>
      </c>
      <c r="V492" s="161">
        <f t="shared" si="131"/>
        <v>0</v>
      </c>
      <c r="W492" s="161">
        <f t="shared" si="131"/>
        <v>0</v>
      </c>
      <c r="X492" s="161">
        <f t="shared" si="131"/>
        <v>0</v>
      </c>
      <c r="Y492" s="161">
        <f t="shared" si="131"/>
        <v>0</v>
      </c>
      <c r="Z492" s="161">
        <f t="shared" si="131"/>
        <v>0</v>
      </c>
      <c r="AA492" s="161">
        <f t="shared" si="131"/>
        <v>0</v>
      </c>
      <c r="AB492" s="161">
        <f t="shared" si="131"/>
        <v>0</v>
      </c>
      <c r="AC492" s="161">
        <f t="shared" si="131"/>
        <v>0</v>
      </c>
      <c r="AD492" s="161">
        <f t="shared" si="131"/>
        <v>0</v>
      </c>
      <c r="AE492" s="161"/>
      <c r="AF492" s="161"/>
      <c r="AG492" s="164"/>
      <c r="AH492"/>
      <c r="AI492"/>
      <c r="AJ492" s="164"/>
      <c r="AK492"/>
      <c r="AL492" s="177"/>
      <c r="AM492" s="161"/>
      <c r="AN492" s="161"/>
      <c r="AO492" s="161"/>
      <c r="AP492" s="161"/>
    </row>
    <row r="493" spans="1:42" s="119" customFormat="1">
      <c r="A493"/>
      <c r="B493"/>
      <c r="C493" s="158" t="s">
        <v>1691</v>
      </c>
      <c r="D493"/>
      <c r="E493" s="362"/>
      <c r="F493" s="215">
        <f t="shared" si="112"/>
        <v>42</v>
      </c>
      <c r="G493" s="238">
        <f t="shared" si="114"/>
        <v>119</v>
      </c>
      <c r="H493" s="161">
        <f t="shared" ref="H493:AD493" si="132">COUNTIFS(H3:H418,"=x",$AL$3:$AL$418,"=SOM",$G$3:$G$418,"&gt;2")</f>
        <v>4</v>
      </c>
      <c r="I493" s="161">
        <f t="shared" si="132"/>
        <v>7</v>
      </c>
      <c r="J493" s="161">
        <f t="shared" si="132"/>
        <v>5</v>
      </c>
      <c r="K493" s="161">
        <f t="shared" si="132"/>
        <v>4</v>
      </c>
      <c r="L493" s="161">
        <f t="shared" si="132"/>
        <v>3</v>
      </c>
      <c r="M493" s="161">
        <f t="shared" si="132"/>
        <v>1</v>
      </c>
      <c r="N493" s="161">
        <f t="shared" si="132"/>
        <v>1</v>
      </c>
      <c r="O493" s="161">
        <f t="shared" si="132"/>
        <v>0</v>
      </c>
      <c r="P493" s="161">
        <f t="shared" si="132"/>
        <v>0</v>
      </c>
      <c r="Q493" s="161">
        <f t="shared" si="132"/>
        <v>6</v>
      </c>
      <c r="R493" s="161">
        <f t="shared" si="132"/>
        <v>4</v>
      </c>
      <c r="S493" s="161">
        <f t="shared" si="132"/>
        <v>0</v>
      </c>
      <c r="T493" s="161">
        <f t="shared" si="132"/>
        <v>2</v>
      </c>
      <c r="U493" s="161">
        <f t="shared" si="132"/>
        <v>5</v>
      </c>
      <c r="V493" s="161">
        <f t="shared" si="132"/>
        <v>0</v>
      </c>
      <c r="W493" s="161">
        <f t="shared" si="132"/>
        <v>0</v>
      </c>
      <c r="X493" s="161">
        <f t="shared" si="132"/>
        <v>0</v>
      </c>
      <c r="Y493" s="161">
        <f t="shared" si="132"/>
        <v>0</v>
      </c>
      <c r="Z493" s="161">
        <f t="shared" si="132"/>
        <v>0</v>
      </c>
      <c r="AA493" s="161">
        <f t="shared" si="132"/>
        <v>0</v>
      </c>
      <c r="AB493" s="161">
        <f t="shared" si="132"/>
        <v>0</v>
      </c>
      <c r="AC493" s="161">
        <f t="shared" si="132"/>
        <v>1</v>
      </c>
      <c r="AD493" s="161">
        <f t="shared" si="132"/>
        <v>0</v>
      </c>
      <c r="AE493" s="161"/>
      <c r="AF493" s="161"/>
      <c r="AG493" s="164"/>
      <c r="AH493"/>
      <c r="AI493"/>
      <c r="AJ493" s="164"/>
      <c r="AK493"/>
      <c r="AL493" s="177"/>
      <c r="AM493" s="161"/>
      <c r="AN493" s="161"/>
      <c r="AO493" s="161"/>
      <c r="AP493" s="161"/>
    </row>
    <row r="494" spans="1:42" s="119" customFormat="1">
      <c r="A494"/>
      <c r="B494"/>
      <c r="C494" s="158" t="s">
        <v>1706</v>
      </c>
      <c r="D494"/>
      <c r="E494"/>
      <c r="F494" s="215">
        <f t="shared" si="112"/>
        <v>0</v>
      </c>
      <c r="G494" s="238">
        <f t="shared" si="114"/>
        <v>120</v>
      </c>
      <c r="H494" s="161">
        <f t="shared" ref="H494:AD494" si="133">COUNTIFS(H3:H418,"=x",$AL$3:$AL$418,"=South asian studies",$G$3:$G$418,"&gt;2")</f>
        <v>0</v>
      </c>
      <c r="I494" s="161">
        <f t="shared" si="133"/>
        <v>0</v>
      </c>
      <c r="J494" s="161">
        <f t="shared" si="133"/>
        <v>0</v>
      </c>
      <c r="K494" s="161">
        <f t="shared" si="133"/>
        <v>0</v>
      </c>
      <c r="L494" s="161">
        <f t="shared" si="133"/>
        <v>0</v>
      </c>
      <c r="M494" s="161">
        <f t="shared" si="133"/>
        <v>0</v>
      </c>
      <c r="N494" s="161">
        <f t="shared" si="133"/>
        <v>0</v>
      </c>
      <c r="O494" s="161">
        <f t="shared" si="133"/>
        <v>0</v>
      </c>
      <c r="P494" s="161">
        <f t="shared" si="133"/>
        <v>0</v>
      </c>
      <c r="Q494" s="161">
        <f t="shared" si="133"/>
        <v>0</v>
      </c>
      <c r="R494" s="161">
        <f t="shared" si="133"/>
        <v>0</v>
      </c>
      <c r="S494" s="161">
        <f t="shared" si="133"/>
        <v>0</v>
      </c>
      <c r="T494" s="161">
        <f t="shared" si="133"/>
        <v>0</v>
      </c>
      <c r="U494" s="161">
        <f t="shared" si="133"/>
        <v>0</v>
      </c>
      <c r="V494" s="161">
        <f t="shared" si="133"/>
        <v>0</v>
      </c>
      <c r="W494" s="161">
        <f t="shared" si="133"/>
        <v>0</v>
      </c>
      <c r="X494" s="161">
        <f t="shared" si="133"/>
        <v>0</v>
      </c>
      <c r="Y494" s="161">
        <f t="shared" si="133"/>
        <v>0</v>
      </c>
      <c r="Z494" s="161">
        <f t="shared" si="133"/>
        <v>0</v>
      </c>
      <c r="AA494" s="161">
        <f t="shared" si="133"/>
        <v>0</v>
      </c>
      <c r="AB494" s="161">
        <f t="shared" si="133"/>
        <v>0</v>
      </c>
      <c r="AC494" s="161">
        <f t="shared" si="133"/>
        <v>0</v>
      </c>
      <c r="AD494" s="161">
        <f t="shared" si="133"/>
        <v>0</v>
      </c>
      <c r="AE494" s="161"/>
      <c r="AF494" s="161"/>
      <c r="AG494" s="164"/>
      <c r="AH494"/>
      <c r="AI494"/>
      <c r="AJ494" s="164"/>
      <c r="AK494"/>
      <c r="AL494" s="177"/>
      <c r="AM494" s="161"/>
      <c r="AN494" s="161"/>
      <c r="AO494" s="161"/>
      <c r="AP494" s="161"/>
    </row>
    <row r="495" spans="1:42" s="119" customFormat="1">
      <c r="A495"/>
      <c r="B495"/>
      <c r="C495" s="178" t="s">
        <v>1762</v>
      </c>
      <c r="D495"/>
      <c r="E495"/>
      <c r="F495" s="215">
        <f t="shared" si="112"/>
        <v>0</v>
      </c>
      <c r="G495" s="238">
        <f t="shared" si="114"/>
        <v>121</v>
      </c>
      <c r="H495" s="161">
        <f t="shared" ref="H495:AD495" si="134">COUNTIFS(H3:H418,"=x",$AL$3:$AL$418,"=Women's, gender, and sexuality studies",$G$3:$G$418,"&gt;2")</f>
        <v>0</v>
      </c>
      <c r="I495" s="161">
        <f t="shared" si="134"/>
        <v>0</v>
      </c>
      <c r="J495" s="161">
        <f t="shared" si="134"/>
        <v>0</v>
      </c>
      <c r="K495" s="161">
        <f t="shared" si="134"/>
        <v>0</v>
      </c>
      <c r="L495" s="161">
        <f t="shared" si="134"/>
        <v>0</v>
      </c>
      <c r="M495" s="161">
        <f t="shared" si="134"/>
        <v>0</v>
      </c>
      <c r="N495" s="161">
        <f t="shared" si="134"/>
        <v>0</v>
      </c>
      <c r="O495" s="161">
        <f t="shared" si="134"/>
        <v>0</v>
      </c>
      <c r="P495" s="161">
        <f t="shared" si="134"/>
        <v>0</v>
      </c>
      <c r="Q495" s="161">
        <f t="shared" si="134"/>
        <v>0</v>
      </c>
      <c r="R495" s="161">
        <f t="shared" si="134"/>
        <v>0</v>
      </c>
      <c r="S495" s="161">
        <f t="shared" si="134"/>
        <v>0</v>
      </c>
      <c r="T495" s="161">
        <f t="shared" si="134"/>
        <v>0</v>
      </c>
      <c r="U495" s="161">
        <f t="shared" si="134"/>
        <v>0</v>
      </c>
      <c r="V495" s="161">
        <f t="shared" si="134"/>
        <v>0</v>
      </c>
      <c r="W495" s="161">
        <f t="shared" si="134"/>
        <v>0</v>
      </c>
      <c r="X495" s="161">
        <f t="shared" si="134"/>
        <v>0</v>
      </c>
      <c r="Y495" s="161">
        <f t="shared" si="134"/>
        <v>0</v>
      </c>
      <c r="Z495" s="161">
        <f t="shared" si="134"/>
        <v>0</v>
      </c>
      <c r="AA495" s="161">
        <f t="shared" si="134"/>
        <v>0</v>
      </c>
      <c r="AB495" s="161">
        <f t="shared" si="134"/>
        <v>0</v>
      </c>
      <c r="AC495" s="161">
        <f t="shared" si="134"/>
        <v>0</v>
      </c>
      <c r="AD495" s="161">
        <f t="shared" si="134"/>
        <v>0</v>
      </c>
      <c r="AE495" s="161"/>
      <c r="AF495" s="161"/>
      <c r="AG495" s="164"/>
      <c r="AH495"/>
      <c r="AI495"/>
      <c r="AJ495" s="164"/>
      <c r="AK495"/>
      <c r="AL495" s="177"/>
      <c r="AM495" s="161"/>
      <c r="AN495" s="161"/>
      <c r="AO495" s="161"/>
      <c r="AP495" s="161"/>
    </row>
    <row r="496" spans="1:42" s="119" customFormat="1" ht="15.75" thickBot="1">
      <c r="A496"/>
      <c r="B496"/>
      <c r="C496"/>
      <c r="D496"/>
      <c r="E496"/>
      <c r="F496" s="216">
        <f>SUM(F474:F495)</f>
        <v>272</v>
      </c>
      <c r="G496" s="239"/>
      <c r="H496" s="197">
        <f>SUM(H474:H495)</f>
        <v>24</v>
      </c>
      <c r="I496" s="197">
        <f>SUM(I474:I495)</f>
        <v>14</v>
      </c>
      <c r="J496" s="197">
        <f>SUM(J474:J495)</f>
        <v>22</v>
      </c>
      <c r="K496" s="197">
        <f t="shared" ref="K496:AD496" si="135">SUM(K474:K495)</f>
        <v>15</v>
      </c>
      <c r="L496" s="197">
        <f t="shared" si="135"/>
        <v>10</v>
      </c>
      <c r="M496" s="197">
        <f t="shared" si="135"/>
        <v>23</v>
      </c>
      <c r="N496" s="197">
        <f t="shared" si="135"/>
        <v>16</v>
      </c>
      <c r="O496" s="197">
        <f t="shared" si="135"/>
        <v>10</v>
      </c>
      <c r="P496" s="197">
        <f t="shared" si="135"/>
        <v>9</v>
      </c>
      <c r="Q496" s="197">
        <f t="shared" si="135"/>
        <v>20</v>
      </c>
      <c r="R496" s="197">
        <f t="shared" si="135"/>
        <v>13</v>
      </c>
      <c r="S496" s="197">
        <f t="shared" si="135"/>
        <v>7</v>
      </c>
      <c r="T496" s="197">
        <f t="shared" si="135"/>
        <v>20</v>
      </c>
      <c r="U496" s="197">
        <f t="shared" si="135"/>
        <v>13</v>
      </c>
      <c r="V496" s="197">
        <f t="shared" si="135"/>
        <v>4</v>
      </c>
      <c r="W496" s="197">
        <f t="shared" si="135"/>
        <v>9</v>
      </c>
      <c r="X496" s="197">
        <f t="shared" si="135"/>
        <v>8</v>
      </c>
      <c r="Y496" s="197">
        <f t="shared" si="135"/>
        <v>6</v>
      </c>
      <c r="Z496" s="197">
        <f t="shared" si="135"/>
        <v>11</v>
      </c>
      <c r="AA496" s="197">
        <f t="shared" si="135"/>
        <v>11</v>
      </c>
      <c r="AB496" s="197">
        <f t="shared" si="135"/>
        <v>7</v>
      </c>
      <c r="AC496" s="198">
        <f t="shared" si="135"/>
        <v>16</v>
      </c>
      <c r="AD496" s="198">
        <f t="shared" si="135"/>
        <v>9</v>
      </c>
      <c r="AE496" s="161"/>
      <c r="AF496" s="161"/>
      <c r="AG496" s="164"/>
      <c r="AH496"/>
      <c r="AI496"/>
      <c r="AJ496" s="164"/>
      <c r="AK496"/>
      <c r="AL496" s="177"/>
      <c r="AM496" s="161"/>
      <c r="AN496" s="161"/>
      <c r="AO496" s="161"/>
      <c r="AP496" s="161"/>
    </row>
    <row r="497" spans="1:42" s="119" customFormat="1">
      <c r="A497"/>
      <c r="B497"/>
      <c r="C497"/>
      <c r="D497"/>
      <c r="E497"/>
      <c r="F497"/>
      <c r="G497" s="239"/>
      <c r="H497"/>
      <c r="I497"/>
      <c r="J497"/>
      <c r="K497"/>
      <c r="L497"/>
      <c r="M497"/>
      <c r="N497"/>
      <c r="O497"/>
      <c r="P497"/>
      <c r="Q497"/>
      <c r="R497"/>
      <c r="S497"/>
      <c r="T497"/>
      <c r="U497"/>
      <c r="V497"/>
      <c r="W497"/>
      <c r="X497"/>
      <c r="Y497"/>
      <c r="Z497"/>
      <c r="AA497"/>
      <c r="AB497"/>
      <c r="AC497"/>
      <c r="AD497" s="161"/>
      <c r="AE497" s="161"/>
      <c r="AF497" s="161"/>
      <c r="AG497" s="164"/>
      <c r="AH497"/>
      <c r="AI497"/>
      <c r="AJ497" s="164"/>
      <c r="AK497"/>
      <c r="AL497" s="177"/>
      <c r="AM497" s="161"/>
      <c r="AN497" s="161"/>
      <c r="AO497" s="161"/>
      <c r="AP497" s="161"/>
    </row>
    <row r="498" spans="1:42" s="119" customFormat="1" ht="45">
      <c r="A498"/>
      <c r="B498"/>
      <c r="C498" s="241" t="s">
        <v>2015</v>
      </c>
      <c r="D498" s="242"/>
      <c r="E498" s="242"/>
      <c r="F498" s="242" t="s">
        <v>2017</v>
      </c>
      <c r="G498" s="243" t="s">
        <v>2018</v>
      </c>
      <c r="H498" s="231" t="s">
        <v>2020</v>
      </c>
      <c r="I498"/>
      <c r="J498"/>
      <c r="K498"/>
      <c r="L498"/>
      <c r="M498"/>
      <c r="N498"/>
      <c r="O498"/>
      <c r="P498"/>
      <c r="Q498"/>
      <c r="R498"/>
      <c r="S498"/>
      <c r="T498"/>
      <c r="U498"/>
      <c r="V498"/>
      <c r="W498"/>
      <c r="X498"/>
      <c r="Y498"/>
      <c r="Z498"/>
      <c r="AA498"/>
      <c r="AB498"/>
      <c r="AC498"/>
      <c r="AD498" s="161"/>
      <c r="AE498" s="161"/>
      <c r="AF498" s="161"/>
      <c r="AG498" s="164"/>
      <c r="AH498"/>
      <c r="AI498"/>
      <c r="AJ498" s="164"/>
      <c r="AK498"/>
      <c r="AL498" s="177"/>
      <c r="AM498" s="161"/>
      <c r="AN498" s="161"/>
      <c r="AO498" s="161"/>
      <c r="AP498" s="161"/>
    </row>
    <row r="499" spans="1:42" s="119" customFormat="1" ht="13.5" customHeight="1">
      <c r="A499"/>
      <c r="B499"/>
      <c r="C499" s="158" t="s">
        <v>1761</v>
      </c>
      <c r="D499" s="242"/>
      <c r="E499" s="242"/>
      <c r="F499" s="232">
        <f>COUNTIFS($AL$3:$AL$418,"=African/african american studies")</f>
        <v>7</v>
      </c>
      <c r="G499" s="244"/>
      <c r="H499" s="232">
        <f>COUNTIFS($AL$3:$AL$418,"=African/african american studies",$AC$3:$AC$418,"=x")</f>
        <v>0</v>
      </c>
      <c r="I499"/>
      <c r="J499"/>
      <c r="K499"/>
      <c r="L499"/>
      <c r="M499"/>
      <c r="N499"/>
      <c r="O499"/>
      <c r="P499"/>
      <c r="Q499"/>
      <c r="R499"/>
      <c r="S499"/>
      <c r="T499"/>
      <c r="U499"/>
      <c r="V499"/>
      <c r="W499"/>
      <c r="X499"/>
      <c r="Y499"/>
      <c r="Z499"/>
      <c r="AA499"/>
      <c r="AB499"/>
      <c r="AC499"/>
      <c r="AD499" s="161"/>
      <c r="AE499" s="161"/>
      <c r="AF499" s="161"/>
      <c r="AG499" s="164"/>
      <c r="AH499"/>
      <c r="AI499"/>
      <c r="AJ499" s="164"/>
      <c r="AK499"/>
      <c r="AL499" s="177"/>
      <c r="AM499" s="161"/>
      <c r="AN499" s="161"/>
      <c r="AO499" s="161"/>
      <c r="AP499" s="161"/>
    </row>
    <row r="500" spans="1:42" s="119" customFormat="1">
      <c r="A500"/>
      <c r="B500"/>
      <c r="C500" s="158" t="s">
        <v>1701</v>
      </c>
      <c r="D500" s="242"/>
      <c r="E500" s="242"/>
      <c r="F500" s="232">
        <f>COUNTIFS($AL$3:$AL$418,"=Anthropology")</f>
        <v>8</v>
      </c>
      <c r="G500" s="244"/>
      <c r="H500" s="232">
        <f>COUNTIFS($AL$3:$AL$418,"=Anthropology",$AC$3:$AC$418,"=x")</f>
        <v>0</v>
      </c>
      <c r="I500"/>
      <c r="J500"/>
      <c r="K500"/>
      <c r="L500"/>
      <c r="M500"/>
      <c r="N500"/>
      <c r="O500"/>
      <c r="P500"/>
      <c r="Q500"/>
      <c r="R500"/>
      <c r="S500"/>
      <c r="T500"/>
      <c r="U500"/>
      <c r="V500"/>
      <c r="W500"/>
      <c r="X500"/>
      <c r="Y500"/>
      <c r="Z500"/>
      <c r="AA500"/>
      <c r="AB500"/>
      <c r="AC500"/>
      <c r="AD500" s="161"/>
      <c r="AE500" s="161"/>
      <c r="AF500" s="161"/>
      <c r="AG500" s="164"/>
      <c r="AH500"/>
      <c r="AI500"/>
      <c r="AJ500" s="164"/>
      <c r="AK500"/>
      <c r="AL500" s="177"/>
      <c r="AM500" s="161"/>
      <c r="AN500" s="161"/>
      <c r="AO500" s="161"/>
      <c r="AP500" s="161"/>
    </row>
    <row r="501" spans="1:42" s="119" customFormat="1">
      <c r="A501"/>
      <c r="B501"/>
      <c r="C501" s="158" t="s">
        <v>1702</v>
      </c>
      <c r="D501" s="242"/>
      <c r="E501" s="242"/>
      <c r="F501" s="232">
        <f>COUNTIFS($AL$3:$AL$418,"=Architecture")</f>
        <v>8</v>
      </c>
      <c r="G501" s="244"/>
      <c r="H501" s="232">
        <f>COUNTIFS($AL$3:$AL$418,"=Architecture",$AC$3:$AC$418,"=x")</f>
        <v>0</v>
      </c>
      <c r="I501"/>
      <c r="J501"/>
      <c r="K501"/>
      <c r="L501"/>
      <c r="M501"/>
      <c r="N501"/>
      <c r="O501"/>
      <c r="P501"/>
      <c r="Q501"/>
      <c r="R501"/>
      <c r="S501"/>
      <c r="T501"/>
      <c r="U501"/>
      <c r="V501"/>
      <c r="W501"/>
      <c r="X501"/>
      <c r="Y501"/>
      <c r="Z501"/>
      <c r="AA501"/>
      <c r="AB501"/>
      <c r="AC501"/>
      <c r="AD501" s="161"/>
      <c r="AE501" s="161"/>
      <c r="AF501" s="161"/>
      <c r="AG501" s="164"/>
      <c r="AH501"/>
      <c r="AI501"/>
      <c r="AJ501" s="164"/>
      <c r="AK501"/>
      <c r="AL501" s="177"/>
      <c r="AM501" s="161"/>
      <c r="AN501" s="161"/>
      <c r="AO501" s="161"/>
      <c r="AP501" s="161"/>
    </row>
    <row r="502" spans="1:42" s="119" customFormat="1">
      <c r="A502"/>
      <c r="B502"/>
      <c r="C502" s="158" t="s">
        <v>1694</v>
      </c>
      <c r="D502" s="242"/>
      <c r="E502" s="242"/>
      <c r="F502" s="232">
        <f>COUNTIFS($AL$3:$AL$418,"=Biology")</f>
        <v>18</v>
      </c>
      <c r="G502" s="244"/>
      <c r="H502" s="232">
        <f>COUNTIFS($AL$3:$AL$418,"=Biology",$AC$3:$AC$418,"=x")</f>
        <v>2</v>
      </c>
      <c r="I502"/>
      <c r="J502"/>
      <c r="K502"/>
      <c r="L502"/>
      <c r="M502"/>
      <c r="N502"/>
      <c r="O502"/>
      <c r="P502"/>
      <c r="Q502"/>
      <c r="R502"/>
      <c r="S502"/>
      <c r="T502"/>
      <c r="U502"/>
      <c r="V502"/>
      <c r="W502"/>
      <c r="X502"/>
      <c r="Y502"/>
      <c r="Z502"/>
      <c r="AA502"/>
      <c r="AB502"/>
      <c r="AC502"/>
      <c r="AD502" s="161"/>
      <c r="AE502" s="161"/>
      <c r="AF502" s="161"/>
      <c r="AG502" s="164"/>
      <c r="AH502"/>
      <c r="AI502"/>
      <c r="AJ502" s="164"/>
      <c r="AK502"/>
      <c r="AL502" s="177"/>
      <c r="AM502" s="161"/>
      <c r="AN502" s="161"/>
      <c r="AO502" s="161"/>
      <c r="AP502" s="161"/>
    </row>
    <row r="503" spans="1:42" s="119" customFormat="1">
      <c r="A503"/>
      <c r="B503"/>
      <c r="C503" s="158" t="s">
        <v>2110</v>
      </c>
      <c r="D503" s="242"/>
      <c r="E503" s="242"/>
      <c r="F503" s="232">
        <f>COUNTIFS($AL$3:$AL$418,"=Chemistry")</f>
        <v>2</v>
      </c>
      <c r="G503" s="244"/>
      <c r="H503" s="232">
        <f>COUNTIFS($AL$3:$AL$418,"=Chemistry",$AC$3:$AC$418,"=x")</f>
        <v>0</v>
      </c>
      <c r="I503"/>
      <c r="J503"/>
      <c r="K503"/>
      <c r="L503"/>
      <c r="M503"/>
      <c r="N503"/>
      <c r="O503"/>
      <c r="P503"/>
      <c r="Q503"/>
      <c r="R503"/>
      <c r="S503"/>
      <c r="T503"/>
      <c r="U503"/>
      <c r="V503"/>
      <c r="W503"/>
      <c r="X503"/>
      <c r="Y503"/>
      <c r="Z503"/>
      <c r="AA503"/>
      <c r="AB503"/>
      <c r="AC503"/>
      <c r="AD503" s="161"/>
      <c r="AE503" s="161"/>
      <c r="AF503" s="161"/>
      <c r="AG503" s="164"/>
      <c r="AH503"/>
      <c r="AI503"/>
      <c r="AJ503" s="164"/>
      <c r="AK503"/>
      <c r="AL503" s="177"/>
      <c r="AM503" s="161"/>
      <c r="AN503" s="161"/>
      <c r="AO503" s="161"/>
      <c r="AP503" s="161"/>
    </row>
    <row r="504" spans="1:42" s="119" customFormat="1">
      <c r="A504"/>
      <c r="B504"/>
      <c r="C504" s="158" t="s">
        <v>1705</v>
      </c>
      <c r="D504" s="242"/>
      <c r="E504" s="242"/>
      <c r="F504" s="232">
        <f>COUNTIFS($AL$3:$AL$418,"=Divinity")</f>
        <v>3</v>
      </c>
      <c r="G504" s="244"/>
      <c r="H504" s="232">
        <f>COUNTIFS($AL$3:$AL$418,"=Divinity",$AC$3:$AC$418,"=x")</f>
        <v>0</v>
      </c>
      <c r="I504"/>
      <c r="J504"/>
      <c r="K504"/>
      <c r="L504"/>
      <c r="M504"/>
      <c r="N504"/>
      <c r="O504"/>
      <c r="P504"/>
      <c r="Q504"/>
      <c r="R504"/>
      <c r="S504"/>
      <c r="T504"/>
      <c r="U504"/>
      <c r="V504"/>
      <c r="W504"/>
      <c r="X504"/>
      <c r="Y504"/>
      <c r="Z504"/>
      <c r="AA504"/>
      <c r="AB504"/>
      <c r="AC504"/>
      <c r="AD504" s="161"/>
      <c r="AE504" s="161"/>
      <c r="AF504" s="161"/>
      <c r="AG504" s="164"/>
      <c r="AH504"/>
      <c r="AI504"/>
      <c r="AJ504" s="164"/>
      <c r="AK504"/>
      <c r="AL504" s="177"/>
      <c r="AM504" s="161"/>
      <c r="AN504" s="161"/>
      <c r="AO504" s="161"/>
      <c r="AP504" s="161"/>
    </row>
    <row r="505" spans="1:42" s="119" customFormat="1">
      <c r="A505"/>
      <c r="B505"/>
      <c r="C505" s="158" t="s">
        <v>476</v>
      </c>
      <c r="D505" s="242"/>
      <c r="E505" s="242"/>
      <c r="F505" s="232">
        <f>COUNTIFS($AL$3:$AL$418,"=Economics")</f>
        <v>42</v>
      </c>
      <c r="G505" s="244">
        <v>1.4510000000000001</v>
      </c>
      <c r="H505" s="232">
        <f>COUNTIFS($AL$3:$AL$418,"=Economics",$AC$3:$AC$418,"=x",$AC$3:$AC$418,"=x")</f>
        <v>10</v>
      </c>
      <c r="I505"/>
      <c r="J505"/>
      <c r="K505"/>
      <c r="L505"/>
      <c r="M505"/>
      <c r="N505"/>
      <c r="O505"/>
      <c r="P505"/>
      <c r="Q505"/>
      <c r="R505"/>
      <c r="S505"/>
      <c r="T505"/>
      <c r="U505"/>
      <c r="V505"/>
      <c r="W505"/>
      <c r="X505"/>
      <c r="Y505"/>
      <c r="Z505"/>
      <c r="AA505"/>
      <c r="AB505"/>
      <c r="AC505"/>
      <c r="AD505" s="161"/>
      <c r="AE505" s="161"/>
      <c r="AF505" s="161"/>
      <c r="AG505" s="164"/>
      <c r="AH505"/>
      <c r="AI505"/>
      <c r="AJ505" s="164"/>
      <c r="AK505"/>
      <c r="AL505" s="177"/>
      <c r="AM505" s="161"/>
      <c r="AN505" s="161"/>
      <c r="AO505" s="161"/>
      <c r="AP505" s="161"/>
    </row>
    <row r="506" spans="1:42" s="119" customFormat="1">
      <c r="A506"/>
      <c r="B506"/>
      <c r="C506" s="158" t="s">
        <v>1693</v>
      </c>
      <c r="D506" s="242"/>
      <c r="E506" s="242"/>
      <c r="F506" s="232">
        <f>COUNTIFS($AL$3:$AL$418,"=Engineering")</f>
        <v>19</v>
      </c>
      <c r="G506" s="244"/>
      <c r="H506" s="232">
        <f>COUNTIFS($AL$3:$AL$418,"=Engineering",$AC$3:$AC$418,"=x")</f>
        <v>4</v>
      </c>
      <c r="I506"/>
      <c r="J506"/>
      <c r="K506"/>
      <c r="L506"/>
      <c r="M506"/>
      <c r="N506"/>
      <c r="O506"/>
      <c r="P506"/>
      <c r="Q506"/>
      <c r="R506"/>
      <c r="S506"/>
      <c r="T506"/>
      <c r="U506"/>
      <c r="V506"/>
      <c r="W506"/>
      <c r="X506"/>
      <c r="Y506"/>
      <c r="Z506"/>
      <c r="AA506"/>
      <c r="AB506"/>
      <c r="AC506"/>
      <c r="AD506" s="161"/>
      <c r="AE506" s="161"/>
      <c r="AF506" s="161"/>
      <c r="AG506" s="164"/>
      <c r="AH506"/>
      <c r="AI506"/>
      <c r="AJ506" s="164"/>
      <c r="AK506"/>
      <c r="AL506" s="177"/>
      <c r="AM506" s="161"/>
      <c r="AN506" s="161"/>
      <c r="AO506" s="161"/>
      <c r="AP506" s="161"/>
    </row>
    <row r="507" spans="1:42" s="119" customFormat="1">
      <c r="A507"/>
      <c r="B507"/>
      <c r="C507" s="158" t="s">
        <v>1698</v>
      </c>
      <c r="D507" s="242"/>
      <c r="E507" s="242"/>
      <c r="F507" s="232">
        <f>COUNTIFS($AL$3:$AL$418,"=Environmental studies")</f>
        <v>21</v>
      </c>
      <c r="G507" s="244"/>
      <c r="H507" s="232">
        <f>COUNTIFS($AL$3:$AL$418,"=Environmental studies",$AC$3:$AC$418,"=x")</f>
        <v>1</v>
      </c>
      <c r="I507"/>
      <c r="J507"/>
      <c r="K507"/>
      <c r="L507"/>
      <c r="M507"/>
      <c r="N507"/>
      <c r="O507"/>
      <c r="P507"/>
      <c r="Q507"/>
      <c r="R507"/>
      <c r="S507"/>
      <c r="T507"/>
      <c r="U507"/>
      <c r="V507"/>
      <c r="W507"/>
      <c r="X507"/>
      <c r="Y507"/>
      <c r="Z507"/>
      <c r="AA507"/>
      <c r="AB507"/>
      <c r="AC507"/>
      <c r="AD507" s="161"/>
      <c r="AE507" s="161"/>
      <c r="AF507" s="161"/>
      <c r="AG507" s="164"/>
      <c r="AH507"/>
      <c r="AI507"/>
      <c r="AJ507" s="164"/>
      <c r="AK507"/>
      <c r="AL507" s="177"/>
      <c r="AM507" s="161"/>
      <c r="AN507" s="161"/>
      <c r="AO507" s="161"/>
      <c r="AP507" s="161"/>
    </row>
    <row r="508" spans="1:42" s="119" customFormat="1">
      <c r="A508"/>
      <c r="B508"/>
      <c r="C508" s="178" t="s">
        <v>1690</v>
      </c>
      <c r="D508" s="242"/>
      <c r="E508" s="242"/>
      <c r="F508" s="232">
        <f>COUNTIFS($AL$3:$AL$418,"=FES")</f>
        <v>125</v>
      </c>
      <c r="G508" s="244">
        <v>1.484</v>
      </c>
      <c r="H508" s="232">
        <f>COUNTIFS($AL$3:$AL$418,"=FES",$AC$3:$AC$418,"=x")</f>
        <v>48</v>
      </c>
      <c r="I508"/>
      <c r="J508"/>
      <c r="K508"/>
      <c r="L508"/>
      <c r="M508"/>
      <c r="N508"/>
      <c r="O508"/>
      <c r="P508"/>
      <c r="Q508"/>
      <c r="R508"/>
      <c r="S508"/>
      <c r="T508"/>
      <c r="U508"/>
      <c r="V508"/>
      <c r="W508"/>
      <c r="X508"/>
      <c r="Y508"/>
      <c r="Z508"/>
      <c r="AA508"/>
      <c r="AB508"/>
      <c r="AC508"/>
      <c r="AD508" s="161"/>
      <c r="AE508" s="161"/>
      <c r="AF508" s="161"/>
      <c r="AG508" s="164"/>
      <c r="AH508"/>
      <c r="AI508"/>
      <c r="AJ508" s="164"/>
      <c r="AK508"/>
      <c r="AL508" s="177"/>
      <c r="AM508" s="161"/>
      <c r="AN508" s="161"/>
      <c r="AO508" s="161"/>
      <c r="AP508" s="161"/>
    </row>
    <row r="509" spans="1:42" s="119" customFormat="1">
      <c r="A509"/>
      <c r="B509"/>
      <c r="C509" s="158" t="s">
        <v>1697</v>
      </c>
      <c r="D509" s="242"/>
      <c r="E509" s="242"/>
      <c r="F509" s="232">
        <f>COUNTIFS($AL$3:$AL$418,"=Genetics")</f>
        <v>1</v>
      </c>
      <c r="G509" s="244"/>
      <c r="H509" s="232">
        <f>COUNTIFS($AL$3:$AL$418,"=Genetics",$AC$3:$AC$418,"=x")</f>
        <v>0</v>
      </c>
      <c r="I509"/>
      <c r="J509"/>
      <c r="K509"/>
      <c r="L509"/>
      <c r="M509"/>
      <c r="N509"/>
      <c r="O509"/>
      <c r="P509"/>
      <c r="Q509"/>
      <c r="R509"/>
      <c r="S509"/>
      <c r="T509"/>
      <c r="U509"/>
      <c r="V509"/>
      <c r="W509"/>
      <c r="X509"/>
      <c r="Y509"/>
      <c r="Z509"/>
      <c r="AA509"/>
      <c r="AB509"/>
      <c r="AC509"/>
      <c r="AD509" s="161"/>
      <c r="AE509" s="161"/>
      <c r="AF509" s="161"/>
      <c r="AG509" s="164"/>
      <c r="AH509"/>
      <c r="AI509"/>
      <c r="AJ509" s="164"/>
      <c r="AK509"/>
      <c r="AL509" s="177"/>
      <c r="AM509" s="161"/>
      <c r="AN509" s="161"/>
      <c r="AO509" s="161"/>
      <c r="AP509" s="161"/>
    </row>
    <row r="510" spans="1:42" s="119" customFormat="1">
      <c r="A510"/>
      <c r="B510"/>
      <c r="C510" s="158" t="s">
        <v>1696</v>
      </c>
      <c r="D510" s="242"/>
      <c r="E510" s="242"/>
      <c r="F510" s="232">
        <f>COUNTIFS($AL$3:$AL$418,"=Geology &amp; geophysics")</f>
        <v>13</v>
      </c>
      <c r="G510" s="244"/>
      <c r="H510" s="232">
        <f>COUNTIFS($AL$3:$AL$418,"=Geology &amp; geophysics",$AC$3:$AC$418,"=x")</f>
        <v>0</v>
      </c>
      <c r="I510"/>
      <c r="J510"/>
      <c r="K510"/>
      <c r="L510"/>
      <c r="M510"/>
      <c r="N510"/>
      <c r="O510"/>
      <c r="P510"/>
      <c r="Q510"/>
      <c r="R510"/>
      <c r="S510"/>
      <c r="T510"/>
      <c r="U510"/>
      <c r="V510"/>
      <c r="W510"/>
      <c r="X510"/>
      <c r="Y510"/>
      <c r="Z510"/>
      <c r="AA510"/>
      <c r="AB510"/>
      <c r="AC510"/>
      <c r="AD510" s="161"/>
      <c r="AE510" s="161"/>
      <c r="AF510" s="161"/>
      <c r="AG510" s="164"/>
      <c r="AH510"/>
      <c r="AI510"/>
      <c r="AJ510" s="164"/>
      <c r="AK510"/>
      <c r="AL510" s="177"/>
      <c r="AM510" s="161"/>
      <c r="AN510" s="161"/>
      <c r="AO510" s="161"/>
      <c r="AP510" s="161"/>
    </row>
    <row r="511" spans="1:42" s="119" customFormat="1">
      <c r="A511"/>
      <c r="B511"/>
      <c r="C511" s="158" t="s">
        <v>2044</v>
      </c>
      <c r="D511" s="242"/>
      <c r="E511" s="242"/>
      <c r="F511" s="232">
        <f>COUNTIFS($AL$3:$AL$418,"=History")</f>
        <v>2</v>
      </c>
      <c r="G511" s="244"/>
      <c r="H511" s="232">
        <f>COUNTIFS($AL$3:$AL$418,"=History",$AC$3:$AC$418,"=x")</f>
        <v>0</v>
      </c>
      <c r="I511"/>
      <c r="J511"/>
      <c r="K511"/>
      <c r="L511"/>
      <c r="M511"/>
      <c r="N511"/>
      <c r="O511"/>
      <c r="P511"/>
      <c r="Q511"/>
      <c r="R511"/>
      <c r="S511"/>
      <c r="T511"/>
      <c r="U511"/>
      <c r="V511"/>
      <c r="W511"/>
      <c r="X511"/>
      <c r="Y511"/>
      <c r="Z511"/>
      <c r="AA511"/>
      <c r="AB511"/>
      <c r="AC511"/>
      <c r="AD511" s="161"/>
      <c r="AE511" s="161"/>
      <c r="AF511" s="161"/>
      <c r="AG511" s="164"/>
      <c r="AH511"/>
      <c r="AI511"/>
      <c r="AJ511" s="164"/>
      <c r="AK511"/>
      <c r="AL511" s="177"/>
      <c r="AM511" s="161"/>
      <c r="AN511" s="161"/>
      <c r="AO511" s="161"/>
      <c r="AP511" s="161"/>
    </row>
    <row r="512" spans="1:42" s="119" customFormat="1">
      <c r="A512"/>
      <c r="B512"/>
      <c r="C512" s="158" t="s">
        <v>1695</v>
      </c>
      <c r="D512" s="242"/>
      <c r="E512" s="242"/>
      <c r="F512" s="232">
        <f>COUNTIFS($AL$3:$AL$418,"=International relations")</f>
        <v>8</v>
      </c>
      <c r="G512" s="244"/>
      <c r="H512" s="232">
        <f>COUNTIFS($AL$3:$AL$418,"=International relations",$AC$3:$AC$418,"=x")</f>
        <v>1</v>
      </c>
      <c r="I512"/>
      <c r="J512"/>
      <c r="K512"/>
      <c r="L512"/>
      <c r="M512"/>
      <c r="N512"/>
      <c r="O512"/>
      <c r="P512"/>
      <c r="Q512"/>
      <c r="R512"/>
      <c r="S512"/>
      <c r="T512"/>
      <c r="U512"/>
      <c r="V512"/>
      <c r="W512"/>
      <c r="X512"/>
      <c r="Y512"/>
      <c r="Z512"/>
      <c r="AA512"/>
      <c r="AB512"/>
      <c r="AC512"/>
      <c r="AD512" s="161"/>
      <c r="AE512" s="161"/>
      <c r="AF512" s="161"/>
      <c r="AG512" s="164"/>
      <c r="AH512"/>
      <c r="AI512"/>
      <c r="AJ512" s="164"/>
      <c r="AK512"/>
      <c r="AL512" s="177"/>
      <c r="AM512" s="161"/>
      <c r="AN512" s="161"/>
      <c r="AO512" s="161"/>
      <c r="AP512" s="161"/>
    </row>
    <row r="513" spans="1:42" s="119" customFormat="1">
      <c r="A513"/>
      <c r="B513"/>
      <c r="C513" s="158" t="s">
        <v>1692</v>
      </c>
      <c r="D513" s="242"/>
      <c r="E513" s="242"/>
      <c r="F513" s="232">
        <f>COUNTIFS($AL$3:$AL$418,"=Law")</f>
        <v>9</v>
      </c>
      <c r="G513" s="244"/>
      <c r="H513" s="232">
        <f>COUNTIFS($AL$3:$AL$418,"=Law",$AC$3:$AC$418,"=x")</f>
        <v>1</v>
      </c>
      <c r="I513"/>
      <c r="J513"/>
      <c r="K513"/>
      <c r="L513"/>
      <c r="M513"/>
      <c r="N513"/>
      <c r="O513"/>
      <c r="P513"/>
      <c r="Q513"/>
      <c r="R513"/>
      <c r="S513"/>
      <c r="T513"/>
      <c r="U513"/>
      <c r="V513"/>
      <c r="W513"/>
      <c r="X513"/>
      <c r="Y513"/>
      <c r="Z513"/>
      <c r="AA513"/>
      <c r="AB513"/>
      <c r="AC513"/>
      <c r="AD513" s="161"/>
      <c r="AE513" s="161"/>
      <c r="AF513" s="161"/>
      <c r="AG513" s="164"/>
      <c r="AH513"/>
      <c r="AI513"/>
      <c r="AJ513" s="164"/>
      <c r="AK513"/>
      <c r="AL513" s="177"/>
      <c r="AM513" s="161"/>
      <c r="AN513" s="161"/>
      <c r="AO513" s="161"/>
      <c r="AP513" s="161"/>
    </row>
    <row r="514" spans="1:42" s="119" customFormat="1">
      <c r="A514"/>
      <c r="B514"/>
      <c r="C514" s="158" t="s">
        <v>1703</v>
      </c>
      <c r="D514" s="242"/>
      <c r="E514" s="242"/>
      <c r="F514" s="232">
        <f>COUNTIFS($AL$3:$AL$418,"=Political science")</f>
        <v>16</v>
      </c>
      <c r="G514" s="244"/>
      <c r="H514" s="232">
        <f>COUNTIFS($AL$3:$AL$418,"=Political science",$AC$3:$AC$418,"=x")</f>
        <v>0</v>
      </c>
      <c r="I514"/>
      <c r="J514"/>
      <c r="K514"/>
      <c r="L514"/>
      <c r="M514"/>
      <c r="N514"/>
      <c r="O514"/>
      <c r="P514"/>
      <c r="Q514"/>
      <c r="R514"/>
      <c r="S514"/>
      <c r="T514"/>
      <c r="U514"/>
      <c r="V514"/>
      <c r="W514"/>
      <c r="X514"/>
      <c r="Y514"/>
      <c r="Z514"/>
      <c r="AA514"/>
      <c r="AB514"/>
      <c r="AC514"/>
      <c r="AD514" s="161"/>
      <c r="AE514" s="161"/>
      <c r="AF514" s="161"/>
      <c r="AG514" s="164"/>
      <c r="AH514"/>
      <c r="AI514"/>
      <c r="AJ514" s="164"/>
      <c r="AK514"/>
      <c r="AL514" s="177"/>
      <c r="AM514" s="161"/>
      <c r="AN514" s="161"/>
      <c r="AO514" s="161"/>
      <c r="AP514" s="161"/>
    </row>
    <row r="515" spans="1:42" s="119" customFormat="1">
      <c r="A515"/>
      <c r="B515"/>
      <c r="C515" s="158" t="s">
        <v>1704</v>
      </c>
      <c r="D515" s="242"/>
      <c r="E515" s="242"/>
      <c r="F515" s="232">
        <f>COUNTIFS($AL$3:$AL$418,"=Psychology")</f>
        <v>4</v>
      </c>
      <c r="G515" s="244"/>
      <c r="H515" s="232">
        <f>COUNTIFS($AL$3:$AL$418,"=Psychology",$AC$3:$AC$418,"=x")</f>
        <v>0</v>
      </c>
      <c r="I515"/>
      <c r="J515"/>
      <c r="K515"/>
      <c r="L515"/>
      <c r="M515"/>
      <c r="N515"/>
      <c r="O515"/>
      <c r="P515"/>
      <c r="Q515"/>
      <c r="R515"/>
      <c r="S515"/>
      <c r="T515"/>
      <c r="U515"/>
      <c r="V515"/>
      <c r="W515"/>
      <c r="X515"/>
      <c r="Y515"/>
      <c r="Z515"/>
      <c r="AA515"/>
      <c r="AB515"/>
      <c r="AC515"/>
      <c r="AD515" s="161"/>
      <c r="AE515" s="161"/>
      <c r="AF515" s="161"/>
      <c r="AG515" s="164"/>
      <c r="AH515"/>
      <c r="AI515"/>
      <c r="AJ515" s="164"/>
      <c r="AK515"/>
      <c r="AL515" s="177"/>
      <c r="AM515" s="161"/>
      <c r="AN515" s="161"/>
      <c r="AO515" s="161"/>
      <c r="AP515" s="161"/>
    </row>
    <row r="516" spans="1:42" s="119" customFormat="1">
      <c r="A516"/>
      <c r="B516"/>
      <c r="C516" s="158" t="s">
        <v>1699</v>
      </c>
      <c r="D516" s="242"/>
      <c r="E516" s="242"/>
      <c r="F516" s="232">
        <f>COUNTIFS($AL$3:$AL$418,"=Public health")</f>
        <v>14</v>
      </c>
      <c r="G516" s="244"/>
      <c r="H516" s="232">
        <f>COUNTIFS($AL$3:$AL$418,"=Public health",$AC$3:$AC$418,"=x")</f>
        <v>2</v>
      </c>
      <c r="I516"/>
      <c r="J516"/>
      <c r="K516"/>
      <c r="L516"/>
      <c r="M516"/>
      <c r="N516"/>
      <c r="O516"/>
      <c r="P516"/>
      <c r="Q516"/>
      <c r="R516"/>
      <c r="S516"/>
      <c r="T516"/>
      <c r="U516"/>
      <c r="V516"/>
      <c r="W516"/>
      <c r="X516"/>
      <c r="Y516"/>
      <c r="Z516"/>
      <c r="AA516"/>
      <c r="AB516"/>
      <c r="AC516"/>
      <c r="AD516" s="161"/>
      <c r="AE516" s="161"/>
      <c r="AF516" s="161"/>
      <c r="AG516" s="164"/>
      <c r="AH516"/>
      <c r="AI516"/>
      <c r="AJ516" s="164"/>
      <c r="AK516"/>
      <c r="AL516" s="177"/>
      <c r="AM516" s="161"/>
      <c r="AN516" s="161"/>
      <c r="AO516" s="161"/>
      <c r="AP516" s="161"/>
    </row>
    <row r="517" spans="1:42" s="119" customFormat="1">
      <c r="A517"/>
      <c r="B517"/>
      <c r="C517" s="158" t="s">
        <v>1707</v>
      </c>
      <c r="D517" s="242"/>
      <c r="E517" s="242"/>
      <c r="F517" s="232">
        <f>COUNTIFS($AL$3:$AL$418,"=Sociology")</f>
        <v>4</v>
      </c>
      <c r="G517" s="244"/>
      <c r="H517" s="232">
        <f>COUNTIFS($AL$3:$AL$418,"=Sociology",$AC$3:$AC$418,"=x")</f>
        <v>0</v>
      </c>
      <c r="I517"/>
      <c r="J517"/>
      <c r="K517"/>
      <c r="L517"/>
      <c r="M517"/>
      <c r="N517"/>
      <c r="O517"/>
      <c r="P517"/>
      <c r="Q517"/>
      <c r="R517"/>
      <c r="S517"/>
      <c r="T517"/>
      <c r="U517"/>
      <c r="V517"/>
      <c r="W517"/>
      <c r="X517"/>
      <c r="Y517"/>
      <c r="Z517"/>
      <c r="AA517"/>
      <c r="AB517"/>
      <c r="AC517"/>
      <c r="AD517" s="161"/>
      <c r="AE517" s="161"/>
      <c r="AF517" s="161"/>
      <c r="AG517" s="164"/>
      <c r="AH517"/>
      <c r="AI517"/>
      <c r="AJ517" s="164"/>
      <c r="AK517"/>
      <c r="AL517" s="177"/>
      <c r="AM517" s="161"/>
      <c r="AN517" s="161"/>
      <c r="AO517" s="161"/>
      <c r="AP517" s="161"/>
    </row>
    <row r="518" spans="1:42" s="119" customFormat="1">
      <c r="A518"/>
      <c r="B518"/>
      <c r="C518" s="158" t="s">
        <v>1691</v>
      </c>
      <c r="D518" s="242"/>
      <c r="E518" s="242"/>
      <c r="F518" s="232">
        <f>COUNTIFS($AL$3:$AL$418,"=SOM")</f>
        <v>80</v>
      </c>
      <c r="G518" s="244">
        <v>1.321</v>
      </c>
      <c r="H518" s="232">
        <f>COUNTIFS($AL$3:$AL$418,"=SOM",$AC$3:$AC$418,"=x")</f>
        <v>8</v>
      </c>
      <c r="I518"/>
      <c r="J518"/>
      <c r="K518"/>
      <c r="L518"/>
      <c r="M518"/>
      <c r="N518"/>
      <c r="O518"/>
      <c r="P518"/>
      <c r="Q518"/>
      <c r="R518"/>
      <c r="S518"/>
      <c r="T518"/>
      <c r="U518"/>
      <c r="V518"/>
      <c r="W518"/>
      <c r="X518"/>
      <c r="Y518"/>
      <c r="Z518"/>
      <c r="AA518"/>
      <c r="AB518"/>
      <c r="AC518"/>
      <c r="AD518" s="161"/>
      <c r="AE518" s="161"/>
      <c r="AF518" s="161"/>
      <c r="AG518" s="164"/>
      <c r="AH518"/>
      <c r="AI518"/>
      <c r="AJ518" s="164"/>
      <c r="AK518"/>
      <c r="AL518" s="177"/>
      <c r="AM518" s="161"/>
      <c r="AN518" s="161"/>
      <c r="AO518" s="161"/>
      <c r="AP518" s="161"/>
    </row>
    <row r="519" spans="1:42" s="119" customFormat="1">
      <c r="A519"/>
      <c r="B519"/>
      <c r="C519" s="158" t="s">
        <v>1706</v>
      </c>
      <c r="D519" s="242"/>
      <c r="E519" s="242"/>
      <c r="F519" s="232">
        <f>COUNTIFS($AL$3:$AL$418,"=South asian studies")</f>
        <v>2</v>
      </c>
      <c r="G519" s="244"/>
      <c r="H519" s="232">
        <f>COUNTIFS($AL$3:$AL$418,"=South asian studies",$AC$3:$AC$418,"=x")</f>
        <v>0</v>
      </c>
      <c r="I519"/>
      <c r="J519"/>
      <c r="K519"/>
      <c r="L519"/>
      <c r="M519"/>
      <c r="N519"/>
      <c r="O519"/>
      <c r="P519"/>
      <c r="Q519"/>
      <c r="R519"/>
      <c r="S519"/>
      <c r="T519"/>
      <c r="U519"/>
      <c r="V519"/>
      <c r="W519"/>
      <c r="X519"/>
      <c r="Y519"/>
      <c r="Z519"/>
      <c r="AA519"/>
      <c r="AB519"/>
      <c r="AC519"/>
      <c r="AD519" s="161"/>
      <c r="AE519" s="161"/>
      <c r="AF519" s="161"/>
      <c r="AG519" s="164"/>
      <c r="AH519"/>
      <c r="AI519"/>
      <c r="AJ519" s="164"/>
      <c r="AK519"/>
      <c r="AL519" s="177"/>
      <c r="AM519" s="161"/>
      <c r="AN519" s="161"/>
      <c r="AO519" s="161"/>
      <c r="AP519" s="161"/>
    </row>
    <row r="520" spans="1:42" s="119" customFormat="1">
      <c r="A520"/>
      <c r="B520"/>
      <c r="C520" s="178" t="s">
        <v>1762</v>
      </c>
      <c r="D520" s="242"/>
      <c r="E520" s="242"/>
      <c r="F520" s="232">
        <f>COUNTIFS($AL$3:$AL$418,"=Women's, gender, and sexuality studies")</f>
        <v>1</v>
      </c>
      <c r="G520" s="244"/>
      <c r="H520" s="232">
        <f>COUNTIFS($AL$3:$AL$418,"=Women's, gender, and sexuality studies",$AC$3:$AC$418,"=x")</f>
        <v>0</v>
      </c>
      <c r="I520"/>
      <c r="J520"/>
      <c r="K520"/>
      <c r="L520"/>
      <c r="M520"/>
      <c r="N520"/>
      <c r="O520"/>
      <c r="P520"/>
      <c r="Q520"/>
      <c r="R520"/>
      <c r="S520"/>
      <c r="T520"/>
      <c r="U520"/>
      <c r="V520"/>
      <c r="W520"/>
      <c r="X520"/>
      <c r="Y520"/>
      <c r="Z520"/>
      <c r="AA520"/>
      <c r="AB520"/>
      <c r="AC520"/>
      <c r="AD520" s="161"/>
      <c r="AE520" s="161"/>
      <c r="AF520" s="161"/>
      <c r="AG520" s="164"/>
      <c r="AH520"/>
      <c r="AI520"/>
      <c r="AJ520" s="164"/>
      <c r="AK520"/>
      <c r="AL520" s="177"/>
      <c r="AM520" s="161"/>
      <c r="AN520" s="161"/>
      <c r="AO520" s="161"/>
      <c r="AP520" s="161"/>
    </row>
    <row r="521" spans="1:42" s="119" customFormat="1">
      <c r="A521"/>
      <c r="B521"/>
      <c r="C521" s="158" t="s">
        <v>2019</v>
      </c>
      <c r="D521" s="242"/>
      <c r="E521" s="242"/>
      <c r="F521" s="242"/>
      <c r="G521" s="244">
        <v>1.3919999999999999</v>
      </c>
      <c r="H521" s="242"/>
      <c r="I521"/>
      <c r="J521"/>
      <c r="K521"/>
      <c r="L521"/>
      <c r="M521"/>
      <c r="N521"/>
      <c r="O521"/>
      <c r="P521"/>
      <c r="Q521"/>
      <c r="R521"/>
      <c r="S521"/>
      <c r="T521"/>
      <c r="U521"/>
      <c r="V521"/>
      <c r="W521"/>
      <c r="X521"/>
      <c r="Y521"/>
      <c r="Z521"/>
      <c r="AA521"/>
      <c r="AB521"/>
      <c r="AC521"/>
      <c r="AD521" s="161"/>
      <c r="AE521" s="161"/>
      <c r="AF521" s="161"/>
      <c r="AG521" s="164"/>
      <c r="AH521"/>
      <c r="AI521"/>
      <c r="AJ521" s="164"/>
      <c r="AK521"/>
      <c r="AL521" s="177"/>
      <c r="AM521" s="161"/>
      <c r="AN521" s="161"/>
      <c r="AO521" s="161"/>
      <c r="AP521" s="161"/>
    </row>
    <row r="522" spans="1:42" s="119" customFormat="1">
      <c r="A522"/>
      <c r="B522"/>
      <c r="C522" s="158" t="s">
        <v>2016</v>
      </c>
      <c r="D522" s="242"/>
      <c r="E522" s="242"/>
      <c r="F522" s="245">
        <f>SUM(F499:F520)</f>
        <v>407</v>
      </c>
      <c r="G522" s="244">
        <v>1.4179999999999999</v>
      </c>
      <c r="H522" s="245">
        <f>SUM(H499:H520)</f>
        <v>77</v>
      </c>
      <c r="I522"/>
      <c r="J522"/>
      <c r="K522"/>
      <c r="L522"/>
      <c r="M522"/>
      <c r="N522"/>
      <c r="O522"/>
      <c r="P522"/>
      <c r="Q522"/>
      <c r="R522"/>
      <c r="S522"/>
      <c r="T522"/>
      <c r="U522"/>
      <c r="V522"/>
      <c r="W522"/>
      <c r="X522"/>
      <c r="Y522"/>
      <c r="Z522"/>
      <c r="AA522"/>
      <c r="AB522"/>
      <c r="AC522"/>
      <c r="AD522" s="161"/>
      <c r="AE522" s="161"/>
      <c r="AF522" s="161"/>
      <c r="AG522" s="164"/>
      <c r="AH522"/>
      <c r="AI522"/>
      <c r="AJ522" s="164"/>
      <c r="AK522"/>
      <c r="AL522" s="177"/>
      <c r="AM522" s="161"/>
      <c r="AN522" s="161"/>
      <c r="AO522" s="161"/>
      <c r="AP522" s="161"/>
    </row>
    <row r="523" spans="1:42" s="119" customFormat="1">
      <c r="A523"/>
      <c r="B523"/>
      <c r="C523"/>
      <c r="D523"/>
      <c r="E523"/>
      <c r="F523"/>
      <c r="G523" s="239"/>
      <c r="H523"/>
      <c r="I523"/>
      <c r="J523"/>
      <c r="K523"/>
      <c r="L523"/>
      <c r="M523"/>
      <c r="N523"/>
      <c r="O523"/>
      <c r="P523"/>
      <c r="Q523"/>
      <c r="R523"/>
      <c r="S523"/>
      <c r="T523"/>
      <c r="U523"/>
      <c r="V523"/>
      <c r="W523"/>
      <c r="X523"/>
      <c r="Y523"/>
      <c r="Z523"/>
      <c r="AA523"/>
      <c r="AB523"/>
      <c r="AC523"/>
      <c r="AD523" s="161"/>
      <c r="AE523" s="161"/>
      <c r="AF523" s="161"/>
      <c r="AG523" s="164"/>
      <c r="AH523"/>
      <c r="AI523"/>
      <c r="AJ523" s="164"/>
      <c r="AK523"/>
      <c r="AL523" s="177"/>
      <c r="AM523" s="161"/>
      <c r="AN523" s="161"/>
      <c r="AO523" s="161"/>
      <c r="AP523" s="161"/>
    </row>
    <row r="524" spans="1:42" s="119" customFormat="1">
      <c r="A524"/>
      <c r="B524"/>
      <c r="C524"/>
      <c r="D524"/>
      <c r="E524"/>
      <c r="F524"/>
      <c r="G524" s="239"/>
      <c r="H524"/>
      <c r="I524"/>
      <c r="J524"/>
      <c r="K524"/>
      <c r="L524"/>
      <c r="M524"/>
      <c r="N524"/>
      <c r="O524"/>
      <c r="P524"/>
      <c r="Q524"/>
      <c r="R524"/>
      <c r="S524"/>
      <c r="T524"/>
      <c r="U524"/>
      <c r="V524"/>
      <c r="W524"/>
      <c r="X524"/>
      <c r="Y524"/>
      <c r="Z524"/>
      <c r="AA524"/>
      <c r="AB524"/>
      <c r="AC524"/>
      <c r="AD524" s="161"/>
      <c r="AE524" s="161"/>
      <c r="AF524" s="161"/>
      <c r="AG524" s="164"/>
      <c r="AH524"/>
      <c r="AI524"/>
      <c r="AJ524" s="164"/>
      <c r="AK524"/>
      <c r="AL524" s="177"/>
      <c r="AM524" s="161"/>
      <c r="AN524" s="161"/>
      <c r="AO524" s="161"/>
      <c r="AP524" s="161"/>
    </row>
    <row r="525" spans="1:42" s="119" customFormat="1">
      <c r="A525"/>
      <c r="B525"/>
      <c r="C525"/>
      <c r="D525"/>
      <c r="E525"/>
      <c r="F525"/>
      <c r="G525" s="239"/>
      <c r="H525"/>
      <c r="I525"/>
      <c r="J525"/>
      <c r="K525"/>
      <c r="L525"/>
      <c r="M525"/>
      <c r="N525"/>
      <c r="O525"/>
      <c r="P525"/>
      <c r="Q525"/>
      <c r="R525"/>
      <c r="S525"/>
      <c r="T525"/>
      <c r="U525"/>
      <c r="V525"/>
      <c r="W525"/>
      <c r="X525"/>
      <c r="Y525"/>
      <c r="Z525"/>
      <c r="AA525"/>
      <c r="AB525"/>
      <c r="AC525"/>
      <c r="AD525" s="161"/>
      <c r="AE525" s="161"/>
      <c r="AF525" s="161"/>
      <c r="AG525" s="164"/>
      <c r="AH525"/>
      <c r="AI525"/>
      <c r="AJ525" s="164"/>
      <c r="AK525"/>
      <c r="AL525" s="177"/>
      <c r="AM525" s="161"/>
      <c r="AN525" s="161"/>
      <c r="AO525" s="161"/>
      <c r="AP525" s="161"/>
    </row>
    <row r="526" spans="1:42" s="119" customFormat="1">
      <c r="A526"/>
      <c r="B526"/>
      <c r="C526"/>
      <c r="D526"/>
      <c r="E526"/>
      <c r="F526"/>
      <c r="G526" s="239"/>
      <c r="H526"/>
      <c r="I526"/>
      <c r="J526"/>
      <c r="K526"/>
      <c r="L526"/>
      <c r="M526"/>
      <c r="N526"/>
      <c r="O526"/>
      <c r="P526"/>
      <c r="Q526"/>
      <c r="R526"/>
      <c r="S526"/>
      <c r="T526"/>
      <c r="U526"/>
      <c r="V526"/>
      <c r="W526"/>
      <c r="X526"/>
      <c r="Y526"/>
      <c r="Z526"/>
      <c r="AA526"/>
      <c r="AB526"/>
      <c r="AC526"/>
      <c r="AD526" s="161"/>
      <c r="AE526" s="161"/>
      <c r="AF526" s="161"/>
      <c r="AG526" s="164"/>
      <c r="AH526"/>
      <c r="AI526"/>
      <c r="AJ526" s="164"/>
      <c r="AK526"/>
      <c r="AL526" s="177"/>
      <c r="AM526" s="161"/>
      <c r="AN526" s="161"/>
      <c r="AO526" s="161"/>
      <c r="AP526" s="161"/>
    </row>
    <row r="527" spans="1:42" s="119" customFormat="1">
      <c r="A527"/>
      <c r="B527"/>
      <c r="C527"/>
      <c r="D527"/>
      <c r="E527"/>
      <c r="F527"/>
      <c r="G527" s="239"/>
      <c r="H527"/>
      <c r="I527"/>
      <c r="J527"/>
      <c r="K527"/>
      <c r="L527"/>
      <c r="M527"/>
      <c r="N527"/>
      <c r="O527"/>
      <c r="P527"/>
      <c r="Q527"/>
      <c r="R527"/>
      <c r="S527"/>
      <c r="T527"/>
      <c r="U527"/>
      <c r="V527"/>
      <c r="W527"/>
      <c r="X527"/>
      <c r="Y527"/>
      <c r="Z527"/>
      <c r="AA527"/>
      <c r="AB527"/>
      <c r="AC527"/>
      <c r="AD527" s="161"/>
      <c r="AE527" s="161"/>
      <c r="AF527" s="161"/>
      <c r="AG527" s="164"/>
      <c r="AH527"/>
      <c r="AI527"/>
      <c r="AJ527" s="164"/>
      <c r="AK527"/>
      <c r="AL527" s="177"/>
      <c r="AM527" s="161"/>
      <c r="AN527" s="161"/>
      <c r="AO527" s="161"/>
      <c r="AP527" s="161"/>
    </row>
    <row r="528" spans="1:42" s="119" customFormat="1">
      <c r="A528"/>
      <c r="B528"/>
      <c r="C528"/>
      <c r="D528"/>
      <c r="E528"/>
      <c r="F528"/>
      <c r="G528" s="239"/>
      <c r="H528"/>
      <c r="I528"/>
      <c r="J528"/>
      <c r="K528"/>
      <c r="L528"/>
      <c r="M528"/>
      <c r="N528"/>
      <c r="O528"/>
      <c r="P528"/>
      <c r="Q528"/>
      <c r="R528"/>
      <c r="S528"/>
      <c r="T528"/>
      <c r="U528"/>
      <c r="V528"/>
      <c r="W528"/>
      <c r="X528"/>
      <c r="Y528"/>
      <c r="Z528"/>
      <c r="AA528"/>
      <c r="AB528"/>
      <c r="AC528"/>
      <c r="AD528" s="161"/>
      <c r="AE528" s="161"/>
      <c r="AF528" s="161"/>
      <c r="AG528" s="164"/>
      <c r="AH528"/>
      <c r="AI528"/>
      <c r="AJ528" s="164"/>
      <c r="AK528"/>
      <c r="AL528" s="177"/>
      <c r="AM528" s="161"/>
      <c r="AN528" s="161"/>
      <c r="AO528" s="161"/>
      <c r="AP528" s="161"/>
    </row>
    <row r="529" spans="1:42" s="119" customFormat="1">
      <c r="A529"/>
      <c r="B529"/>
      <c r="C529"/>
      <c r="D529"/>
      <c r="E529"/>
      <c r="F529"/>
      <c r="G529" s="239"/>
      <c r="H529"/>
      <c r="I529"/>
      <c r="J529"/>
      <c r="K529"/>
      <c r="L529"/>
      <c r="M529"/>
      <c r="N529"/>
      <c r="O529"/>
      <c r="P529"/>
      <c r="Q529"/>
      <c r="R529"/>
      <c r="S529"/>
      <c r="T529"/>
      <c r="U529"/>
      <c r="V529"/>
      <c r="W529"/>
      <c r="X529"/>
      <c r="Y529"/>
      <c r="Z529"/>
      <c r="AA529"/>
      <c r="AB529"/>
      <c r="AC529"/>
      <c r="AD529" s="161"/>
      <c r="AE529" s="161"/>
      <c r="AF529" s="161"/>
      <c r="AG529" s="164"/>
      <c r="AH529"/>
      <c r="AI529"/>
      <c r="AJ529" s="164"/>
      <c r="AK529"/>
      <c r="AL529" s="177"/>
      <c r="AM529" s="161"/>
      <c r="AN529" s="161"/>
      <c r="AO529" s="161"/>
      <c r="AP529" s="161"/>
    </row>
    <row r="530" spans="1:42" s="119" customFormat="1">
      <c r="A530"/>
      <c r="B530"/>
      <c r="C530"/>
      <c r="D530"/>
      <c r="E530"/>
      <c r="F530"/>
      <c r="G530" s="239"/>
      <c r="H530"/>
      <c r="I530"/>
      <c r="J530"/>
      <c r="K530"/>
      <c r="L530"/>
      <c r="M530"/>
      <c r="N530"/>
      <c r="O530"/>
      <c r="P530"/>
      <c r="Q530"/>
      <c r="R530"/>
      <c r="S530"/>
      <c r="T530"/>
      <c r="U530"/>
      <c r="V530"/>
      <c r="W530"/>
      <c r="X530"/>
      <c r="Y530"/>
      <c r="Z530"/>
      <c r="AA530"/>
      <c r="AB530"/>
      <c r="AC530"/>
      <c r="AD530" s="161"/>
      <c r="AE530" s="161"/>
      <c r="AF530" s="161"/>
      <c r="AG530" s="164"/>
      <c r="AH530"/>
      <c r="AI530"/>
      <c r="AJ530" s="164"/>
      <c r="AK530"/>
      <c r="AL530" s="177"/>
      <c r="AM530" s="161"/>
      <c r="AN530" s="161"/>
      <c r="AO530" s="161"/>
      <c r="AP530" s="161"/>
    </row>
    <row r="531" spans="1:42" s="119" customFormat="1">
      <c r="A531"/>
      <c r="B531"/>
      <c r="C531"/>
      <c r="D531"/>
      <c r="E531"/>
      <c r="F531"/>
      <c r="G531" s="239"/>
      <c r="H531"/>
      <c r="I531"/>
      <c r="J531"/>
      <c r="K531"/>
      <c r="L531"/>
      <c r="M531"/>
      <c r="N531"/>
      <c r="O531"/>
      <c r="P531"/>
      <c r="Q531"/>
      <c r="R531"/>
      <c r="S531"/>
      <c r="T531"/>
      <c r="U531"/>
      <c r="V531"/>
      <c r="W531"/>
      <c r="X531"/>
      <c r="Y531"/>
      <c r="Z531"/>
      <c r="AA531"/>
      <c r="AB531"/>
      <c r="AC531"/>
      <c r="AD531" s="161"/>
      <c r="AE531" s="161"/>
      <c r="AF531" s="161"/>
      <c r="AG531" s="164"/>
      <c r="AH531"/>
      <c r="AI531"/>
      <c r="AJ531" s="164"/>
      <c r="AK531"/>
      <c r="AL531" s="177"/>
      <c r="AM531" s="161"/>
      <c r="AN531" s="161"/>
      <c r="AO531" s="161"/>
      <c r="AP531" s="161"/>
    </row>
    <row r="532" spans="1:42" s="119" customFormat="1">
      <c r="A532"/>
      <c r="B532"/>
      <c r="C532"/>
      <c r="D532"/>
      <c r="E532"/>
      <c r="F532"/>
      <c r="G532" s="239"/>
      <c r="H532"/>
      <c r="I532"/>
      <c r="J532"/>
      <c r="K532"/>
      <c r="L532"/>
      <c r="M532"/>
      <c r="N532"/>
      <c r="O532"/>
      <c r="P532"/>
      <c r="Q532"/>
      <c r="R532"/>
      <c r="S532"/>
      <c r="T532"/>
      <c r="U532"/>
      <c r="V532"/>
      <c r="W532"/>
      <c r="X532"/>
      <c r="Y532"/>
      <c r="Z532"/>
      <c r="AA532"/>
      <c r="AB532"/>
      <c r="AC532"/>
      <c r="AD532" s="161"/>
      <c r="AE532" s="161"/>
      <c r="AF532" s="161"/>
      <c r="AG532" s="164"/>
      <c r="AH532"/>
      <c r="AI532"/>
      <c r="AJ532" s="164"/>
      <c r="AK532"/>
      <c r="AL532" s="177"/>
      <c r="AM532" s="161"/>
      <c r="AN532" s="161"/>
      <c r="AO532" s="161"/>
      <c r="AP532" s="161"/>
    </row>
    <row r="533" spans="1:42" s="119" customFormat="1">
      <c r="A533"/>
      <c r="B533"/>
      <c r="C533"/>
      <c r="D533"/>
      <c r="E533"/>
      <c r="F533"/>
      <c r="G533" s="239"/>
      <c r="H533"/>
      <c r="I533"/>
      <c r="J533"/>
      <c r="K533"/>
      <c r="L533"/>
      <c r="M533"/>
      <c r="N533"/>
      <c r="O533"/>
      <c r="P533"/>
      <c r="Q533"/>
      <c r="R533"/>
      <c r="S533"/>
      <c r="T533"/>
      <c r="U533"/>
      <c r="V533"/>
      <c r="W533"/>
      <c r="X533"/>
      <c r="Y533"/>
      <c r="Z533"/>
      <c r="AA533"/>
      <c r="AB533"/>
      <c r="AC533"/>
      <c r="AD533" s="161"/>
      <c r="AE533" s="161"/>
      <c r="AF533" s="161"/>
      <c r="AG533" s="164"/>
      <c r="AH533"/>
      <c r="AI533"/>
      <c r="AJ533" s="164"/>
      <c r="AK533"/>
      <c r="AL533" s="177"/>
      <c r="AM533" s="161"/>
      <c r="AN533" s="161"/>
      <c r="AO533" s="161"/>
      <c r="AP533" s="161"/>
    </row>
    <row r="534" spans="1:42" s="119" customFormat="1">
      <c r="A534"/>
      <c r="B534"/>
      <c r="C534"/>
      <c r="D534"/>
      <c r="E534"/>
      <c r="F534"/>
      <c r="G534" s="239"/>
      <c r="H534"/>
      <c r="I534"/>
      <c r="J534"/>
      <c r="K534"/>
      <c r="L534"/>
      <c r="M534"/>
      <c r="N534"/>
      <c r="O534"/>
      <c r="P534"/>
      <c r="Q534"/>
      <c r="R534"/>
      <c r="S534"/>
      <c r="T534"/>
      <c r="U534"/>
      <c r="V534"/>
      <c r="W534"/>
      <c r="X534"/>
      <c r="Y534"/>
      <c r="Z534"/>
      <c r="AA534"/>
      <c r="AB534"/>
      <c r="AC534"/>
      <c r="AD534" s="161"/>
      <c r="AE534" s="161"/>
      <c r="AF534" s="161"/>
      <c r="AG534" s="164"/>
      <c r="AH534"/>
      <c r="AI534"/>
      <c r="AJ534" s="164"/>
      <c r="AK534"/>
      <c r="AL534" s="177"/>
      <c r="AM534" s="161"/>
      <c r="AN534" s="161"/>
      <c r="AO534" s="161"/>
      <c r="AP534" s="161"/>
    </row>
    <row r="535" spans="1:42" s="119" customFormat="1">
      <c r="A535"/>
      <c r="B535"/>
      <c r="C535"/>
      <c r="D535"/>
      <c r="E535"/>
      <c r="F535"/>
      <c r="G535" s="239"/>
      <c r="H535"/>
      <c r="I535"/>
      <c r="J535"/>
      <c r="K535"/>
      <c r="L535"/>
      <c r="M535"/>
      <c r="N535"/>
      <c r="O535"/>
      <c r="P535"/>
      <c r="Q535"/>
      <c r="R535"/>
      <c r="S535"/>
      <c r="T535"/>
      <c r="U535"/>
      <c r="V535"/>
      <c r="W535"/>
      <c r="X535"/>
      <c r="Y535"/>
      <c r="Z535"/>
      <c r="AA535"/>
      <c r="AB535"/>
      <c r="AC535"/>
      <c r="AD535" s="161"/>
      <c r="AE535" s="161"/>
      <c r="AF535" s="161"/>
      <c r="AG535" s="164"/>
      <c r="AH535"/>
      <c r="AI535"/>
      <c r="AJ535" s="164"/>
      <c r="AK535"/>
      <c r="AL535" s="177"/>
      <c r="AM535" s="161"/>
      <c r="AN535" s="161"/>
      <c r="AO535" s="161"/>
      <c r="AP535" s="161"/>
    </row>
    <row r="536" spans="1:42" s="119" customFormat="1">
      <c r="A536"/>
      <c r="B536"/>
      <c r="C536"/>
      <c r="D536"/>
      <c r="E536"/>
      <c r="F536"/>
      <c r="G536" s="239"/>
      <c r="H536"/>
      <c r="I536"/>
      <c r="J536"/>
      <c r="K536"/>
      <c r="L536"/>
      <c r="M536"/>
      <c r="N536"/>
      <c r="O536"/>
      <c r="P536"/>
      <c r="Q536"/>
      <c r="R536"/>
      <c r="S536"/>
      <c r="T536"/>
      <c r="U536"/>
      <c r="V536"/>
      <c r="W536"/>
      <c r="X536"/>
      <c r="Y536"/>
      <c r="Z536"/>
      <c r="AA536"/>
      <c r="AB536"/>
      <c r="AC536"/>
      <c r="AD536" s="161"/>
      <c r="AE536" s="161"/>
      <c r="AF536" s="161"/>
      <c r="AG536" s="164"/>
      <c r="AH536"/>
      <c r="AI536"/>
      <c r="AJ536" s="164"/>
      <c r="AK536"/>
      <c r="AL536" s="177"/>
      <c r="AM536" s="161"/>
      <c r="AN536" s="161"/>
      <c r="AO536" s="161"/>
      <c r="AP536" s="161"/>
    </row>
    <row r="537" spans="1:42" s="119" customFormat="1">
      <c r="A537"/>
      <c r="B537"/>
      <c r="C537"/>
      <c r="D537"/>
      <c r="E537"/>
      <c r="F537"/>
      <c r="G537" s="239"/>
      <c r="H537"/>
      <c r="I537"/>
      <c r="J537"/>
      <c r="K537"/>
      <c r="L537"/>
      <c r="M537"/>
      <c r="N537"/>
      <c r="O537"/>
      <c r="P537"/>
      <c r="Q537"/>
      <c r="R537"/>
      <c r="S537"/>
      <c r="T537"/>
      <c r="U537"/>
      <c r="V537"/>
      <c r="W537"/>
      <c r="X537"/>
      <c r="Y537"/>
      <c r="Z537"/>
      <c r="AA537"/>
      <c r="AB537"/>
      <c r="AC537"/>
      <c r="AD537" s="161"/>
      <c r="AE537" s="161"/>
      <c r="AF537" s="161"/>
      <c r="AG537" s="164"/>
      <c r="AH537"/>
      <c r="AI537"/>
      <c r="AJ537" s="164"/>
      <c r="AK537"/>
      <c r="AL537" s="177"/>
      <c r="AM537" s="161"/>
      <c r="AN537" s="161"/>
      <c r="AO537" s="161"/>
      <c r="AP537" s="161"/>
    </row>
    <row r="538" spans="1:42" s="119" customFormat="1">
      <c r="A538"/>
      <c r="B538"/>
      <c r="C538"/>
      <c r="D538"/>
      <c r="E538"/>
      <c r="F538"/>
      <c r="G538" s="239"/>
      <c r="H538"/>
      <c r="I538"/>
      <c r="J538"/>
      <c r="K538"/>
      <c r="L538"/>
      <c r="M538"/>
      <c r="N538"/>
      <c r="O538"/>
      <c r="P538"/>
      <c r="Q538"/>
      <c r="R538"/>
      <c r="S538"/>
      <c r="T538"/>
      <c r="U538"/>
      <c r="V538"/>
      <c r="W538"/>
      <c r="X538"/>
      <c r="Y538"/>
      <c r="Z538"/>
      <c r="AA538"/>
      <c r="AB538"/>
      <c r="AC538"/>
      <c r="AD538" s="161"/>
      <c r="AE538" s="161"/>
      <c r="AF538" s="161"/>
      <c r="AG538" s="164"/>
      <c r="AH538"/>
      <c r="AI538"/>
      <c r="AJ538" s="164"/>
      <c r="AK538"/>
      <c r="AL538" s="177"/>
      <c r="AM538" s="161"/>
      <c r="AN538" s="161"/>
      <c r="AO538" s="161"/>
      <c r="AP538" s="161"/>
    </row>
    <row r="539" spans="1:42" s="119" customFormat="1">
      <c r="A539"/>
      <c r="B539"/>
      <c r="C539"/>
      <c r="D539"/>
      <c r="E539"/>
      <c r="F539"/>
      <c r="G539" s="239"/>
      <c r="H539"/>
      <c r="I539"/>
      <c r="J539"/>
      <c r="K539"/>
      <c r="L539"/>
      <c r="M539"/>
      <c r="N539"/>
      <c r="O539"/>
      <c r="P539"/>
      <c r="Q539"/>
      <c r="R539"/>
      <c r="S539"/>
      <c r="T539"/>
      <c r="U539"/>
      <c r="V539"/>
      <c r="W539"/>
      <c r="X539"/>
      <c r="Y539"/>
      <c r="Z539"/>
      <c r="AA539"/>
      <c r="AB539"/>
      <c r="AC539"/>
      <c r="AD539" s="161"/>
      <c r="AE539" s="161"/>
      <c r="AF539" s="161"/>
      <c r="AG539" s="164"/>
      <c r="AH539"/>
      <c r="AI539"/>
      <c r="AJ539" s="164"/>
      <c r="AK539"/>
      <c r="AL539" s="177"/>
      <c r="AM539" s="161"/>
      <c r="AN539" s="161"/>
      <c r="AO539" s="161"/>
      <c r="AP539" s="161"/>
    </row>
    <row r="540" spans="1:42" s="119" customFormat="1">
      <c r="A540"/>
      <c r="B540"/>
      <c r="C540"/>
      <c r="D540"/>
      <c r="E540"/>
      <c r="F540"/>
      <c r="G540" s="239"/>
      <c r="H540"/>
      <c r="I540"/>
      <c r="J540"/>
      <c r="K540"/>
      <c r="L540"/>
      <c r="M540"/>
      <c r="N540"/>
      <c r="O540"/>
      <c r="P540"/>
      <c r="Q540"/>
      <c r="R540"/>
      <c r="S540"/>
      <c r="T540"/>
      <c r="U540"/>
      <c r="V540"/>
      <c r="W540"/>
      <c r="X540"/>
      <c r="Y540"/>
      <c r="Z540"/>
      <c r="AA540"/>
      <c r="AB540"/>
      <c r="AC540"/>
      <c r="AD540" s="161"/>
      <c r="AE540" s="161"/>
      <c r="AF540" s="161"/>
      <c r="AG540" s="164"/>
      <c r="AH540"/>
      <c r="AI540"/>
      <c r="AJ540" s="164"/>
      <c r="AK540"/>
      <c r="AL540" s="177"/>
      <c r="AM540" s="161"/>
      <c r="AN540" s="161"/>
      <c r="AO540" s="161"/>
      <c r="AP540" s="161"/>
    </row>
    <row r="541" spans="1:42" s="119" customFormat="1">
      <c r="A541"/>
      <c r="B541"/>
      <c r="C541"/>
      <c r="D541"/>
      <c r="E541"/>
      <c r="F541"/>
      <c r="G541" s="239"/>
      <c r="H541"/>
      <c r="I541"/>
      <c r="J541"/>
      <c r="K541"/>
      <c r="L541"/>
      <c r="M541"/>
      <c r="N541"/>
      <c r="O541"/>
      <c r="P541"/>
      <c r="Q541"/>
      <c r="R541"/>
      <c r="S541"/>
      <c r="T541"/>
      <c r="U541"/>
      <c r="V541"/>
      <c r="W541"/>
      <c r="X541"/>
      <c r="Y541"/>
      <c r="Z541"/>
      <c r="AA541"/>
      <c r="AB541"/>
      <c r="AC541"/>
      <c r="AD541" s="161"/>
      <c r="AE541" s="161"/>
      <c r="AF541" s="161"/>
      <c r="AG541" s="164"/>
      <c r="AH541"/>
      <c r="AI541"/>
      <c r="AJ541" s="164"/>
      <c r="AK541"/>
      <c r="AL541" s="177"/>
      <c r="AM541" s="161"/>
      <c r="AN541" s="161"/>
      <c r="AO541" s="161"/>
      <c r="AP541" s="161"/>
    </row>
    <row r="542" spans="1:42" s="119" customFormat="1">
      <c r="A542"/>
      <c r="B542"/>
      <c r="C542"/>
      <c r="D542"/>
      <c r="E542"/>
      <c r="F542"/>
      <c r="G542" s="239"/>
      <c r="H542"/>
      <c r="I542"/>
      <c r="J542"/>
      <c r="K542"/>
      <c r="L542"/>
      <c r="M542"/>
      <c r="N542"/>
      <c r="O542"/>
      <c r="P542"/>
      <c r="Q542"/>
      <c r="R542"/>
      <c r="S542"/>
      <c r="T542"/>
      <c r="U542"/>
      <c r="V542"/>
      <c r="W542"/>
      <c r="X542"/>
      <c r="Y542"/>
      <c r="Z542"/>
      <c r="AA542"/>
      <c r="AB542"/>
      <c r="AC542"/>
      <c r="AD542" s="161"/>
      <c r="AE542" s="161"/>
      <c r="AF542" s="161"/>
      <c r="AG542" s="164"/>
      <c r="AH542"/>
      <c r="AI542"/>
      <c r="AJ542" s="164"/>
      <c r="AK542"/>
      <c r="AL542" s="177"/>
      <c r="AM542" s="161"/>
      <c r="AN542" s="161"/>
      <c r="AO542" s="161"/>
      <c r="AP542" s="161"/>
    </row>
    <row r="543" spans="1:42" s="119" customFormat="1">
      <c r="A543"/>
      <c r="B543"/>
      <c r="C543"/>
      <c r="D543"/>
      <c r="E543"/>
      <c r="F543"/>
      <c r="G543" s="239"/>
      <c r="H543"/>
      <c r="I543"/>
      <c r="J543"/>
      <c r="K543"/>
      <c r="L543"/>
      <c r="M543"/>
      <c r="N543"/>
      <c r="O543"/>
      <c r="P543"/>
      <c r="Q543"/>
      <c r="R543"/>
      <c r="S543"/>
      <c r="T543"/>
      <c r="U543"/>
      <c r="V543"/>
      <c r="W543"/>
      <c r="X543"/>
      <c r="Y543"/>
      <c r="Z543"/>
      <c r="AA543"/>
      <c r="AB543"/>
      <c r="AC543"/>
      <c r="AD543" s="161"/>
      <c r="AE543" s="161"/>
      <c r="AF543" s="161"/>
      <c r="AG543" s="164"/>
      <c r="AH543"/>
      <c r="AI543"/>
      <c r="AJ543" s="164"/>
      <c r="AK543"/>
      <c r="AL543" s="177"/>
      <c r="AM543" s="161"/>
      <c r="AN543" s="161"/>
      <c r="AO543" s="161"/>
      <c r="AP543" s="161"/>
    </row>
    <row r="544" spans="1:42" s="119" customFormat="1">
      <c r="A544"/>
      <c r="B544"/>
      <c r="C544"/>
      <c r="D544"/>
      <c r="E544"/>
      <c r="F544"/>
      <c r="G544" s="239"/>
      <c r="H544"/>
      <c r="I544"/>
      <c r="J544"/>
      <c r="K544"/>
      <c r="L544"/>
      <c r="M544"/>
      <c r="N544"/>
      <c r="O544"/>
      <c r="P544"/>
      <c r="Q544"/>
      <c r="R544"/>
      <c r="S544"/>
      <c r="T544"/>
      <c r="U544"/>
      <c r="V544"/>
      <c r="W544"/>
      <c r="X544"/>
      <c r="Y544"/>
      <c r="Z544"/>
      <c r="AA544"/>
      <c r="AB544"/>
      <c r="AC544"/>
      <c r="AD544" s="161"/>
      <c r="AE544" s="161"/>
      <c r="AF544" s="161"/>
      <c r="AG544" s="164"/>
      <c r="AH544"/>
      <c r="AI544"/>
      <c r="AJ544" s="164"/>
      <c r="AK544"/>
      <c r="AL544" s="177"/>
      <c r="AM544" s="161"/>
      <c r="AN544" s="161"/>
      <c r="AO544" s="161"/>
      <c r="AP544" s="161"/>
    </row>
    <row r="545" spans="1:42" s="119" customFormat="1">
      <c r="A545"/>
      <c r="B545"/>
      <c r="C545"/>
      <c r="D545"/>
      <c r="E545"/>
      <c r="F545"/>
      <c r="G545" s="239"/>
      <c r="H545"/>
      <c r="I545"/>
      <c r="J545"/>
      <c r="K545"/>
      <c r="L545"/>
      <c r="M545"/>
      <c r="N545"/>
      <c r="O545"/>
      <c r="P545"/>
      <c r="Q545"/>
      <c r="R545"/>
      <c r="S545"/>
      <c r="T545"/>
      <c r="U545"/>
      <c r="V545"/>
      <c r="W545"/>
      <c r="X545"/>
      <c r="Y545"/>
      <c r="Z545"/>
      <c r="AA545"/>
      <c r="AB545"/>
      <c r="AC545"/>
      <c r="AD545" s="161"/>
      <c r="AE545" s="161"/>
      <c r="AF545" s="161"/>
      <c r="AG545" s="164"/>
      <c r="AH545"/>
      <c r="AI545"/>
      <c r="AJ545" s="164"/>
      <c r="AK545"/>
      <c r="AL545" s="177"/>
      <c r="AM545" s="161"/>
      <c r="AN545" s="161"/>
      <c r="AO545" s="161"/>
      <c r="AP545" s="161"/>
    </row>
    <row r="546" spans="1:42" s="119" customFormat="1">
      <c r="A546"/>
      <c r="B546"/>
      <c r="C546"/>
      <c r="D546"/>
      <c r="E546"/>
      <c r="F546"/>
      <c r="G546" s="239"/>
      <c r="H546"/>
      <c r="I546"/>
      <c r="J546"/>
      <c r="K546"/>
      <c r="L546"/>
      <c r="M546"/>
      <c r="N546"/>
      <c r="O546"/>
      <c r="P546"/>
      <c r="Q546"/>
      <c r="R546"/>
      <c r="S546"/>
      <c r="T546"/>
      <c r="U546"/>
      <c r="V546"/>
      <c r="W546"/>
      <c r="X546"/>
      <c r="Y546"/>
      <c r="Z546"/>
      <c r="AA546"/>
      <c r="AB546"/>
      <c r="AC546"/>
      <c r="AD546" s="161"/>
      <c r="AE546" s="161"/>
      <c r="AF546" s="161"/>
      <c r="AG546" s="164"/>
      <c r="AH546"/>
      <c r="AI546"/>
      <c r="AJ546" s="164"/>
      <c r="AK546"/>
      <c r="AL546" s="177"/>
      <c r="AM546" s="161"/>
      <c r="AN546" s="161"/>
      <c r="AO546" s="161"/>
      <c r="AP546" s="161"/>
    </row>
    <row r="547" spans="1:42" s="119" customFormat="1">
      <c r="A547"/>
      <c r="B547"/>
      <c r="C547"/>
      <c r="D547"/>
      <c r="E547"/>
      <c r="F547"/>
      <c r="G547" s="239"/>
      <c r="H547"/>
      <c r="I547"/>
      <c r="J547"/>
      <c r="K547"/>
      <c r="L547"/>
      <c r="M547"/>
      <c r="N547"/>
      <c r="O547"/>
      <c r="P547"/>
      <c r="Q547"/>
      <c r="R547"/>
      <c r="S547"/>
      <c r="T547"/>
      <c r="U547"/>
      <c r="V547"/>
      <c r="W547"/>
      <c r="X547"/>
      <c r="Y547"/>
      <c r="Z547"/>
      <c r="AA547"/>
      <c r="AB547"/>
      <c r="AC547"/>
      <c r="AD547" s="161"/>
      <c r="AE547" s="161"/>
      <c r="AF547" s="161"/>
      <c r="AG547" s="164"/>
      <c r="AH547"/>
      <c r="AI547"/>
      <c r="AJ547" s="164"/>
      <c r="AK547"/>
      <c r="AL547" s="177"/>
      <c r="AM547" s="161"/>
      <c r="AN547" s="161"/>
      <c r="AO547" s="161"/>
      <c r="AP547" s="161"/>
    </row>
    <row r="548" spans="1:42" s="119" customFormat="1">
      <c r="A548"/>
      <c r="B548"/>
      <c r="C548"/>
      <c r="D548"/>
      <c r="E548"/>
      <c r="F548"/>
      <c r="G548" s="239"/>
      <c r="H548"/>
      <c r="I548"/>
      <c r="J548"/>
      <c r="K548"/>
      <c r="L548"/>
      <c r="M548"/>
      <c r="N548"/>
      <c r="O548"/>
      <c r="P548"/>
      <c r="Q548"/>
      <c r="R548"/>
      <c r="S548"/>
      <c r="T548"/>
      <c r="U548"/>
      <c r="V548"/>
      <c r="W548"/>
      <c r="X548"/>
      <c r="Y548"/>
      <c r="Z548"/>
      <c r="AA548"/>
      <c r="AB548"/>
      <c r="AC548"/>
      <c r="AD548" s="161"/>
      <c r="AE548" s="161"/>
      <c r="AF548" s="161"/>
      <c r="AG548" s="164"/>
      <c r="AH548"/>
      <c r="AI548"/>
      <c r="AJ548" s="164"/>
      <c r="AK548"/>
      <c r="AL548" s="177"/>
      <c r="AM548" s="161"/>
      <c r="AN548" s="161"/>
      <c r="AO548" s="161"/>
      <c r="AP548" s="161"/>
    </row>
    <row r="549" spans="1:42" s="119" customFormat="1">
      <c r="A549"/>
      <c r="B549"/>
      <c r="C549"/>
      <c r="D549"/>
      <c r="E549"/>
      <c r="F549"/>
      <c r="G549" s="239"/>
      <c r="H549"/>
      <c r="I549"/>
      <c r="J549"/>
      <c r="K549"/>
      <c r="L549"/>
      <c r="M549"/>
      <c r="N549"/>
      <c r="O549"/>
      <c r="P549"/>
      <c r="Q549"/>
      <c r="R549"/>
      <c r="S549"/>
      <c r="T549"/>
      <c r="U549"/>
      <c r="V549"/>
      <c r="W549"/>
      <c r="X549"/>
      <c r="Y549"/>
      <c r="Z549"/>
      <c r="AA549"/>
      <c r="AB549"/>
      <c r="AC549"/>
      <c r="AD549" s="161"/>
      <c r="AE549" s="161"/>
      <c r="AF549" s="161"/>
      <c r="AG549" s="164"/>
      <c r="AH549"/>
      <c r="AI549"/>
      <c r="AJ549" s="164"/>
      <c r="AK549"/>
      <c r="AL549" s="177"/>
      <c r="AM549" s="161"/>
      <c r="AN549" s="161"/>
      <c r="AO549" s="161"/>
      <c r="AP549" s="161"/>
    </row>
    <row r="550" spans="1:42" s="119" customFormat="1">
      <c r="A550"/>
      <c r="B550"/>
      <c r="C550"/>
      <c r="D550"/>
      <c r="E550"/>
      <c r="F550"/>
      <c r="G550" s="239"/>
      <c r="H550"/>
      <c r="I550"/>
      <c r="J550"/>
      <c r="K550"/>
      <c r="L550"/>
      <c r="M550"/>
      <c r="N550"/>
      <c r="O550"/>
      <c r="P550"/>
      <c r="Q550"/>
      <c r="R550"/>
      <c r="S550"/>
      <c r="T550"/>
      <c r="U550"/>
      <c r="V550"/>
      <c r="W550"/>
      <c r="X550"/>
      <c r="Y550"/>
      <c r="Z550"/>
      <c r="AA550"/>
      <c r="AB550"/>
      <c r="AC550"/>
      <c r="AD550" s="161"/>
      <c r="AE550" s="161"/>
      <c r="AF550" s="161"/>
      <c r="AG550" s="164"/>
      <c r="AH550"/>
      <c r="AI550"/>
      <c r="AJ550" s="164"/>
      <c r="AK550"/>
      <c r="AL550" s="177"/>
      <c r="AM550" s="161"/>
      <c r="AN550" s="161"/>
      <c r="AO550" s="161"/>
      <c r="AP550" s="161"/>
    </row>
    <row r="551" spans="1:42" s="119" customFormat="1">
      <c r="A551"/>
      <c r="B551"/>
      <c r="C551"/>
      <c r="D551"/>
      <c r="E551"/>
      <c r="F551"/>
      <c r="G551" s="239"/>
      <c r="H551"/>
      <c r="I551"/>
      <c r="J551"/>
      <c r="K551"/>
      <c r="L551"/>
      <c r="M551"/>
      <c r="N551"/>
      <c r="O551"/>
      <c r="P551"/>
      <c r="Q551"/>
      <c r="R551"/>
      <c r="S551"/>
      <c r="T551"/>
      <c r="U551"/>
      <c r="V551"/>
      <c r="W551"/>
      <c r="X551"/>
      <c r="Y551"/>
      <c r="Z551"/>
      <c r="AA551"/>
      <c r="AB551"/>
      <c r="AC551"/>
      <c r="AD551" s="161"/>
      <c r="AE551" s="161"/>
      <c r="AF551" s="161"/>
      <c r="AG551" s="164"/>
      <c r="AH551"/>
      <c r="AI551"/>
      <c r="AJ551" s="164"/>
      <c r="AK551"/>
      <c r="AL551" s="177"/>
      <c r="AM551" s="161"/>
      <c r="AN551" s="161"/>
      <c r="AO551" s="161"/>
      <c r="AP551" s="161"/>
    </row>
    <row r="552" spans="1:42" s="119" customFormat="1">
      <c r="A552"/>
      <c r="B552"/>
      <c r="C552"/>
      <c r="D552"/>
      <c r="E552"/>
      <c r="F552"/>
      <c r="G552" s="239"/>
      <c r="H552"/>
      <c r="I552"/>
      <c r="J552"/>
      <c r="K552"/>
      <c r="L552"/>
      <c r="M552"/>
      <c r="N552"/>
      <c r="O552"/>
      <c r="P552"/>
      <c r="Q552"/>
      <c r="R552"/>
      <c r="S552"/>
      <c r="T552"/>
      <c r="U552"/>
      <c r="V552"/>
      <c r="W552"/>
      <c r="X552"/>
      <c r="Y552"/>
      <c r="Z552"/>
      <c r="AA552"/>
      <c r="AB552"/>
      <c r="AC552"/>
      <c r="AD552" s="161"/>
      <c r="AE552" s="161"/>
      <c r="AF552" s="161"/>
      <c r="AG552" s="164"/>
      <c r="AH552"/>
      <c r="AI552"/>
      <c r="AJ552" s="164"/>
      <c r="AK552"/>
      <c r="AL552" s="177"/>
      <c r="AM552" s="161"/>
      <c r="AN552" s="161"/>
      <c r="AO552" s="161"/>
      <c r="AP552" s="161"/>
    </row>
    <row r="553" spans="1:42" s="119" customFormat="1">
      <c r="A553"/>
      <c r="B553"/>
      <c r="C553"/>
      <c r="D553"/>
      <c r="E553"/>
      <c r="F553"/>
      <c r="G553" s="239"/>
      <c r="H553"/>
      <c r="I553"/>
      <c r="J553"/>
      <c r="K553"/>
      <c r="L553"/>
      <c r="M553"/>
      <c r="N553"/>
      <c r="O553"/>
      <c r="P553"/>
      <c r="Q553"/>
      <c r="R553"/>
      <c r="S553"/>
      <c r="T553"/>
      <c r="U553"/>
      <c r="V553"/>
      <c r="W553"/>
      <c r="X553"/>
      <c r="Y553"/>
      <c r="Z553"/>
      <c r="AA553"/>
      <c r="AB553"/>
      <c r="AC553"/>
      <c r="AD553" s="161"/>
      <c r="AE553" s="161"/>
      <c r="AF553" s="161"/>
      <c r="AG553" s="164"/>
      <c r="AH553"/>
      <c r="AI553"/>
      <c r="AJ553" s="164"/>
      <c r="AK553"/>
      <c r="AL553" s="177"/>
      <c r="AM553" s="161"/>
      <c r="AN553" s="161"/>
      <c r="AO553" s="161"/>
      <c r="AP553" s="161"/>
    </row>
    <row r="554" spans="1:42" s="119" customFormat="1">
      <c r="A554"/>
      <c r="B554"/>
      <c r="C554"/>
      <c r="D554"/>
      <c r="E554"/>
      <c r="F554"/>
      <c r="G554" s="239"/>
      <c r="H554"/>
      <c r="I554"/>
      <c r="J554"/>
      <c r="K554"/>
      <c r="L554"/>
      <c r="M554"/>
      <c r="N554"/>
      <c r="O554"/>
      <c r="P554"/>
      <c r="Q554"/>
      <c r="R554"/>
      <c r="S554"/>
      <c r="T554"/>
      <c r="U554"/>
      <c r="V554"/>
      <c r="W554"/>
      <c r="X554"/>
      <c r="Y554"/>
      <c r="Z554"/>
      <c r="AA554"/>
      <c r="AB554"/>
      <c r="AC554"/>
      <c r="AD554" s="161"/>
      <c r="AE554" s="161"/>
      <c r="AF554" s="161"/>
      <c r="AG554" s="164"/>
      <c r="AH554"/>
      <c r="AI554"/>
      <c r="AJ554" s="164"/>
      <c r="AK554"/>
      <c r="AL554" s="177"/>
      <c r="AM554" s="161"/>
      <c r="AN554" s="161"/>
      <c r="AO554" s="161"/>
      <c r="AP554" s="161"/>
    </row>
    <row r="555" spans="1:42" s="119" customFormat="1">
      <c r="A555"/>
      <c r="B555"/>
      <c r="C555"/>
      <c r="D555"/>
      <c r="E555"/>
      <c r="F555"/>
      <c r="G555" s="239"/>
      <c r="H555"/>
      <c r="I555"/>
      <c r="J555"/>
      <c r="K555"/>
      <c r="L555"/>
      <c r="M555"/>
      <c r="N555"/>
      <c r="O555"/>
      <c r="P555"/>
      <c r="Q555"/>
      <c r="R555"/>
      <c r="S555"/>
      <c r="T555"/>
      <c r="U555"/>
      <c r="V555"/>
      <c r="W555"/>
      <c r="X555"/>
      <c r="Y555"/>
      <c r="Z555"/>
      <c r="AA555"/>
      <c r="AB555"/>
      <c r="AC555"/>
      <c r="AD555" s="161"/>
      <c r="AE555" s="161"/>
      <c r="AF555" s="161"/>
      <c r="AG555" s="164"/>
      <c r="AH555"/>
      <c r="AI555"/>
      <c r="AJ555" s="164"/>
      <c r="AK555"/>
      <c r="AL555" s="177"/>
      <c r="AM555" s="161"/>
      <c r="AN555" s="161"/>
      <c r="AO555" s="161"/>
      <c r="AP555" s="161"/>
    </row>
    <row r="556" spans="1:42" s="119" customFormat="1">
      <c r="A556"/>
      <c r="B556"/>
      <c r="C556"/>
      <c r="D556"/>
      <c r="E556"/>
      <c r="F556"/>
      <c r="G556" s="239"/>
      <c r="H556"/>
      <c r="I556"/>
      <c r="J556"/>
      <c r="K556"/>
      <c r="L556"/>
      <c r="M556"/>
      <c r="N556"/>
      <c r="O556"/>
      <c r="P556"/>
      <c r="Q556"/>
      <c r="R556"/>
      <c r="S556"/>
      <c r="T556"/>
      <c r="U556"/>
      <c r="V556"/>
      <c r="W556"/>
      <c r="X556"/>
      <c r="Y556"/>
      <c r="Z556"/>
      <c r="AA556"/>
      <c r="AB556"/>
      <c r="AC556"/>
      <c r="AD556" s="161"/>
      <c r="AE556" s="161"/>
      <c r="AF556" s="161"/>
      <c r="AG556" s="164"/>
      <c r="AH556"/>
      <c r="AI556"/>
      <c r="AJ556" s="164"/>
      <c r="AK556"/>
      <c r="AL556" s="177"/>
      <c r="AM556" s="161"/>
      <c r="AN556" s="161"/>
      <c r="AO556" s="161"/>
      <c r="AP556" s="161"/>
    </row>
    <row r="557" spans="1:42" s="119" customFormat="1">
      <c r="A557"/>
      <c r="B557"/>
      <c r="C557"/>
      <c r="D557"/>
      <c r="E557"/>
      <c r="F557"/>
      <c r="G557" s="239"/>
      <c r="H557"/>
      <c r="I557"/>
      <c r="J557"/>
      <c r="K557"/>
      <c r="L557"/>
      <c r="M557"/>
      <c r="N557"/>
      <c r="O557"/>
      <c r="P557"/>
      <c r="Q557"/>
      <c r="R557"/>
      <c r="S557"/>
      <c r="T557"/>
      <c r="U557"/>
      <c r="V557"/>
      <c r="W557"/>
      <c r="X557"/>
      <c r="Y557"/>
      <c r="Z557"/>
      <c r="AA557"/>
      <c r="AB557"/>
      <c r="AC557"/>
      <c r="AD557" s="161"/>
      <c r="AE557" s="161"/>
      <c r="AF557" s="161"/>
      <c r="AG557" s="164"/>
      <c r="AH557"/>
      <c r="AI557"/>
      <c r="AJ557" s="164"/>
      <c r="AK557"/>
      <c r="AL557" s="177"/>
      <c r="AM557" s="161"/>
      <c r="AN557" s="161"/>
      <c r="AO557" s="161"/>
      <c r="AP557" s="161"/>
    </row>
    <row r="558" spans="1:42" s="119" customFormat="1">
      <c r="A558"/>
      <c r="B558"/>
      <c r="C558"/>
      <c r="D558"/>
      <c r="E558"/>
      <c r="F558"/>
      <c r="G558" s="239"/>
      <c r="H558"/>
      <c r="I558"/>
      <c r="J558"/>
      <c r="K558"/>
      <c r="L558"/>
      <c r="M558"/>
      <c r="N558"/>
      <c r="O558"/>
      <c r="P558"/>
      <c r="Q558"/>
      <c r="R558"/>
      <c r="S558"/>
      <c r="T558"/>
      <c r="U558"/>
      <c r="V558"/>
      <c r="W558"/>
      <c r="X558"/>
      <c r="Y558"/>
      <c r="Z558"/>
      <c r="AA558"/>
      <c r="AB558"/>
      <c r="AC558"/>
      <c r="AD558" s="161"/>
      <c r="AE558" s="161"/>
      <c r="AF558" s="161"/>
      <c r="AG558" s="164"/>
      <c r="AH558"/>
      <c r="AI558"/>
      <c r="AJ558" s="164"/>
      <c r="AK558"/>
      <c r="AL558" s="177"/>
      <c r="AM558" s="161"/>
      <c r="AN558" s="161"/>
      <c r="AO558" s="161"/>
      <c r="AP558" s="161"/>
    </row>
    <row r="559" spans="1:42" s="119" customFormat="1">
      <c r="A559"/>
      <c r="B559"/>
      <c r="C559"/>
      <c r="D559"/>
      <c r="E559"/>
      <c r="F559"/>
      <c r="G559" s="239"/>
      <c r="H559"/>
      <c r="I559"/>
      <c r="J559"/>
      <c r="K559"/>
      <c r="L559"/>
      <c r="M559"/>
      <c r="N559"/>
      <c r="O559"/>
      <c r="P559"/>
      <c r="Q559"/>
      <c r="R559"/>
      <c r="S559"/>
      <c r="T559"/>
      <c r="U559"/>
      <c r="V559"/>
      <c r="W559"/>
      <c r="X559"/>
      <c r="Y559"/>
      <c r="Z559"/>
      <c r="AA559"/>
      <c r="AB559"/>
      <c r="AC559"/>
      <c r="AD559" s="161"/>
      <c r="AE559" s="161"/>
      <c r="AF559" s="161"/>
      <c r="AG559" s="164"/>
      <c r="AH559"/>
      <c r="AI559"/>
      <c r="AJ559" s="164"/>
      <c r="AK559"/>
      <c r="AL559" s="177"/>
      <c r="AM559" s="161"/>
      <c r="AN559" s="161"/>
      <c r="AO559" s="161"/>
      <c r="AP559" s="161"/>
    </row>
    <row r="560" spans="1:42" s="119" customFormat="1">
      <c r="A560"/>
      <c r="B560"/>
      <c r="C560"/>
      <c r="D560"/>
      <c r="E560"/>
      <c r="F560"/>
      <c r="G560" s="239"/>
      <c r="H560"/>
      <c r="I560"/>
      <c r="J560"/>
      <c r="K560"/>
      <c r="L560"/>
      <c r="M560"/>
      <c r="N560"/>
      <c r="O560"/>
      <c r="P560"/>
      <c r="Q560"/>
      <c r="R560"/>
      <c r="S560"/>
      <c r="T560"/>
      <c r="U560"/>
      <c r="V560"/>
      <c r="W560"/>
      <c r="X560"/>
      <c r="Y560"/>
      <c r="Z560"/>
      <c r="AA560"/>
      <c r="AB560"/>
      <c r="AC560"/>
      <c r="AD560" s="161"/>
      <c r="AE560" s="161"/>
      <c r="AF560" s="161"/>
      <c r="AG560" s="164"/>
      <c r="AH560"/>
      <c r="AI560"/>
      <c r="AJ560" s="164"/>
      <c r="AK560"/>
      <c r="AL560" s="177"/>
      <c r="AM560" s="161"/>
      <c r="AN560" s="161"/>
      <c r="AO560" s="161"/>
      <c r="AP560" s="161"/>
    </row>
    <row r="561" spans="1:42" s="119" customFormat="1">
      <c r="A561"/>
      <c r="B561"/>
      <c r="C561"/>
      <c r="D561"/>
      <c r="E561"/>
      <c r="F561"/>
      <c r="G561" s="239"/>
      <c r="H561"/>
      <c r="I561"/>
      <c r="J561"/>
      <c r="K561"/>
      <c r="L561"/>
      <c r="M561"/>
      <c r="N561"/>
      <c r="O561"/>
      <c r="P561"/>
      <c r="Q561"/>
      <c r="R561"/>
      <c r="S561"/>
      <c r="T561"/>
      <c r="U561"/>
      <c r="V561"/>
      <c r="W561"/>
      <c r="X561"/>
      <c r="Y561"/>
      <c r="Z561"/>
      <c r="AA561"/>
      <c r="AB561"/>
      <c r="AC561"/>
      <c r="AD561" s="161"/>
      <c r="AE561" s="161"/>
      <c r="AF561" s="161"/>
      <c r="AG561" s="164"/>
      <c r="AH561"/>
      <c r="AI561"/>
      <c r="AJ561" s="164"/>
      <c r="AK561"/>
      <c r="AL561" s="177"/>
      <c r="AM561" s="161"/>
      <c r="AN561" s="161"/>
      <c r="AO561" s="161"/>
      <c r="AP561" s="161"/>
    </row>
    <row r="562" spans="1:42" s="119" customFormat="1">
      <c r="A562"/>
      <c r="B562"/>
      <c r="C562"/>
      <c r="D562"/>
      <c r="E562"/>
      <c r="F562"/>
      <c r="G562" s="239"/>
      <c r="H562"/>
      <c r="I562"/>
      <c r="J562"/>
      <c r="K562"/>
      <c r="L562"/>
      <c r="M562"/>
      <c r="N562"/>
      <c r="O562"/>
      <c r="P562"/>
      <c r="Q562"/>
      <c r="R562"/>
      <c r="S562"/>
      <c r="T562"/>
      <c r="U562"/>
      <c r="V562"/>
      <c r="W562"/>
      <c r="X562"/>
      <c r="Y562"/>
      <c r="Z562"/>
      <c r="AA562"/>
      <c r="AB562"/>
      <c r="AC562"/>
      <c r="AD562" s="161"/>
      <c r="AE562" s="161"/>
      <c r="AF562" s="161"/>
      <c r="AG562" s="164"/>
      <c r="AH562"/>
      <c r="AI562"/>
      <c r="AJ562" s="164"/>
      <c r="AK562"/>
      <c r="AL562" s="177"/>
      <c r="AM562" s="161"/>
      <c r="AN562" s="161"/>
      <c r="AO562" s="161"/>
      <c r="AP562" s="161"/>
    </row>
    <row r="563" spans="1:42" s="119" customFormat="1">
      <c r="A563"/>
      <c r="B563"/>
      <c r="C563"/>
      <c r="D563"/>
      <c r="E563"/>
      <c r="F563"/>
      <c r="G563" s="239"/>
      <c r="H563"/>
      <c r="I563"/>
      <c r="J563"/>
      <c r="K563"/>
      <c r="L563"/>
      <c r="M563"/>
      <c r="N563"/>
      <c r="O563"/>
      <c r="P563"/>
      <c r="Q563"/>
      <c r="R563"/>
      <c r="S563"/>
      <c r="T563"/>
      <c r="U563"/>
      <c r="V563"/>
      <c r="W563"/>
      <c r="X563"/>
      <c r="Y563"/>
      <c r="Z563"/>
      <c r="AA563"/>
      <c r="AB563"/>
      <c r="AC563"/>
      <c r="AD563" s="161"/>
      <c r="AE563" s="161"/>
      <c r="AF563" s="161"/>
      <c r="AG563" s="164"/>
      <c r="AH563"/>
      <c r="AI563"/>
      <c r="AJ563" s="164"/>
      <c r="AK563"/>
      <c r="AL563" s="177"/>
      <c r="AM563" s="161"/>
      <c r="AN563" s="161"/>
      <c r="AO563" s="161"/>
      <c r="AP563" s="161"/>
    </row>
    <row r="564" spans="1:42" s="119" customFormat="1">
      <c r="A564"/>
      <c r="B564"/>
      <c r="C564"/>
      <c r="D564"/>
      <c r="E564"/>
      <c r="F564"/>
      <c r="G564" s="239"/>
      <c r="H564"/>
      <c r="I564"/>
      <c r="J564"/>
      <c r="K564"/>
      <c r="L564"/>
      <c r="M564"/>
      <c r="N564"/>
      <c r="O564"/>
      <c r="P564"/>
      <c r="Q564"/>
      <c r="R564"/>
      <c r="S564"/>
      <c r="T564"/>
      <c r="U564"/>
      <c r="V564"/>
      <c r="W564"/>
      <c r="X564"/>
      <c r="Y564"/>
      <c r="Z564"/>
      <c r="AA564"/>
      <c r="AB564"/>
      <c r="AC564"/>
      <c r="AD564" s="161"/>
      <c r="AE564" s="161"/>
      <c r="AF564" s="161"/>
      <c r="AG564" s="164"/>
      <c r="AH564"/>
      <c r="AI564"/>
      <c r="AJ564" s="164"/>
      <c r="AK564"/>
      <c r="AL564" s="177"/>
      <c r="AM564" s="161"/>
      <c r="AN564" s="161"/>
      <c r="AO564" s="161"/>
      <c r="AP564" s="161"/>
    </row>
    <row r="565" spans="1:42" s="119" customFormat="1">
      <c r="A565"/>
      <c r="B565"/>
      <c r="C565"/>
      <c r="D565"/>
      <c r="E565"/>
      <c r="F565"/>
      <c r="G565" s="239"/>
      <c r="H565"/>
      <c r="I565"/>
      <c r="J565"/>
      <c r="K565"/>
      <c r="L565"/>
      <c r="M565"/>
      <c r="N565"/>
      <c r="O565"/>
      <c r="P565"/>
      <c r="Q565"/>
      <c r="R565"/>
      <c r="S565"/>
      <c r="T565"/>
      <c r="U565"/>
      <c r="V565"/>
      <c r="W565"/>
      <c r="X565"/>
      <c r="Y565"/>
      <c r="Z565"/>
      <c r="AA565"/>
      <c r="AB565"/>
      <c r="AC565"/>
      <c r="AD565" s="161"/>
      <c r="AE565" s="161"/>
      <c r="AF565" s="161"/>
      <c r="AG565" s="164"/>
      <c r="AH565"/>
      <c r="AI565"/>
      <c r="AJ565" s="164"/>
      <c r="AK565"/>
      <c r="AL565" s="177"/>
      <c r="AM565" s="161"/>
      <c r="AN565" s="161"/>
      <c r="AO565" s="161"/>
      <c r="AP565" s="161"/>
    </row>
    <row r="566" spans="1:42" s="119" customFormat="1">
      <c r="A566"/>
      <c r="B566"/>
      <c r="C566"/>
      <c r="D566"/>
      <c r="E566"/>
      <c r="F566"/>
      <c r="G566" s="239"/>
      <c r="H566"/>
      <c r="I566"/>
      <c r="J566"/>
      <c r="K566"/>
      <c r="L566"/>
      <c r="M566"/>
      <c r="N566"/>
      <c r="O566"/>
      <c r="P566"/>
      <c r="Q566"/>
      <c r="R566"/>
      <c r="S566"/>
      <c r="T566"/>
      <c r="U566"/>
      <c r="V566"/>
      <c r="W566"/>
      <c r="X566"/>
      <c r="Y566"/>
      <c r="Z566"/>
      <c r="AA566"/>
      <c r="AB566"/>
      <c r="AC566"/>
      <c r="AD566" s="161"/>
      <c r="AE566" s="161"/>
      <c r="AF566" s="161"/>
      <c r="AG566" s="164"/>
      <c r="AH566"/>
      <c r="AI566"/>
      <c r="AJ566" s="164"/>
      <c r="AK566"/>
      <c r="AL566" s="177"/>
      <c r="AM566" s="161"/>
      <c r="AN566" s="161"/>
      <c r="AO566" s="161"/>
      <c r="AP566" s="161"/>
    </row>
    <row r="567" spans="1:42" s="119" customFormat="1">
      <c r="A567"/>
      <c r="B567"/>
      <c r="C567"/>
      <c r="D567"/>
      <c r="E567"/>
      <c r="F567"/>
      <c r="G567" s="239"/>
      <c r="H567"/>
      <c r="I567"/>
      <c r="J567"/>
      <c r="K567"/>
      <c r="L567"/>
      <c r="M567"/>
      <c r="N567"/>
      <c r="O567"/>
      <c r="P567"/>
      <c r="Q567"/>
      <c r="R567"/>
      <c r="S567"/>
      <c r="T567"/>
      <c r="U567"/>
      <c r="V567"/>
      <c r="W567"/>
      <c r="X567"/>
      <c r="Y567"/>
      <c r="Z567"/>
      <c r="AA567"/>
      <c r="AB567"/>
      <c r="AC567"/>
      <c r="AD567" s="161"/>
      <c r="AE567" s="161"/>
      <c r="AF567" s="161"/>
      <c r="AG567" s="164"/>
      <c r="AH567"/>
      <c r="AI567"/>
      <c r="AJ567" s="164"/>
      <c r="AK567"/>
      <c r="AL567" s="177"/>
      <c r="AM567" s="161"/>
      <c r="AN567" s="161"/>
      <c r="AO567" s="161"/>
      <c r="AP567" s="161"/>
    </row>
    <row r="568" spans="1:42" s="119" customFormat="1">
      <c r="A568"/>
      <c r="B568"/>
      <c r="C568"/>
      <c r="D568"/>
      <c r="E568"/>
      <c r="F568"/>
      <c r="G568" s="239"/>
      <c r="H568"/>
      <c r="I568"/>
      <c r="J568"/>
      <c r="K568"/>
      <c r="L568"/>
      <c r="M568"/>
      <c r="N568"/>
      <c r="O568"/>
      <c r="P568"/>
      <c r="Q568"/>
      <c r="R568"/>
      <c r="S568"/>
      <c r="T568"/>
      <c r="U568"/>
      <c r="V568"/>
      <c r="W568"/>
      <c r="X568"/>
      <c r="Y568"/>
      <c r="Z568"/>
      <c r="AA568"/>
      <c r="AB568"/>
      <c r="AC568"/>
      <c r="AD568" s="161"/>
      <c r="AE568" s="161"/>
      <c r="AF568" s="161"/>
      <c r="AG568" s="164"/>
      <c r="AH568"/>
      <c r="AI568"/>
      <c r="AJ568" s="164"/>
      <c r="AK568"/>
      <c r="AL568" s="177"/>
      <c r="AM568" s="161"/>
      <c r="AN568" s="161"/>
      <c r="AO568" s="161"/>
      <c r="AP568" s="161"/>
    </row>
    <row r="569" spans="1:42" s="119" customFormat="1">
      <c r="A569"/>
      <c r="B569"/>
      <c r="C569"/>
      <c r="D569"/>
      <c r="E569"/>
      <c r="F569"/>
      <c r="G569" s="239"/>
      <c r="H569"/>
      <c r="I569"/>
      <c r="J569"/>
      <c r="K569"/>
      <c r="L569"/>
      <c r="M569"/>
      <c r="N569"/>
      <c r="O569"/>
      <c r="P569"/>
      <c r="Q569"/>
      <c r="R569"/>
      <c r="S569"/>
      <c r="T569"/>
      <c r="U569"/>
      <c r="V569"/>
      <c r="W569"/>
      <c r="X569"/>
      <c r="Y569"/>
      <c r="Z569"/>
      <c r="AA569"/>
      <c r="AB569"/>
      <c r="AC569"/>
      <c r="AD569" s="161"/>
      <c r="AE569" s="161"/>
      <c r="AF569" s="161"/>
      <c r="AG569" s="164"/>
      <c r="AH569"/>
      <c r="AI569"/>
      <c r="AJ569" s="164"/>
      <c r="AK569"/>
      <c r="AL569" s="177"/>
      <c r="AM569" s="161"/>
      <c r="AN569" s="161"/>
      <c r="AO569" s="161"/>
      <c r="AP569" s="161"/>
    </row>
    <row r="570" spans="1:42" s="119" customFormat="1">
      <c r="A570"/>
      <c r="B570"/>
      <c r="C570"/>
      <c r="D570"/>
      <c r="E570"/>
      <c r="F570"/>
      <c r="G570" s="239"/>
      <c r="H570"/>
      <c r="I570"/>
      <c r="J570"/>
      <c r="K570"/>
      <c r="L570"/>
      <c r="M570"/>
      <c r="N570"/>
      <c r="O570"/>
      <c r="P570"/>
      <c r="Q570"/>
      <c r="R570"/>
      <c r="S570"/>
      <c r="T570"/>
      <c r="U570"/>
      <c r="V570"/>
      <c r="W570"/>
      <c r="X570"/>
      <c r="Y570"/>
      <c r="Z570"/>
      <c r="AA570"/>
      <c r="AB570"/>
      <c r="AC570"/>
      <c r="AD570" s="161"/>
      <c r="AE570" s="161"/>
      <c r="AF570" s="161"/>
      <c r="AG570" s="164"/>
      <c r="AH570"/>
      <c r="AI570"/>
      <c r="AJ570" s="164"/>
      <c r="AK570"/>
      <c r="AL570" s="177"/>
      <c r="AM570" s="161"/>
      <c r="AN570" s="161"/>
      <c r="AO570" s="161"/>
      <c r="AP570" s="161"/>
    </row>
    <row r="571" spans="1:42" s="119" customFormat="1">
      <c r="A571"/>
      <c r="B571"/>
      <c r="C571"/>
      <c r="D571"/>
      <c r="E571"/>
      <c r="F571"/>
      <c r="G571" s="239"/>
      <c r="H571"/>
      <c r="I571"/>
      <c r="J571"/>
      <c r="K571"/>
      <c r="L571"/>
      <c r="M571"/>
      <c r="N571"/>
      <c r="O571"/>
      <c r="P571"/>
      <c r="Q571"/>
      <c r="R571"/>
      <c r="S571"/>
      <c r="T571"/>
      <c r="U571"/>
      <c r="V571"/>
      <c r="W571"/>
      <c r="X571"/>
      <c r="Y571"/>
      <c r="Z571"/>
      <c r="AA571"/>
      <c r="AB571"/>
      <c r="AC571"/>
      <c r="AD571" s="161"/>
      <c r="AE571" s="161"/>
      <c r="AF571" s="161"/>
      <c r="AG571" s="164"/>
      <c r="AH571"/>
      <c r="AI571"/>
      <c r="AJ571" s="164"/>
      <c r="AK571"/>
      <c r="AL571" s="177"/>
      <c r="AM571" s="161"/>
      <c r="AN571" s="161"/>
      <c r="AO571" s="161"/>
      <c r="AP571" s="161"/>
    </row>
    <row r="572" spans="1:42" s="119" customFormat="1">
      <c r="A572"/>
      <c r="B572"/>
      <c r="C572"/>
      <c r="D572"/>
      <c r="E572"/>
      <c r="F572"/>
      <c r="G572" s="239"/>
      <c r="H572"/>
      <c r="I572"/>
      <c r="J572"/>
      <c r="K572"/>
      <c r="L572"/>
      <c r="M572"/>
      <c r="N572"/>
      <c r="O572"/>
      <c r="P572"/>
      <c r="Q572"/>
      <c r="R572"/>
      <c r="S572"/>
      <c r="T572"/>
      <c r="U572"/>
      <c r="V572"/>
      <c r="W572"/>
      <c r="X572"/>
      <c r="Y572"/>
      <c r="Z572"/>
      <c r="AA572"/>
      <c r="AB572"/>
      <c r="AC572"/>
      <c r="AD572" s="161"/>
      <c r="AE572" s="161"/>
      <c r="AF572" s="161"/>
      <c r="AG572" s="164"/>
      <c r="AH572"/>
      <c r="AI572"/>
      <c r="AJ572" s="164"/>
      <c r="AK572"/>
      <c r="AL572" s="177"/>
      <c r="AM572" s="161"/>
      <c r="AN572" s="161"/>
      <c r="AO572" s="161"/>
      <c r="AP572" s="161"/>
    </row>
    <row r="573" spans="1:42" s="119" customFormat="1">
      <c r="A573"/>
      <c r="B573"/>
      <c r="C573"/>
      <c r="D573"/>
      <c r="E573"/>
      <c r="F573"/>
      <c r="G573" s="239"/>
      <c r="H573"/>
      <c r="I573"/>
      <c r="J573"/>
      <c r="K573"/>
      <c r="L573"/>
      <c r="M573"/>
      <c r="N573"/>
      <c r="O573"/>
      <c r="P573"/>
      <c r="Q573"/>
      <c r="R573"/>
      <c r="S573"/>
      <c r="T573"/>
      <c r="U573"/>
      <c r="V573"/>
      <c r="W573"/>
      <c r="X573"/>
      <c r="Y573"/>
      <c r="Z573"/>
      <c r="AA573"/>
      <c r="AB573"/>
      <c r="AC573"/>
      <c r="AD573" s="161"/>
      <c r="AE573" s="161"/>
      <c r="AF573" s="161"/>
      <c r="AG573" s="164"/>
      <c r="AH573"/>
      <c r="AI573"/>
      <c r="AJ573" s="164"/>
      <c r="AK573"/>
      <c r="AL573" s="177"/>
      <c r="AM573" s="161"/>
      <c r="AN573" s="161"/>
      <c r="AO573" s="161"/>
      <c r="AP573" s="161"/>
    </row>
    <row r="574" spans="1:42" s="119" customFormat="1">
      <c r="A574"/>
      <c r="B574"/>
      <c r="C574"/>
      <c r="D574"/>
      <c r="E574"/>
      <c r="F574"/>
      <c r="G574" s="239"/>
      <c r="H574"/>
      <c r="I574"/>
      <c r="J574"/>
      <c r="K574"/>
      <c r="L574"/>
      <c r="M574"/>
      <c r="N574"/>
      <c r="O574"/>
      <c r="P574"/>
      <c r="Q574"/>
      <c r="R574"/>
      <c r="S574"/>
      <c r="T574"/>
      <c r="U574"/>
      <c r="V574"/>
      <c r="W574"/>
      <c r="X574"/>
      <c r="Y574"/>
      <c r="Z574"/>
      <c r="AA574"/>
      <c r="AB574"/>
      <c r="AC574"/>
      <c r="AD574" s="161"/>
      <c r="AE574" s="161"/>
      <c r="AF574" s="161"/>
      <c r="AG574" s="164"/>
      <c r="AH574"/>
      <c r="AI574"/>
      <c r="AJ574" s="164"/>
      <c r="AK574"/>
      <c r="AL574" s="177"/>
      <c r="AM574" s="161"/>
      <c r="AN574" s="161"/>
      <c r="AO574" s="161"/>
      <c r="AP574" s="161"/>
    </row>
    <row r="575" spans="1:42" s="119" customFormat="1">
      <c r="A575"/>
      <c r="B575"/>
      <c r="C575"/>
      <c r="D575"/>
      <c r="E575"/>
      <c r="F575"/>
      <c r="G575" s="239"/>
      <c r="H575"/>
      <c r="I575"/>
      <c r="J575"/>
      <c r="K575"/>
      <c r="L575"/>
      <c r="M575"/>
      <c r="N575"/>
      <c r="O575"/>
      <c r="P575"/>
      <c r="Q575"/>
      <c r="R575"/>
      <c r="S575"/>
      <c r="T575"/>
      <c r="U575"/>
      <c r="V575"/>
      <c r="W575"/>
      <c r="X575"/>
      <c r="Y575"/>
      <c r="Z575"/>
      <c r="AA575"/>
      <c r="AB575"/>
      <c r="AC575"/>
      <c r="AD575" s="161"/>
      <c r="AE575" s="161"/>
      <c r="AF575" s="161"/>
      <c r="AG575" s="164"/>
      <c r="AH575"/>
      <c r="AI575"/>
      <c r="AJ575" s="164"/>
      <c r="AK575"/>
      <c r="AL575" s="177"/>
      <c r="AM575" s="161"/>
      <c r="AN575" s="161"/>
      <c r="AO575" s="161"/>
      <c r="AP575" s="161"/>
    </row>
    <row r="576" spans="1:42" s="119" customFormat="1">
      <c r="A576"/>
      <c r="B576"/>
      <c r="C576"/>
      <c r="D576"/>
      <c r="E576"/>
      <c r="F576"/>
      <c r="G576" s="239"/>
      <c r="H576"/>
      <c r="I576"/>
      <c r="J576"/>
      <c r="K576"/>
      <c r="L576"/>
      <c r="M576"/>
      <c r="N576"/>
      <c r="O576"/>
      <c r="P576"/>
      <c r="Q576"/>
      <c r="R576"/>
      <c r="S576"/>
      <c r="T576"/>
      <c r="U576"/>
      <c r="V576"/>
      <c r="W576"/>
      <c r="X576"/>
      <c r="Y576"/>
      <c r="Z576"/>
      <c r="AA576"/>
      <c r="AB576"/>
      <c r="AC576"/>
      <c r="AD576" s="161"/>
      <c r="AE576" s="161"/>
      <c r="AF576" s="161"/>
      <c r="AG576" s="164"/>
      <c r="AH576"/>
      <c r="AI576"/>
      <c r="AJ576" s="164"/>
      <c r="AK576"/>
      <c r="AL576" s="177"/>
      <c r="AM576" s="161"/>
      <c r="AN576" s="161"/>
      <c r="AO576" s="161"/>
      <c r="AP576" s="161"/>
    </row>
    <row r="577" spans="1:42" s="119" customFormat="1">
      <c r="A577"/>
      <c r="B577"/>
      <c r="C577"/>
      <c r="D577"/>
      <c r="E577"/>
      <c r="F577"/>
      <c r="G577" s="239"/>
      <c r="H577"/>
      <c r="I577"/>
      <c r="J577"/>
      <c r="K577"/>
      <c r="L577"/>
      <c r="M577"/>
      <c r="N577"/>
      <c r="O577"/>
      <c r="P577"/>
      <c r="Q577"/>
      <c r="R577"/>
      <c r="S577"/>
      <c r="T577"/>
      <c r="U577"/>
      <c r="V577"/>
      <c r="W577"/>
      <c r="X577"/>
      <c r="Y577"/>
      <c r="Z577"/>
      <c r="AA577"/>
      <c r="AB577"/>
      <c r="AC577"/>
      <c r="AD577" s="161"/>
      <c r="AE577" s="161"/>
      <c r="AF577" s="161"/>
      <c r="AG577" s="164"/>
      <c r="AH577"/>
      <c r="AI577"/>
      <c r="AJ577" s="164"/>
      <c r="AK577"/>
      <c r="AL577" s="177"/>
      <c r="AM577" s="161"/>
      <c r="AN577" s="161"/>
      <c r="AO577" s="161"/>
      <c r="AP577" s="161"/>
    </row>
    <row r="578" spans="1:42" s="119" customFormat="1">
      <c r="A578"/>
      <c r="B578"/>
      <c r="C578"/>
      <c r="D578"/>
      <c r="E578"/>
      <c r="F578"/>
      <c r="G578" s="239"/>
      <c r="H578"/>
      <c r="I578"/>
      <c r="J578"/>
      <c r="K578"/>
      <c r="L578"/>
      <c r="M578"/>
      <c r="N578"/>
      <c r="O578"/>
      <c r="P578"/>
      <c r="Q578"/>
      <c r="R578"/>
      <c r="S578"/>
      <c r="T578"/>
      <c r="U578"/>
      <c r="V578"/>
      <c r="W578"/>
      <c r="X578"/>
      <c r="Y578"/>
      <c r="Z578"/>
      <c r="AA578"/>
      <c r="AB578"/>
      <c r="AC578"/>
      <c r="AD578" s="161"/>
      <c r="AE578" s="161"/>
      <c r="AF578" s="161"/>
      <c r="AG578" s="164"/>
      <c r="AH578"/>
      <c r="AI578"/>
      <c r="AJ578" s="164"/>
      <c r="AK578"/>
      <c r="AL578" s="177"/>
      <c r="AM578" s="161"/>
      <c r="AN578" s="161"/>
      <c r="AO578" s="161"/>
      <c r="AP578" s="161"/>
    </row>
    <row r="579" spans="1:42" s="119" customFormat="1">
      <c r="A579"/>
      <c r="B579"/>
      <c r="C579"/>
      <c r="D579"/>
      <c r="E579"/>
      <c r="F579"/>
      <c r="G579" s="239"/>
      <c r="H579"/>
      <c r="I579"/>
      <c r="J579"/>
      <c r="K579"/>
      <c r="L579"/>
      <c r="M579"/>
      <c r="N579"/>
      <c r="O579"/>
      <c r="P579"/>
      <c r="Q579"/>
      <c r="R579"/>
      <c r="S579"/>
      <c r="T579"/>
      <c r="U579"/>
      <c r="V579"/>
      <c r="W579"/>
      <c r="X579"/>
      <c r="Y579"/>
      <c r="Z579"/>
      <c r="AA579"/>
      <c r="AB579"/>
      <c r="AC579"/>
      <c r="AD579" s="161"/>
      <c r="AE579" s="161"/>
      <c r="AF579" s="161"/>
      <c r="AG579" s="164"/>
      <c r="AH579"/>
      <c r="AI579"/>
      <c r="AJ579" s="164"/>
      <c r="AK579"/>
      <c r="AL579" s="177"/>
      <c r="AM579" s="161"/>
      <c r="AN579" s="161"/>
      <c r="AO579" s="161"/>
      <c r="AP579" s="161"/>
    </row>
    <row r="580" spans="1:42" s="119" customFormat="1">
      <c r="A580"/>
      <c r="B580"/>
      <c r="C580"/>
      <c r="D580"/>
      <c r="E580"/>
      <c r="F580"/>
      <c r="G580" s="239"/>
      <c r="H580"/>
      <c r="I580"/>
      <c r="J580"/>
      <c r="K580"/>
      <c r="L580"/>
      <c r="M580"/>
      <c r="N580"/>
      <c r="O580"/>
      <c r="P580"/>
      <c r="Q580"/>
      <c r="R580"/>
      <c r="S580"/>
      <c r="T580"/>
      <c r="U580"/>
      <c r="V580"/>
      <c r="W580"/>
      <c r="X580"/>
      <c r="Y580"/>
      <c r="Z580"/>
      <c r="AA580"/>
      <c r="AB580"/>
      <c r="AC580"/>
      <c r="AD580" s="161"/>
      <c r="AE580" s="161"/>
      <c r="AF580" s="161"/>
      <c r="AG580" s="164"/>
      <c r="AH580"/>
      <c r="AI580"/>
      <c r="AJ580" s="164"/>
      <c r="AK580"/>
      <c r="AL580" s="177"/>
      <c r="AM580" s="161"/>
      <c r="AN580" s="161"/>
      <c r="AO580" s="161"/>
      <c r="AP580" s="161"/>
    </row>
    <row r="581" spans="1:42" s="119" customFormat="1">
      <c r="A581"/>
      <c r="B581"/>
      <c r="C581"/>
      <c r="D581"/>
      <c r="E581"/>
      <c r="F581"/>
      <c r="G581" s="239"/>
      <c r="H581"/>
      <c r="I581"/>
      <c r="J581"/>
      <c r="K581"/>
      <c r="L581"/>
      <c r="M581"/>
      <c r="N581"/>
      <c r="O581"/>
      <c r="P581"/>
      <c r="Q581"/>
      <c r="R581"/>
      <c r="S581"/>
      <c r="T581"/>
      <c r="U581"/>
      <c r="V581"/>
      <c r="W581"/>
      <c r="X581"/>
      <c r="Y581"/>
      <c r="Z581"/>
      <c r="AA581"/>
      <c r="AB581"/>
      <c r="AC581"/>
      <c r="AD581" s="161"/>
      <c r="AE581" s="161"/>
      <c r="AF581" s="161"/>
      <c r="AG581" s="164"/>
      <c r="AH581"/>
      <c r="AI581"/>
      <c r="AJ581" s="164"/>
      <c r="AK581"/>
      <c r="AL581" s="177"/>
      <c r="AM581" s="161"/>
      <c r="AN581" s="161"/>
      <c r="AO581" s="161"/>
      <c r="AP581" s="161"/>
    </row>
    <row r="582" spans="1:42" s="119" customFormat="1">
      <c r="A582"/>
      <c r="B582"/>
      <c r="C582"/>
      <c r="D582"/>
      <c r="E582"/>
      <c r="F582"/>
      <c r="G582" s="239"/>
      <c r="H582"/>
      <c r="I582"/>
      <c r="J582"/>
      <c r="K582"/>
      <c r="L582"/>
      <c r="M582"/>
      <c r="N582"/>
      <c r="O582"/>
      <c r="P582"/>
      <c r="Q582"/>
      <c r="R582"/>
      <c r="S582"/>
      <c r="T582"/>
      <c r="U582"/>
      <c r="V582"/>
      <c r="W582"/>
      <c r="X582"/>
      <c r="Y582"/>
      <c r="Z582"/>
      <c r="AA582"/>
      <c r="AB582"/>
      <c r="AC582"/>
      <c r="AD582" s="161"/>
      <c r="AE582" s="161"/>
      <c r="AF582" s="161"/>
      <c r="AG582" s="164"/>
      <c r="AH582"/>
      <c r="AI582"/>
      <c r="AJ582" s="164"/>
      <c r="AK582"/>
      <c r="AL582" s="177"/>
      <c r="AM582" s="161"/>
      <c r="AN582" s="161"/>
      <c r="AO582" s="161"/>
      <c r="AP582" s="161"/>
    </row>
    <row r="583" spans="1:42" s="119" customFormat="1">
      <c r="A583"/>
      <c r="B583"/>
      <c r="C583"/>
      <c r="D583"/>
      <c r="E583"/>
      <c r="F583"/>
      <c r="G583" s="239"/>
      <c r="H583"/>
      <c r="I583"/>
      <c r="J583"/>
      <c r="K583"/>
      <c r="L583"/>
      <c r="M583"/>
      <c r="N583"/>
      <c r="O583"/>
      <c r="P583"/>
      <c r="Q583"/>
      <c r="R583"/>
      <c r="S583"/>
      <c r="T583"/>
      <c r="U583"/>
      <c r="V583"/>
      <c r="W583"/>
      <c r="X583"/>
      <c r="Y583"/>
      <c r="Z583"/>
      <c r="AA583"/>
      <c r="AB583"/>
      <c r="AC583"/>
      <c r="AD583" s="161"/>
      <c r="AE583" s="161"/>
      <c r="AF583" s="161"/>
      <c r="AG583" s="164"/>
      <c r="AH583"/>
      <c r="AI583"/>
      <c r="AJ583" s="164"/>
      <c r="AK583"/>
      <c r="AL583" s="177"/>
      <c r="AM583" s="161"/>
      <c r="AN583" s="161"/>
      <c r="AO583" s="161"/>
      <c r="AP583" s="161"/>
    </row>
    <row r="584" spans="1:42" s="119" customFormat="1">
      <c r="A584"/>
      <c r="B584"/>
      <c r="C584"/>
      <c r="D584"/>
      <c r="E584"/>
      <c r="F584"/>
      <c r="G584" s="239"/>
      <c r="H584"/>
      <c r="I584"/>
      <c r="J584"/>
      <c r="K584"/>
      <c r="L584"/>
      <c r="M584"/>
      <c r="N584"/>
      <c r="O584"/>
      <c r="P584"/>
      <c r="Q584"/>
      <c r="R584"/>
      <c r="S584"/>
      <c r="T584"/>
      <c r="U584"/>
      <c r="V584"/>
      <c r="W584"/>
      <c r="X584"/>
      <c r="Y584"/>
      <c r="Z584"/>
      <c r="AA584"/>
      <c r="AB584"/>
      <c r="AC584"/>
      <c r="AD584" s="161"/>
      <c r="AE584" s="161"/>
      <c r="AF584" s="161"/>
      <c r="AG584" s="164"/>
      <c r="AH584"/>
      <c r="AI584"/>
      <c r="AJ584" s="164"/>
      <c r="AK584"/>
      <c r="AL584" s="177"/>
      <c r="AM584" s="161"/>
      <c r="AN584" s="161"/>
      <c r="AO584" s="161"/>
      <c r="AP584" s="161"/>
    </row>
    <row r="585" spans="1:42" s="119" customFormat="1">
      <c r="A585"/>
      <c r="B585"/>
      <c r="C585"/>
      <c r="D585"/>
      <c r="E585"/>
      <c r="F585"/>
      <c r="G585" s="239"/>
      <c r="H585"/>
      <c r="I585"/>
      <c r="J585"/>
      <c r="K585"/>
      <c r="L585"/>
      <c r="M585"/>
      <c r="N585"/>
      <c r="O585"/>
      <c r="P585"/>
      <c r="Q585"/>
      <c r="R585"/>
      <c r="S585"/>
      <c r="T585"/>
      <c r="U585"/>
      <c r="V585"/>
      <c r="W585"/>
      <c r="X585"/>
      <c r="Y585"/>
      <c r="Z585"/>
      <c r="AA585"/>
      <c r="AB585"/>
      <c r="AC585"/>
      <c r="AD585" s="161"/>
      <c r="AE585" s="161"/>
      <c r="AF585" s="161"/>
      <c r="AG585" s="164"/>
      <c r="AH585"/>
      <c r="AI585"/>
      <c r="AJ585" s="164"/>
      <c r="AK585"/>
      <c r="AL585" s="177"/>
      <c r="AM585" s="161"/>
      <c r="AN585" s="161"/>
      <c r="AO585" s="161"/>
      <c r="AP585" s="161"/>
    </row>
    <row r="586" spans="1:42" s="119" customFormat="1">
      <c r="A586"/>
      <c r="B586"/>
      <c r="C586"/>
      <c r="D586"/>
      <c r="E586"/>
      <c r="F586"/>
      <c r="G586" s="239"/>
      <c r="H586"/>
      <c r="I586"/>
      <c r="J586"/>
      <c r="K586"/>
      <c r="L586"/>
      <c r="M586"/>
      <c r="N586"/>
      <c r="O586"/>
      <c r="P586"/>
      <c r="Q586"/>
      <c r="R586"/>
      <c r="S586"/>
      <c r="T586"/>
      <c r="U586"/>
      <c r="V586"/>
      <c r="W586"/>
      <c r="X586"/>
      <c r="Y586"/>
      <c r="Z586"/>
      <c r="AA586"/>
      <c r="AB586"/>
      <c r="AC586"/>
      <c r="AD586" s="161"/>
      <c r="AE586" s="161"/>
      <c r="AF586" s="161"/>
      <c r="AG586" s="164"/>
      <c r="AH586"/>
      <c r="AI586"/>
      <c r="AJ586" s="164"/>
      <c r="AK586"/>
      <c r="AL586" s="177"/>
      <c r="AM586" s="161"/>
      <c r="AN586" s="161"/>
      <c r="AO586" s="161"/>
      <c r="AP586" s="161"/>
    </row>
    <row r="587" spans="1:42" s="119" customFormat="1">
      <c r="A587"/>
      <c r="B587"/>
      <c r="C587"/>
      <c r="D587"/>
      <c r="E587"/>
      <c r="F587"/>
      <c r="G587" s="239"/>
      <c r="H587"/>
      <c r="I587"/>
      <c r="J587"/>
      <c r="K587"/>
      <c r="L587"/>
      <c r="M587"/>
      <c r="N587"/>
      <c r="O587"/>
      <c r="P587"/>
      <c r="Q587"/>
      <c r="R587"/>
      <c r="S587"/>
      <c r="T587"/>
      <c r="U587"/>
      <c r="V587"/>
      <c r="W587"/>
      <c r="X587"/>
      <c r="Y587"/>
      <c r="Z587"/>
      <c r="AA587"/>
      <c r="AB587"/>
      <c r="AC587"/>
      <c r="AD587" s="161"/>
      <c r="AE587" s="161"/>
      <c r="AF587" s="161"/>
      <c r="AG587" s="164"/>
      <c r="AH587"/>
      <c r="AI587"/>
      <c r="AJ587" s="164"/>
      <c r="AK587"/>
      <c r="AL587" s="177"/>
      <c r="AM587" s="161"/>
      <c r="AN587" s="161"/>
      <c r="AO587" s="161"/>
      <c r="AP587" s="161"/>
    </row>
    <row r="588" spans="1:42" s="119" customFormat="1">
      <c r="A588"/>
      <c r="B588"/>
      <c r="C588"/>
      <c r="D588"/>
      <c r="E588"/>
      <c r="F588"/>
      <c r="G588" s="239"/>
      <c r="H588"/>
      <c r="I588"/>
      <c r="J588"/>
      <c r="K588"/>
      <c r="L588"/>
      <c r="M588"/>
      <c r="N588"/>
      <c r="O588"/>
      <c r="P588"/>
      <c r="Q588"/>
      <c r="R588"/>
      <c r="S588"/>
      <c r="T588"/>
      <c r="U588"/>
      <c r="V588"/>
      <c r="W588"/>
      <c r="X588"/>
      <c r="Y588"/>
      <c r="Z588"/>
      <c r="AA588"/>
      <c r="AB588"/>
      <c r="AC588"/>
      <c r="AD588" s="161"/>
      <c r="AE588" s="161"/>
      <c r="AF588" s="161"/>
      <c r="AG588" s="164"/>
      <c r="AH588"/>
      <c r="AI588"/>
      <c r="AJ588" s="164"/>
      <c r="AK588"/>
      <c r="AL588" s="177"/>
      <c r="AM588" s="161"/>
      <c r="AN588" s="161"/>
      <c r="AO588" s="161"/>
      <c r="AP588" s="161"/>
    </row>
    <row r="589" spans="1:42" s="119" customFormat="1">
      <c r="A589"/>
      <c r="B589"/>
      <c r="C589"/>
      <c r="D589"/>
      <c r="E589"/>
      <c r="F589"/>
      <c r="G589" s="239"/>
      <c r="H589"/>
      <c r="I589"/>
      <c r="J589"/>
      <c r="K589"/>
      <c r="L589"/>
      <c r="M589"/>
      <c r="N589"/>
      <c r="O589"/>
      <c r="P589"/>
      <c r="Q589"/>
      <c r="R589"/>
      <c r="S589"/>
      <c r="T589"/>
      <c r="U589"/>
      <c r="V589"/>
      <c r="W589"/>
      <c r="X589"/>
      <c r="Y589"/>
      <c r="Z589"/>
      <c r="AA589"/>
      <c r="AB589"/>
      <c r="AC589"/>
      <c r="AD589" s="161"/>
      <c r="AE589" s="161"/>
      <c r="AF589" s="161"/>
      <c r="AG589" s="164"/>
      <c r="AH589"/>
      <c r="AI589"/>
      <c r="AJ589" s="164"/>
      <c r="AK589"/>
      <c r="AL589" s="177"/>
      <c r="AM589" s="161"/>
      <c r="AN589" s="161"/>
      <c r="AO589" s="161"/>
      <c r="AP589" s="161"/>
    </row>
    <row r="590" spans="1:42" s="119" customFormat="1">
      <c r="A590"/>
      <c r="B590"/>
      <c r="C590"/>
      <c r="D590"/>
      <c r="E590"/>
      <c r="F590"/>
      <c r="G590" s="239"/>
      <c r="H590"/>
      <c r="I590"/>
      <c r="J590"/>
      <c r="K590"/>
      <c r="L590"/>
      <c r="M590"/>
      <c r="N590"/>
      <c r="O590"/>
      <c r="P590"/>
      <c r="Q590"/>
      <c r="R590"/>
      <c r="S590"/>
      <c r="T590"/>
      <c r="U590"/>
      <c r="V590"/>
      <c r="W590"/>
      <c r="X590"/>
      <c r="Y590"/>
      <c r="Z590"/>
      <c r="AA590"/>
      <c r="AB590"/>
      <c r="AC590"/>
      <c r="AD590" s="161"/>
      <c r="AE590" s="161"/>
      <c r="AF590" s="161"/>
      <c r="AG590" s="164"/>
      <c r="AH590"/>
      <c r="AI590"/>
      <c r="AJ590" s="164"/>
      <c r="AK590"/>
      <c r="AL590" s="177"/>
      <c r="AM590" s="161"/>
      <c r="AN590" s="161"/>
      <c r="AO590" s="161"/>
      <c r="AP590" s="161"/>
    </row>
    <row r="591" spans="1:42" s="119" customFormat="1">
      <c r="A591"/>
      <c r="B591"/>
      <c r="C591"/>
      <c r="D591"/>
      <c r="E591"/>
      <c r="F591"/>
      <c r="G591" s="239"/>
      <c r="H591"/>
      <c r="I591"/>
      <c r="J591"/>
      <c r="K591"/>
      <c r="L591"/>
      <c r="M591"/>
      <c r="N591"/>
      <c r="O591"/>
      <c r="P591"/>
      <c r="Q591"/>
      <c r="R591"/>
      <c r="S591"/>
      <c r="T591"/>
      <c r="U591"/>
      <c r="V591"/>
      <c r="W591"/>
      <c r="X591"/>
      <c r="Y591"/>
      <c r="Z591"/>
      <c r="AA591"/>
      <c r="AB591"/>
      <c r="AC591"/>
      <c r="AD591" s="161"/>
      <c r="AE591" s="161"/>
      <c r="AF591" s="161"/>
      <c r="AG591" s="164"/>
      <c r="AH591"/>
      <c r="AI591"/>
      <c r="AJ591" s="164"/>
      <c r="AK591"/>
      <c r="AL591" s="177"/>
      <c r="AM591" s="161"/>
      <c r="AN591" s="161"/>
      <c r="AO591" s="161"/>
      <c r="AP591" s="161"/>
    </row>
    <row r="592" spans="1:42" s="119" customFormat="1">
      <c r="A592"/>
      <c r="B592"/>
      <c r="C592"/>
      <c r="D592"/>
      <c r="E592"/>
      <c r="F592"/>
      <c r="G592" s="239"/>
      <c r="H592"/>
      <c r="I592"/>
      <c r="J592"/>
      <c r="K592"/>
      <c r="L592"/>
      <c r="M592"/>
      <c r="N592"/>
      <c r="O592"/>
      <c r="P592"/>
      <c r="Q592"/>
      <c r="R592"/>
      <c r="S592"/>
      <c r="T592"/>
      <c r="U592"/>
      <c r="V592"/>
      <c r="W592"/>
      <c r="X592"/>
      <c r="Y592"/>
      <c r="Z592"/>
      <c r="AA592"/>
      <c r="AB592"/>
      <c r="AC592"/>
      <c r="AD592" s="161"/>
      <c r="AE592" s="161"/>
      <c r="AF592" s="161"/>
      <c r="AG592" s="164"/>
      <c r="AH592"/>
      <c r="AI592"/>
      <c r="AJ592" s="164"/>
      <c r="AK592"/>
      <c r="AL592" s="177"/>
      <c r="AM592" s="161"/>
      <c r="AN592" s="161"/>
      <c r="AO592" s="161"/>
      <c r="AP592" s="161"/>
    </row>
    <row r="593" spans="1:42" s="119" customFormat="1">
      <c r="A593"/>
      <c r="B593"/>
      <c r="C593"/>
      <c r="D593"/>
      <c r="E593"/>
      <c r="F593"/>
      <c r="G593" s="239"/>
      <c r="H593"/>
      <c r="I593"/>
      <c r="J593"/>
      <c r="K593"/>
      <c r="L593"/>
      <c r="M593"/>
      <c r="N593"/>
      <c r="O593"/>
      <c r="P593"/>
      <c r="Q593"/>
      <c r="R593"/>
      <c r="S593"/>
      <c r="T593"/>
      <c r="U593"/>
      <c r="V593"/>
      <c r="W593"/>
      <c r="X593"/>
      <c r="Y593"/>
      <c r="Z593"/>
      <c r="AA593"/>
      <c r="AB593"/>
      <c r="AC593"/>
      <c r="AD593" s="161"/>
      <c r="AE593" s="161"/>
      <c r="AF593" s="161"/>
      <c r="AG593" s="164"/>
      <c r="AH593"/>
      <c r="AI593"/>
      <c r="AJ593" s="164"/>
      <c r="AK593"/>
      <c r="AL593" s="177"/>
      <c r="AM593" s="161"/>
      <c r="AN593" s="161"/>
      <c r="AO593" s="161"/>
      <c r="AP593" s="161"/>
    </row>
    <row r="594" spans="1:42" s="119" customFormat="1">
      <c r="A594"/>
      <c r="B594"/>
      <c r="C594"/>
      <c r="D594"/>
      <c r="E594"/>
      <c r="F594"/>
      <c r="G594" s="239"/>
      <c r="H594"/>
      <c r="I594"/>
      <c r="J594"/>
      <c r="K594"/>
      <c r="L594"/>
      <c r="M594"/>
      <c r="N594"/>
      <c r="O594"/>
      <c r="P594"/>
      <c r="Q594"/>
      <c r="R594"/>
      <c r="S594"/>
      <c r="T594"/>
      <c r="U594"/>
      <c r="V594"/>
      <c r="W594"/>
      <c r="X594"/>
      <c r="Y594"/>
      <c r="Z594"/>
      <c r="AA594"/>
      <c r="AB594"/>
      <c r="AC594"/>
      <c r="AD594" s="161"/>
      <c r="AE594" s="161"/>
      <c r="AF594" s="161"/>
      <c r="AG594" s="164"/>
      <c r="AH594"/>
      <c r="AI594"/>
      <c r="AJ594" s="164"/>
      <c r="AK594"/>
      <c r="AL594" s="177"/>
      <c r="AM594" s="161"/>
      <c r="AN594" s="161"/>
      <c r="AO594" s="161"/>
      <c r="AP594" s="161"/>
    </row>
    <row r="595" spans="1:42" s="119" customFormat="1">
      <c r="A595"/>
      <c r="B595"/>
      <c r="C595"/>
      <c r="D595"/>
      <c r="E595"/>
      <c r="F595"/>
      <c r="G595" s="239"/>
      <c r="H595"/>
      <c r="I595"/>
      <c r="J595"/>
      <c r="K595"/>
      <c r="L595"/>
      <c r="M595"/>
      <c r="N595"/>
      <c r="O595"/>
      <c r="P595"/>
      <c r="Q595"/>
      <c r="R595"/>
      <c r="S595"/>
      <c r="T595"/>
      <c r="U595"/>
      <c r="V595"/>
      <c r="W595"/>
      <c r="X595"/>
      <c r="Y595"/>
      <c r="Z595"/>
      <c r="AA595"/>
      <c r="AB595"/>
      <c r="AC595"/>
      <c r="AD595" s="161"/>
      <c r="AE595" s="161"/>
      <c r="AF595" s="161"/>
      <c r="AG595" s="164"/>
      <c r="AH595"/>
      <c r="AI595"/>
      <c r="AJ595" s="164"/>
      <c r="AK595"/>
      <c r="AL595" s="177"/>
      <c r="AM595" s="161"/>
      <c r="AN595" s="161"/>
      <c r="AO595" s="161"/>
      <c r="AP595" s="161"/>
    </row>
    <row r="596" spans="1:42" s="119" customFormat="1">
      <c r="A596"/>
      <c r="B596"/>
      <c r="C596"/>
      <c r="D596"/>
      <c r="E596"/>
      <c r="F596"/>
      <c r="G596" s="239"/>
      <c r="H596"/>
      <c r="I596"/>
      <c r="J596"/>
      <c r="K596"/>
      <c r="L596"/>
      <c r="M596"/>
      <c r="N596"/>
      <c r="O596"/>
      <c r="P596"/>
      <c r="Q596"/>
      <c r="R596"/>
      <c r="S596"/>
      <c r="T596"/>
      <c r="U596"/>
      <c r="V596"/>
      <c r="W596"/>
      <c r="X596"/>
      <c r="Y596"/>
      <c r="Z596"/>
      <c r="AA596"/>
      <c r="AB596"/>
      <c r="AC596"/>
      <c r="AD596" s="161"/>
      <c r="AE596" s="161"/>
      <c r="AF596" s="161"/>
      <c r="AG596" s="164"/>
      <c r="AH596"/>
      <c r="AI596"/>
      <c r="AJ596" s="164"/>
      <c r="AK596"/>
      <c r="AL596" s="177"/>
      <c r="AM596" s="161"/>
      <c r="AN596" s="161"/>
      <c r="AO596" s="161"/>
      <c r="AP596" s="161"/>
    </row>
    <row r="597" spans="1:42" s="119" customFormat="1">
      <c r="A597"/>
      <c r="B597"/>
      <c r="C597"/>
      <c r="D597"/>
      <c r="E597"/>
      <c r="F597"/>
      <c r="G597" s="239"/>
      <c r="H597"/>
      <c r="I597"/>
      <c r="J597"/>
      <c r="K597"/>
      <c r="L597"/>
      <c r="M597"/>
      <c r="N597"/>
      <c r="O597"/>
      <c r="P597"/>
      <c r="Q597"/>
      <c r="R597"/>
      <c r="S597"/>
      <c r="T597"/>
      <c r="U597"/>
      <c r="V597"/>
      <c r="W597"/>
      <c r="X597"/>
      <c r="Y597"/>
      <c r="Z597"/>
      <c r="AA597"/>
      <c r="AB597"/>
      <c r="AC597"/>
      <c r="AD597" s="161"/>
      <c r="AE597" s="161"/>
      <c r="AF597" s="161"/>
      <c r="AG597" s="164"/>
      <c r="AH597"/>
      <c r="AI597"/>
      <c r="AJ597" s="164"/>
      <c r="AK597"/>
      <c r="AL597" s="177"/>
      <c r="AM597" s="161"/>
      <c r="AN597" s="161"/>
      <c r="AO597" s="161"/>
      <c r="AP597" s="161"/>
    </row>
    <row r="598" spans="1:42" s="119" customFormat="1">
      <c r="A598"/>
      <c r="B598"/>
      <c r="C598"/>
      <c r="D598"/>
      <c r="E598"/>
      <c r="F598"/>
      <c r="G598" s="239"/>
      <c r="H598"/>
      <c r="I598"/>
      <c r="J598"/>
      <c r="K598"/>
      <c r="L598"/>
      <c r="M598"/>
      <c r="N598"/>
      <c r="O598"/>
      <c r="P598"/>
      <c r="Q598"/>
      <c r="R598"/>
      <c r="S598"/>
      <c r="T598"/>
      <c r="U598"/>
      <c r="V598"/>
      <c r="W598"/>
      <c r="X598"/>
      <c r="Y598"/>
      <c r="Z598"/>
      <c r="AA598"/>
      <c r="AB598"/>
      <c r="AC598"/>
      <c r="AD598" s="161"/>
      <c r="AE598" s="161"/>
      <c r="AF598" s="161"/>
      <c r="AG598" s="164"/>
      <c r="AH598"/>
      <c r="AI598"/>
      <c r="AJ598" s="164"/>
      <c r="AK598"/>
      <c r="AL598" s="177"/>
      <c r="AM598" s="161"/>
      <c r="AN598" s="161"/>
      <c r="AO598" s="161"/>
      <c r="AP598" s="161"/>
    </row>
    <row r="599" spans="1:42" s="119" customFormat="1">
      <c r="A599"/>
      <c r="B599"/>
      <c r="C599"/>
      <c r="D599"/>
      <c r="E599"/>
      <c r="F599"/>
      <c r="G599" s="239"/>
      <c r="H599"/>
      <c r="I599"/>
      <c r="J599"/>
      <c r="K599"/>
      <c r="L599"/>
      <c r="M599"/>
      <c r="N599"/>
      <c r="O599"/>
      <c r="P599"/>
      <c r="Q599"/>
      <c r="R599"/>
      <c r="S599"/>
      <c r="T599"/>
      <c r="U599"/>
      <c r="V599"/>
      <c r="W599"/>
      <c r="X599"/>
      <c r="Y599"/>
      <c r="Z599"/>
      <c r="AA599"/>
      <c r="AB599"/>
      <c r="AC599"/>
      <c r="AD599" s="161"/>
      <c r="AE599" s="161"/>
      <c r="AF599" s="161"/>
      <c r="AG599" s="164"/>
      <c r="AH599"/>
      <c r="AI599"/>
      <c r="AJ599" s="164"/>
      <c r="AK599"/>
      <c r="AL599" s="177"/>
      <c r="AM599" s="161"/>
      <c r="AN599" s="161"/>
      <c r="AO599" s="161"/>
      <c r="AP599" s="161"/>
    </row>
    <row r="600" spans="1:42" s="119" customFormat="1">
      <c r="A600"/>
      <c r="B600"/>
      <c r="C600"/>
      <c r="D600"/>
      <c r="E600"/>
      <c r="F600"/>
      <c r="G600" s="239"/>
      <c r="H600"/>
      <c r="I600"/>
      <c r="J600"/>
      <c r="K600"/>
      <c r="L600"/>
      <c r="M600"/>
      <c r="N600"/>
      <c r="O600"/>
      <c r="P600"/>
      <c r="Q600"/>
      <c r="R600"/>
      <c r="S600"/>
      <c r="T600"/>
      <c r="U600"/>
      <c r="V600"/>
      <c r="W600"/>
      <c r="X600"/>
      <c r="Y600"/>
      <c r="Z600"/>
      <c r="AA600"/>
      <c r="AB600"/>
      <c r="AC600"/>
      <c r="AD600" s="161"/>
      <c r="AE600" s="161"/>
      <c r="AF600" s="161"/>
      <c r="AG600" s="164"/>
      <c r="AH600"/>
      <c r="AI600"/>
      <c r="AJ600" s="164"/>
      <c r="AK600"/>
      <c r="AL600" s="177"/>
      <c r="AM600" s="161"/>
      <c r="AN600" s="161"/>
      <c r="AO600" s="161"/>
      <c r="AP600" s="161"/>
    </row>
    <row r="601" spans="1:42" s="119" customFormat="1">
      <c r="A601"/>
      <c r="B601"/>
      <c r="C601"/>
      <c r="D601"/>
      <c r="E601"/>
      <c r="F601"/>
      <c r="G601" s="239"/>
      <c r="H601"/>
      <c r="I601"/>
      <c r="J601"/>
      <c r="K601"/>
      <c r="L601"/>
      <c r="M601"/>
      <c r="N601"/>
      <c r="O601"/>
      <c r="P601"/>
      <c r="Q601"/>
      <c r="R601"/>
      <c r="S601"/>
      <c r="T601"/>
      <c r="U601"/>
      <c r="V601"/>
      <c r="W601"/>
      <c r="X601"/>
      <c r="Y601"/>
      <c r="Z601"/>
      <c r="AA601"/>
      <c r="AB601"/>
      <c r="AC601"/>
      <c r="AD601" s="161"/>
      <c r="AE601" s="161"/>
      <c r="AF601" s="161"/>
      <c r="AG601" s="164"/>
      <c r="AH601"/>
      <c r="AI601"/>
      <c r="AJ601" s="164"/>
      <c r="AK601"/>
      <c r="AL601" s="177"/>
      <c r="AM601" s="161"/>
      <c r="AN601" s="161"/>
      <c r="AO601" s="161"/>
      <c r="AP601" s="161"/>
    </row>
    <row r="602" spans="1:42" s="119" customFormat="1">
      <c r="A602"/>
      <c r="B602"/>
      <c r="C602"/>
      <c r="D602"/>
      <c r="E602"/>
      <c r="F602"/>
      <c r="G602" s="239"/>
      <c r="H602"/>
      <c r="I602"/>
      <c r="J602"/>
      <c r="K602"/>
      <c r="L602"/>
      <c r="M602"/>
      <c r="N602"/>
      <c r="O602"/>
      <c r="P602"/>
      <c r="Q602"/>
      <c r="R602"/>
      <c r="S602"/>
      <c r="T602"/>
      <c r="U602"/>
      <c r="V602"/>
      <c r="W602"/>
      <c r="X602"/>
      <c r="Y602"/>
      <c r="Z602"/>
      <c r="AA602"/>
      <c r="AB602"/>
      <c r="AC602"/>
      <c r="AD602" s="161"/>
      <c r="AE602" s="161"/>
      <c r="AF602" s="161"/>
      <c r="AG602" s="164"/>
      <c r="AH602"/>
      <c r="AI602"/>
      <c r="AJ602" s="164"/>
      <c r="AK602"/>
      <c r="AL602" s="177"/>
      <c r="AM602" s="161"/>
      <c r="AN602" s="161"/>
      <c r="AO602" s="161"/>
      <c r="AP602" s="161"/>
    </row>
    <row r="603" spans="1:42" s="119" customFormat="1">
      <c r="A603"/>
      <c r="B603"/>
      <c r="C603"/>
      <c r="D603"/>
      <c r="E603"/>
      <c r="F603"/>
      <c r="G603" s="239"/>
      <c r="H603"/>
      <c r="I603"/>
      <c r="J603"/>
      <c r="K603"/>
      <c r="L603"/>
      <c r="M603"/>
      <c r="N603"/>
      <c r="O603"/>
      <c r="P603"/>
      <c r="Q603"/>
      <c r="R603"/>
      <c r="S603"/>
      <c r="T603"/>
      <c r="U603"/>
      <c r="V603"/>
      <c r="W603"/>
      <c r="X603"/>
      <c r="Y603"/>
      <c r="Z603"/>
      <c r="AA603"/>
      <c r="AB603"/>
      <c r="AC603"/>
      <c r="AD603" s="161"/>
      <c r="AE603" s="161"/>
      <c r="AF603" s="161"/>
      <c r="AG603" s="164"/>
      <c r="AH603"/>
      <c r="AI603"/>
      <c r="AJ603" s="164"/>
      <c r="AK603"/>
      <c r="AL603" s="177"/>
      <c r="AM603" s="161"/>
      <c r="AN603" s="161"/>
      <c r="AO603" s="161"/>
      <c r="AP603" s="161"/>
    </row>
    <row r="604" spans="1:42" s="119" customFormat="1">
      <c r="A604"/>
      <c r="B604"/>
      <c r="C604"/>
      <c r="D604"/>
      <c r="E604"/>
      <c r="F604"/>
      <c r="G604" s="239"/>
      <c r="H604"/>
      <c r="I604"/>
      <c r="J604"/>
      <c r="K604"/>
      <c r="L604"/>
      <c r="M604"/>
      <c r="N604"/>
      <c r="O604"/>
      <c r="P604"/>
      <c r="Q604"/>
      <c r="R604"/>
      <c r="S604"/>
      <c r="T604"/>
      <c r="U604"/>
      <c r="V604"/>
      <c r="W604"/>
      <c r="X604"/>
      <c r="Y604"/>
      <c r="Z604"/>
      <c r="AA604"/>
      <c r="AB604"/>
      <c r="AC604"/>
      <c r="AD604" s="161"/>
      <c r="AE604" s="161"/>
      <c r="AF604" s="161"/>
      <c r="AG604" s="164"/>
      <c r="AH604"/>
      <c r="AI604"/>
      <c r="AJ604" s="164"/>
      <c r="AK604"/>
      <c r="AL604" s="177"/>
      <c r="AM604" s="161"/>
      <c r="AN604" s="161"/>
      <c r="AO604" s="161"/>
      <c r="AP604" s="161"/>
    </row>
    <row r="605" spans="1:42" s="119" customFormat="1">
      <c r="A605"/>
      <c r="B605"/>
      <c r="C605"/>
      <c r="D605"/>
      <c r="E605"/>
      <c r="F605"/>
      <c r="G605" s="239"/>
      <c r="H605"/>
      <c r="I605"/>
      <c r="J605"/>
      <c r="K605"/>
      <c r="L605"/>
      <c r="M605"/>
      <c r="N605"/>
      <c r="O605"/>
      <c r="P605"/>
      <c r="Q605"/>
      <c r="R605"/>
      <c r="S605"/>
      <c r="T605"/>
      <c r="U605"/>
      <c r="V605"/>
      <c r="W605"/>
      <c r="X605"/>
      <c r="Y605"/>
      <c r="Z605"/>
      <c r="AA605"/>
      <c r="AB605"/>
      <c r="AC605"/>
      <c r="AD605" s="161"/>
      <c r="AE605" s="161"/>
      <c r="AF605" s="161"/>
      <c r="AG605" s="164"/>
      <c r="AH605"/>
      <c r="AI605"/>
      <c r="AJ605" s="164"/>
      <c r="AK605"/>
      <c r="AL605" s="177"/>
      <c r="AM605" s="161"/>
      <c r="AN605" s="161"/>
      <c r="AO605" s="161"/>
      <c r="AP605" s="161"/>
    </row>
    <row r="606" spans="1:42" s="119" customFormat="1">
      <c r="A606"/>
      <c r="B606"/>
      <c r="C606"/>
      <c r="D606"/>
      <c r="E606"/>
      <c r="F606"/>
      <c r="G606" s="239"/>
      <c r="H606"/>
      <c r="I606"/>
      <c r="J606"/>
      <c r="K606"/>
      <c r="L606"/>
      <c r="M606"/>
      <c r="N606"/>
      <c r="O606"/>
      <c r="P606"/>
      <c r="Q606"/>
      <c r="R606"/>
      <c r="S606"/>
      <c r="T606"/>
      <c r="U606"/>
      <c r="V606"/>
      <c r="W606"/>
      <c r="X606"/>
      <c r="Y606"/>
      <c r="Z606"/>
      <c r="AA606"/>
      <c r="AB606"/>
      <c r="AC606"/>
      <c r="AD606" s="161"/>
      <c r="AE606" s="161"/>
      <c r="AF606" s="161"/>
      <c r="AG606" s="164"/>
      <c r="AH606"/>
      <c r="AI606"/>
      <c r="AJ606" s="164"/>
      <c r="AK606"/>
      <c r="AL606" s="177"/>
      <c r="AM606" s="161"/>
      <c r="AN606" s="161"/>
      <c r="AO606" s="161"/>
      <c r="AP606" s="161"/>
    </row>
    <row r="607" spans="1:42" s="119" customFormat="1">
      <c r="A607"/>
      <c r="B607"/>
      <c r="C607"/>
      <c r="D607"/>
      <c r="E607"/>
      <c r="F607"/>
      <c r="G607" s="239"/>
      <c r="H607"/>
      <c r="I607"/>
      <c r="J607"/>
      <c r="K607"/>
      <c r="L607"/>
      <c r="M607"/>
      <c r="N607"/>
      <c r="O607"/>
      <c r="P607"/>
      <c r="Q607"/>
      <c r="R607"/>
      <c r="S607"/>
      <c r="T607"/>
      <c r="U607"/>
      <c r="V607"/>
      <c r="W607"/>
      <c r="X607"/>
      <c r="Y607"/>
      <c r="Z607"/>
      <c r="AA607"/>
      <c r="AB607"/>
      <c r="AC607"/>
      <c r="AD607" s="161"/>
      <c r="AE607" s="161"/>
      <c r="AF607" s="161"/>
      <c r="AG607" s="164"/>
      <c r="AH607"/>
      <c r="AI607"/>
      <c r="AJ607" s="164"/>
      <c r="AK607"/>
      <c r="AL607" s="177"/>
      <c r="AM607" s="161"/>
      <c r="AN607" s="161"/>
      <c r="AO607" s="161"/>
      <c r="AP607" s="161"/>
    </row>
    <row r="608" spans="1:42" s="119" customFormat="1">
      <c r="A608"/>
      <c r="B608"/>
      <c r="C608"/>
      <c r="D608"/>
      <c r="E608"/>
      <c r="F608"/>
      <c r="G608" s="239"/>
      <c r="H608"/>
      <c r="I608"/>
      <c r="J608"/>
      <c r="K608"/>
      <c r="L608"/>
      <c r="M608"/>
      <c r="N608"/>
      <c r="O608"/>
      <c r="P608"/>
      <c r="Q608"/>
      <c r="R608"/>
      <c r="S608"/>
      <c r="T608"/>
      <c r="U608"/>
      <c r="V608"/>
      <c r="W608"/>
      <c r="X608"/>
      <c r="Y608"/>
      <c r="Z608"/>
      <c r="AA608"/>
      <c r="AB608"/>
      <c r="AC608"/>
      <c r="AD608" s="161"/>
      <c r="AE608" s="161"/>
      <c r="AF608" s="161"/>
      <c r="AG608" s="164"/>
      <c r="AH608"/>
      <c r="AI608"/>
      <c r="AJ608" s="164"/>
      <c r="AK608"/>
      <c r="AL608" s="177"/>
      <c r="AM608" s="161"/>
      <c r="AN608" s="161"/>
      <c r="AO608" s="161"/>
      <c r="AP608" s="161"/>
    </row>
    <row r="609" spans="1:42" s="119" customFormat="1">
      <c r="A609"/>
      <c r="B609"/>
      <c r="C609"/>
      <c r="D609"/>
      <c r="E609"/>
      <c r="F609"/>
      <c r="G609" s="239"/>
      <c r="H609"/>
      <c r="I609"/>
      <c r="J609"/>
      <c r="K609"/>
      <c r="L609"/>
      <c r="M609"/>
      <c r="N609"/>
      <c r="O609"/>
      <c r="P609"/>
      <c r="Q609"/>
      <c r="R609"/>
      <c r="S609"/>
      <c r="T609"/>
      <c r="U609"/>
      <c r="V609"/>
      <c r="W609"/>
      <c r="X609"/>
      <c r="Y609"/>
      <c r="Z609"/>
      <c r="AA609"/>
      <c r="AB609"/>
      <c r="AC609"/>
      <c r="AD609" s="161"/>
      <c r="AE609" s="161"/>
      <c r="AF609" s="161"/>
      <c r="AG609" s="164"/>
      <c r="AH609"/>
      <c r="AI609"/>
      <c r="AJ609" s="164"/>
      <c r="AK609"/>
      <c r="AL609" s="177"/>
      <c r="AM609" s="161"/>
      <c r="AN609" s="161"/>
      <c r="AO609" s="161"/>
      <c r="AP609" s="161"/>
    </row>
    <row r="610" spans="1:42" s="119" customFormat="1">
      <c r="A610"/>
      <c r="B610"/>
      <c r="C610"/>
      <c r="D610"/>
      <c r="E610"/>
      <c r="F610"/>
      <c r="G610" s="239"/>
      <c r="H610"/>
      <c r="I610"/>
      <c r="J610"/>
      <c r="K610"/>
      <c r="L610"/>
      <c r="M610"/>
      <c r="N610"/>
      <c r="O610"/>
      <c r="P610"/>
      <c r="Q610"/>
      <c r="R610"/>
      <c r="S610"/>
      <c r="T610"/>
      <c r="U610"/>
      <c r="V610"/>
      <c r="W610"/>
      <c r="X610"/>
      <c r="Y610"/>
      <c r="Z610"/>
      <c r="AA610"/>
      <c r="AB610"/>
      <c r="AC610"/>
      <c r="AD610" s="161"/>
      <c r="AE610" s="161"/>
      <c r="AF610" s="161"/>
      <c r="AG610" s="164"/>
      <c r="AH610"/>
      <c r="AI610"/>
      <c r="AJ610" s="164"/>
      <c r="AK610"/>
      <c r="AL610" s="177"/>
      <c r="AM610" s="161"/>
      <c r="AN610" s="161"/>
      <c r="AO610" s="161"/>
      <c r="AP610" s="161"/>
    </row>
    <row r="611" spans="1:42" s="119" customFormat="1">
      <c r="A611"/>
      <c r="B611"/>
      <c r="C611"/>
      <c r="D611"/>
      <c r="E611"/>
      <c r="F611"/>
      <c r="G611" s="239"/>
      <c r="H611"/>
      <c r="I611"/>
      <c r="J611"/>
      <c r="K611"/>
      <c r="L611"/>
      <c r="M611"/>
      <c r="N611"/>
      <c r="O611"/>
      <c r="P611"/>
      <c r="Q611"/>
      <c r="R611"/>
      <c r="S611"/>
      <c r="T611"/>
      <c r="U611"/>
      <c r="V611"/>
      <c r="W611"/>
      <c r="X611"/>
      <c r="Y611"/>
      <c r="Z611"/>
      <c r="AA611"/>
      <c r="AB611"/>
      <c r="AC611"/>
      <c r="AD611" s="161"/>
      <c r="AE611" s="161"/>
      <c r="AF611" s="161"/>
      <c r="AG611" s="164"/>
      <c r="AH611"/>
      <c r="AI611"/>
      <c r="AJ611" s="164"/>
      <c r="AK611"/>
      <c r="AL611" s="177"/>
      <c r="AM611" s="161"/>
      <c r="AN611" s="161"/>
      <c r="AO611" s="161"/>
      <c r="AP611" s="161"/>
    </row>
    <row r="612" spans="1:42" s="119" customFormat="1">
      <c r="A612"/>
      <c r="B612"/>
      <c r="C612"/>
      <c r="D612"/>
      <c r="E612"/>
      <c r="F612"/>
      <c r="G612" s="239"/>
      <c r="H612"/>
      <c r="I612"/>
      <c r="J612"/>
      <c r="K612"/>
      <c r="L612"/>
      <c r="M612"/>
      <c r="N612"/>
      <c r="O612"/>
      <c r="P612"/>
      <c r="Q612"/>
      <c r="R612"/>
      <c r="S612"/>
      <c r="T612"/>
      <c r="U612"/>
      <c r="V612"/>
      <c r="W612"/>
      <c r="X612"/>
      <c r="Y612"/>
      <c r="Z612"/>
      <c r="AA612"/>
      <c r="AB612"/>
      <c r="AC612"/>
      <c r="AD612" s="161"/>
      <c r="AE612" s="161"/>
      <c r="AF612" s="161"/>
      <c r="AG612" s="164"/>
      <c r="AH612"/>
      <c r="AI612"/>
      <c r="AJ612" s="164"/>
      <c r="AK612"/>
      <c r="AL612" s="177"/>
      <c r="AM612" s="161"/>
      <c r="AN612" s="161"/>
      <c r="AO612" s="161"/>
      <c r="AP612" s="161"/>
    </row>
    <row r="613" spans="1:42" s="119" customFormat="1">
      <c r="A613"/>
      <c r="B613"/>
      <c r="C613"/>
      <c r="D613"/>
      <c r="E613"/>
      <c r="F613"/>
      <c r="G613" s="239"/>
      <c r="H613"/>
      <c r="I613"/>
      <c r="J613"/>
      <c r="K613"/>
      <c r="L613"/>
      <c r="M613"/>
      <c r="N613"/>
      <c r="O613"/>
      <c r="P613"/>
      <c r="Q613"/>
      <c r="R613"/>
      <c r="S613"/>
      <c r="T613"/>
      <c r="U613"/>
      <c r="V613"/>
      <c r="W613"/>
      <c r="X613"/>
      <c r="Y613"/>
      <c r="Z613"/>
      <c r="AA613"/>
      <c r="AB613"/>
      <c r="AC613"/>
      <c r="AD613" s="161"/>
      <c r="AE613" s="161"/>
      <c r="AF613" s="161"/>
      <c r="AG613" s="164"/>
      <c r="AH613"/>
      <c r="AI613"/>
      <c r="AJ613" s="164"/>
      <c r="AK613"/>
      <c r="AL613" s="177"/>
      <c r="AM613" s="161"/>
      <c r="AN613" s="161"/>
      <c r="AO613" s="161"/>
      <c r="AP613" s="161"/>
    </row>
    <row r="614" spans="1:42" s="119" customFormat="1">
      <c r="A614"/>
      <c r="B614"/>
      <c r="C614"/>
      <c r="D614"/>
      <c r="E614"/>
      <c r="F614"/>
      <c r="G614" s="239"/>
      <c r="H614"/>
      <c r="I614"/>
      <c r="J614"/>
      <c r="K614"/>
      <c r="L614"/>
      <c r="M614"/>
      <c r="N614"/>
      <c r="O614"/>
      <c r="P614"/>
      <c r="Q614"/>
      <c r="R614"/>
      <c r="S614"/>
      <c r="T614"/>
      <c r="U614"/>
      <c r="V614"/>
      <c r="W614"/>
      <c r="X614"/>
      <c r="Y614"/>
      <c r="Z614"/>
      <c r="AA614"/>
      <c r="AB614"/>
      <c r="AC614"/>
      <c r="AD614" s="161"/>
      <c r="AE614" s="161"/>
      <c r="AF614" s="161"/>
      <c r="AG614" s="164"/>
      <c r="AH614"/>
      <c r="AI614"/>
      <c r="AJ614" s="164"/>
      <c r="AK614"/>
      <c r="AL614" s="177"/>
      <c r="AM614" s="161"/>
      <c r="AN614" s="161"/>
      <c r="AO614" s="161"/>
      <c r="AP614" s="161"/>
    </row>
    <row r="615" spans="1:42" s="119" customFormat="1">
      <c r="A615"/>
      <c r="B615"/>
      <c r="C615"/>
      <c r="D615"/>
      <c r="E615"/>
      <c r="F615"/>
      <c r="G615" s="239"/>
      <c r="H615"/>
      <c r="I615"/>
      <c r="J615"/>
      <c r="K615"/>
      <c r="L615"/>
      <c r="M615"/>
      <c r="N615"/>
      <c r="O615"/>
      <c r="P615"/>
      <c r="Q615"/>
      <c r="R615"/>
      <c r="S615"/>
      <c r="T615"/>
      <c r="U615"/>
      <c r="V615"/>
      <c r="W615"/>
      <c r="X615"/>
      <c r="Y615"/>
      <c r="Z615"/>
      <c r="AA615"/>
      <c r="AB615"/>
      <c r="AC615"/>
      <c r="AD615" s="161"/>
      <c r="AE615" s="161"/>
      <c r="AF615" s="161"/>
      <c r="AG615" s="164"/>
      <c r="AH615"/>
      <c r="AI615"/>
      <c r="AJ615" s="164"/>
      <c r="AK615"/>
      <c r="AL615" s="177"/>
      <c r="AM615" s="161"/>
      <c r="AN615" s="161"/>
      <c r="AO615" s="161"/>
      <c r="AP615" s="161"/>
    </row>
    <row r="616" spans="1:42" s="119" customFormat="1">
      <c r="A616"/>
      <c r="B616"/>
      <c r="C616"/>
      <c r="D616"/>
      <c r="E616"/>
      <c r="F616"/>
      <c r="G616" s="239"/>
      <c r="H616"/>
      <c r="I616"/>
      <c r="J616"/>
      <c r="K616"/>
      <c r="L616"/>
      <c r="M616"/>
      <c r="N616"/>
      <c r="O616"/>
      <c r="P616"/>
      <c r="Q616"/>
      <c r="R616"/>
      <c r="S616"/>
      <c r="T616"/>
      <c r="U616"/>
      <c r="V616"/>
      <c r="W616"/>
      <c r="X616"/>
      <c r="Y616"/>
      <c r="Z616"/>
      <c r="AA616"/>
      <c r="AB616"/>
      <c r="AC616"/>
      <c r="AD616" s="161"/>
      <c r="AE616" s="161"/>
      <c r="AF616" s="161"/>
      <c r="AG616" s="164"/>
      <c r="AH616"/>
      <c r="AI616"/>
      <c r="AJ616" s="164"/>
      <c r="AK616"/>
      <c r="AL616" s="177"/>
      <c r="AM616" s="161"/>
      <c r="AN616" s="161"/>
      <c r="AO616" s="161"/>
      <c r="AP616" s="161"/>
    </row>
    <row r="617" spans="1:42" s="119" customFormat="1">
      <c r="A617"/>
      <c r="B617"/>
      <c r="C617"/>
      <c r="D617"/>
      <c r="E617"/>
      <c r="F617"/>
      <c r="G617" s="239"/>
      <c r="H617"/>
      <c r="I617"/>
      <c r="J617"/>
      <c r="K617"/>
      <c r="L617"/>
      <c r="M617"/>
      <c r="N617"/>
      <c r="O617"/>
      <c r="P617"/>
      <c r="Q617"/>
      <c r="R617"/>
      <c r="S617"/>
      <c r="T617"/>
      <c r="U617"/>
      <c r="V617"/>
      <c r="W617"/>
      <c r="X617"/>
      <c r="Y617"/>
      <c r="Z617"/>
      <c r="AA617"/>
      <c r="AB617"/>
      <c r="AC617"/>
      <c r="AD617" s="161"/>
      <c r="AE617" s="161"/>
      <c r="AF617" s="161"/>
      <c r="AG617" s="164"/>
      <c r="AH617"/>
      <c r="AI617"/>
      <c r="AJ617" s="164"/>
      <c r="AK617"/>
      <c r="AL617" s="177"/>
      <c r="AM617" s="161"/>
      <c r="AN617" s="161"/>
      <c r="AO617" s="161"/>
      <c r="AP617" s="161"/>
    </row>
    <row r="618" spans="1:42" s="119" customFormat="1">
      <c r="A618"/>
      <c r="B618"/>
      <c r="C618"/>
      <c r="D618"/>
      <c r="E618"/>
      <c r="F618"/>
      <c r="G618" s="239"/>
      <c r="H618"/>
      <c r="I618"/>
      <c r="J618"/>
      <c r="K618"/>
      <c r="L618"/>
      <c r="M618"/>
      <c r="N618"/>
      <c r="O618"/>
      <c r="P618"/>
      <c r="Q618"/>
      <c r="R618"/>
      <c r="S618"/>
      <c r="T618"/>
      <c r="U618"/>
      <c r="V618"/>
      <c r="W618"/>
      <c r="X618"/>
      <c r="Y618"/>
      <c r="Z618"/>
      <c r="AA618"/>
      <c r="AB618"/>
      <c r="AC618"/>
      <c r="AD618" s="161"/>
      <c r="AE618" s="161"/>
      <c r="AF618" s="161"/>
      <c r="AG618" s="164"/>
      <c r="AH618"/>
      <c r="AI618"/>
      <c r="AJ618" s="164"/>
      <c r="AK618"/>
      <c r="AL618" s="177"/>
      <c r="AM618" s="161"/>
      <c r="AN618" s="161"/>
      <c r="AO618" s="161"/>
      <c r="AP618" s="161"/>
    </row>
    <row r="619" spans="1:42" s="119" customFormat="1">
      <c r="A619"/>
      <c r="B619"/>
      <c r="C619"/>
      <c r="D619"/>
      <c r="E619"/>
      <c r="F619"/>
      <c r="G619" s="239"/>
      <c r="H619"/>
      <c r="I619"/>
      <c r="J619"/>
      <c r="K619"/>
      <c r="L619"/>
      <c r="M619"/>
      <c r="N619"/>
      <c r="O619"/>
      <c r="P619"/>
      <c r="Q619"/>
      <c r="R619"/>
      <c r="S619"/>
      <c r="T619"/>
      <c r="U619"/>
      <c r="V619"/>
      <c r="W619"/>
      <c r="X619"/>
      <c r="Y619"/>
      <c r="Z619"/>
      <c r="AA619"/>
      <c r="AB619"/>
      <c r="AC619"/>
      <c r="AD619" s="161"/>
      <c r="AE619" s="161"/>
      <c r="AF619" s="161"/>
      <c r="AG619" s="164"/>
      <c r="AH619"/>
      <c r="AI619"/>
      <c r="AJ619" s="164"/>
      <c r="AK619"/>
      <c r="AL619" s="177"/>
      <c r="AM619" s="161"/>
      <c r="AN619" s="161"/>
      <c r="AO619" s="161"/>
      <c r="AP619" s="161"/>
    </row>
    <row r="620" spans="1:42" s="119" customFormat="1">
      <c r="A620"/>
      <c r="B620"/>
      <c r="C620"/>
      <c r="D620"/>
      <c r="E620"/>
      <c r="F620"/>
      <c r="G620" s="239"/>
      <c r="H620"/>
      <c r="I620"/>
      <c r="J620"/>
      <c r="K620"/>
      <c r="L620"/>
      <c r="M620"/>
      <c r="N620"/>
      <c r="O620"/>
      <c r="P620"/>
      <c r="Q620"/>
      <c r="R620"/>
      <c r="S620"/>
      <c r="T620"/>
      <c r="U620"/>
      <c r="V620"/>
      <c r="W620"/>
      <c r="X620"/>
      <c r="Y620"/>
      <c r="Z620"/>
      <c r="AA620"/>
      <c r="AB620"/>
      <c r="AC620"/>
      <c r="AD620" s="161"/>
      <c r="AE620" s="161"/>
      <c r="AF620" s="161"/>
      <c r="AG620" s="164"/>
      <c r="AH620"/>
      <c r="AI620"/>
      <c r="AJ620" s="164"/>
      <c r="AK620"/>
      <c r="AL620" s="177"/>
      <c r="AM620" s="161"/>
      <c r="AN620" s="161"/>
      <c r="AO620" s="161"/>
      <c r="AP620" s="161"/>
    </row>
    <row r="621" spans="1:42" s="119" customFormat="1">
      <c r="A621"/>
      <c r="B621"/>
      <c r="C621"/>
      <c r="D621"/>
      <c r="E621"/>
      <c r="F621"/>
      <c r="G621" s="239"/>
      <c r="H621"/>
      <c r="I621"/>
      <c r="J621"/>
      <c r="K621"/>
      <c r="L621"/>
      <c r="M621"/>
      <c r="N621"/>
      <c r="O621"/>
      <c r="P621"/>
      <c r="Q621"/>
      <c r="R621"/>
      <c r="S621"/>
      <c r="T621"/>
      <c r="U621"/>
      <c r="V621"/>
      <c r="W621"/>
      <c r="X621"/>
      <c r="Y621"/>
      <c r="Z621"/>
      <c r="AA621"/>
      <c r="AB621"/>
      <c r="AC621"/>
      <c r="AD621" s="161"/>
      <c r="AE621" s="161"/>
      <c r="AF621" s="161"/>
      <c r="AG621" s="164"/>
      <c r="AH621"/>
      <c r="AI621"/>
      <c r="AJ621" s="164"/>
      <c r="AK621"/>
      <c r="AL621" s="177"/>
      <c r="AM621" s="161"/>
      <c r="AN621" s="161"/>
      <c r="AO621" s="161"/>
      <c r="AP621" s="161"/>
    </row>
    <row r="622" spans="1:42" s="119" customFormat="1">
      <c r="A622"/>
      <c r="B622"/>
      <c r="C622"/>
      <c r="D622"/>
      <c r="E622"/>
      <c r="F622"/>
      <c r="G622" s="239"/>
      <c r="H622"/>
      <c r="I622"/>
      <c r="J622"/>
      <c r="K622"/>
      <c r="L622"/>
      <c r="M622"/>
      <c r="N622"/>
      <c r="O622"/>
      <c r="P622"/>
      <c r="Q622"/>
      <c r="R622"/>
      <c r="S622"/>
      <c r="T622"/>
      <c r="U622"/>
      <c r="V622"/>
      <c r="W622"/>
      <c r="X622"/>
      <c r="Y622"/>
      <c r="Z622"/>
      <c r="AA622"/>
      <c r="AB622"/>
      <c r="AC622"/>
      <c r="AD622" s="161"/>
      <c r="AE622" s="161"/>
      <c r="AF622" s="161"/>
      <c r="AG622" s="164"/>
      <c r="AH622"/>
      <c r="AI622"/>
      <c r="AJ622" s="164"/>
      <c r="AK622"/>
      <c r="AL622" s="177"/>
      <c r="AM622" s="161"/>
      <c r="AN622" s="161"/>
      <c r="AO622" s="161"/>
      <c r="AP622" s="161"/>
    </row>
    <row r="623" spans="1:42" s="119" customFormat="1">
      <c r="A623"/>
      <c r="B623"/>
      <c r="C623"/>
      <c r="D623"/>
      <c r="E623"/>
      <c r="F623"/>
      <c r="G623" s="239"/>
      <c r="H623"/>
      <c r="I623"/>
      <c r="J623"/>
      <c r="K623"/>
      <c r="L623"/>
      <c r="M623"/>
      <c r="N623"/>
      <c r="O623"/>
      <c r="P623"/>
      <c r="Q623"/>
      <c r="R623"/>
      <c r="S623"/>
      <c r="T623"/>
      <c r="U623"/>
      <c r="V623"/>
      <c r="W623"/>
      <c r="X623"/>
      <c r="Y623"/>
      <c r="Z623"/>
      <c r="AA623"/>
      <c r="AB623"/>
      <c r="AC623"/>
      <c r="AD623" s="161"/>
      <c r="AE623" s="161"/>
      <c r="AF623" s="161"/>
      <c r="AG623" s="164"/>
      <c r="AH623"/>
      <c r="AI623"/>
      <c r="AJ623" s="164"/>
      <c r="AK623"/>
      <c r="AL623" s="177"/>
      <c r="AM623" s="161"/>
      <c r="AN623" s="161"/>
      <c r="AO623" s="161"/>
      <c r="AP623" s="161"/>
    </row>
    <row r="624" spans="1:42" s="119" customFormat="1">
      <c r="A624"/>
      <c r="B624"/>
      <c r="C624"/>
      <c r="D624"/>
      <c r="E624"/>
      <c r="F624"/>
      <c r="G624" s="239"/>
      <c r="H624"/>
      <c r="I624"/>
      <c r="J624"/>
      <c r="K624"/>
      <c r="L624"/>
      <c r="M624"/>
      <c r="N624"/>
      <c r="O624"/>
      <c r="P624"/>
      <c r="Q624"/>
      <c r="R624"/>
      <c r="S624"/>
      <c r="T624"/>
      <c r="U624"/>
      <c r="V624"/>
      <c r="W624"/>
      <c r="X624"/>
      <c r="Y624"/>
      <c r="Z624"/>
      <c r="AA624"/>
      <c r="AB624"/>
      <c r="AC624"/>
      <c r="AD624" s="161"/>
      <c r="AE624" s="161"/>
      <c r="AF624" s="161"/>
      <c r="AG624" s="164"/>
      <c r="AH624"/>
      <c r="AI624"/>
      <c r="AJ624" s="164"/>
      <c r="AK624"/>
      <c r="AL624" s="177"/>
      <c r="AM624" s="161"/>
      <c r="AN624" s="161"/>
      <c r="AO624" s="161"/>
      <c r="AP624" s="161"/>
    </row>
    <row r="625" spans="1:42" s="119" customFormat="1">
      <c r="A625"/>
      <c r="B625"/>
      <c r="C625"/>
      <c r="D625"/>
      <c r="E625"/>
      <c r="F625"/>
      <c r="G625" s="239"/>
      <c r="H625"/>
      <c r="I625"/>
      <c r="J625"/>
      <c r="K625"/>
      <c r="L625"/>
      <c r="M625"/>
      <c r="N625"/>
      <c r="O625"/>
      <c r="P625"/>
      <c r="Q625"/>
      <c r="R625"/>
      <c r="S625"/>
      <c r="T625"/>
      <c r="U625"/>
      <c r="V625"/>
      <c r="W625"/>
      <c r="X625"/>
      <c r="Y625"/>
      <c r="Z625"/>
      <c r="AA625"/>
      <c r="AB625"/>
      <c r="AC625"/>
      <c r="AD625" s="161"/>
      <c r="AE625" s="161"/>
      <c r="AF625" s="161"/>
      <c r="AG625" s="164"/>
      <c r="AH625"/>
      <c r="AI625"/>
      <c r="AJ625" s="164"/>
      <c r="AK625"/>
      <c r="AL625" s="177"/>
      <c r="AM625" s="161"/>
      <c r="AN625" s="161"/>
      <c r="AO625" s="161"/>
      <c r="AP625" s="161"/>
    </row>
    <row r="626" spans="1:42" s="119" customFormat="1">
      <c r="A626"/>
      <c r="B626"/>
      <c r="C626"/>
      <c r="D626"/>
      <c r="E626"/>
      <c r="F626"/>
      <c r="G626" s="239"/>
      <c r="H626"/>
      <c r="I626"/>
      <c r="J626"/>
      <c r="K626"/>
      <c r="L626"/>
      <c r="M626"/>
      <c r="N626"/>
      <c r="O626"/>
      <c r="P626"/>
      <c r="Q626"/>
      <c r="R626"/>
      <c r="S626"/>
      <c r="T626"/>
      <c r="U626"/>
      <c r="V626"/>
      <c r="W626"/>
      <c r="X626"/>
      <c r="Y626"/>
      <c r="Z626"/>
      <c r="AA626"/>
      <c r="AB626"/>
      <c r="AC626"/>
      <c r="AD626" s="161"/>
      <c r="AE626" s="161"/>
      <c r="AF626" s="161"/>
      <c r="AG626" s="164"/>
      <c r="AH626"/>
      <c r="AI626"/>
      <c r="AJ626" s="164"/>
      <c r="AK626"/>
      <c r="AL626" s="177"/>
      <c r="AM626" s="161"/>
      <c r="AN626" s="161"/>
      <c r="AO626" s="161"/>
      <c r="AP626" s="161"/>
    </row>
    <row r="627" spans="1:42" s="119" customFormat="1">
      <c r="A627"/>
      <c r="B627"/>
      <c r="C627"/>
      <c r="D627"/>
      <c r="E627"/>
      <c r="F627"/>
      <c r="G627" s="239"/>
      <c r="H627"/>
      <c r="I627"/>
      <c r="J627"/>
      <c r="K627"/>
      <c r="L627"/>
      <c r="M627"/>
      <c r="N627"/>
      <c r="O627"/>
      <c r="P627"/>
      <c r="Q627"/>
      <c r="R627"/>
      <c r="S627"/>
      <c r="T627"/>
      <c r="U627"/>
      <c r="V627"/>
      <c r="W627"/>
      <c r="X627"/>
      <c r="Y627"/>
      <c r="Z627"/>
      <c r="AA627"/>
      <c r="AB627"/>
      <c r="AC627"/>
      <c r="AD627" s="161"/>
      <c r="AE627" s="161"/>
      <c r="AF627" s="161"/>
      <c r="AG627" s="164"/>
      <c r="AH627"/>
      <c r="AI627"/>
      <c r="AJ627" s="164"/>
      <c r="AK627"/>
      <c r="AL627" s="177"/>
      <c r="AM627" s="161"/>
      <c r="AN627" s="161"/>
      <c r="AO627" s="161"/>
      <c r="AP627" s="161"/>
    </row>
    <row r="628" spans="1:42" s="119" customFormat="1">
      <c r="A628"/>
      <c r="B628"/>
      <c r="C628"/>
      <c r="D628"/>
      <c r="E628"/>
      <c r="F628"/>
      <c r="G628" s="239"/>
      <c r="H628"/>
      <c r="I628"/>
      <c r="J628"/>
      <c r="K628"/>
      <c r="L628"/>
      <c r="M628"/>
      <c r="N628"/>
      <c r="O628"/>
      <c r="P628"/>
      <c r="Q628"/>
      <c r="R628"/>
      <c r="S628"/>
      <c r="T628"/>
      <c r="U628"/>
      <c r="V628"/>
      <c r="W628"/>
      <c r="X628"/>
      <c r="Y628"/>
      <c r="Z628"/>
      <c r="AA628"/>
      <c r="AB628"/>
      <c r="AC628"/>
      <c r="AD628" s="161"/>
      <c r="AE628" s="161"/>
      <c r="AF628" s="161"/>
      <c r="AG628" s="164"/>
      <c r="AH628"/>
      <c r="AI628"/>
      <c r="AJ628" s="164"/>
      <c r="AK628"/>
      <c r="AL628" s="177"/>
      <c r="AM628" s="161"/>
      <c r="AN628" s="161"/>
      <c r="AO628" s="161"/>
      <c r="AP628" s="161"/>
    </row>
    <row r="629" spans="1:42" s="119" customFormat="1">
      <c r="A629"/>
      <c r="B629"/>
      <c r="C629"/>
      <c r="D629"/>
      <c r="E629"/>
      <c r="F629"/>
      <c r="G629" s="239"/>
      <c r="H629"/>
      <c r="I629"/>
      <c r="J629"/>
      <c r="K629"/>
      <c r="L629"/>
      <c r="M629"/>
      <c r="N629"/>
      <c r="O629"/>
      <c r="P629"/>
      <c r="Q629"/>
      <c r="R629"/>
      <c r="S629"/>
      <c r="T629"/>
      <c r="U629"/>
      <c r="V629"/>
      <c r="W629"/>
      <c r="X629"/>
      <c r="Y629"/>
      <c r="Z629"/>
      <c r="AA629"/>
      <c r="AB629"/>
      <c r="AC629"/>
      <c r="AD629" s="161"/>
      <c r="AE629" s="161"/>
      <c r="AF629" s="161"/>
      <c r="AG629" s="164"/>
      <c r="AH629"/>
      <c r="AI629"/>
      <c r="AJ629" s="164"/>
      <c r="AK629"/>
      <c r="AL629" s="177"/>
      <c r="AM629" s="161"/>
      <c r="AN629" s="161"/>
      <c r="AO629" s="161"/>
      <c r="AP629" s="161"/>
    </row>
    <row r="630" spans="1:42" s="119" customFormat="1">
      <c r="A630"/>
      <c r="B630"/>
      <c r="C630"/>
      <c r="D630"/>
      <c r="E630"/>
      <c r="F630"/>
      <c r="G630" s="239"/>
      <c r="H630"/>
      <c r="I630"/>
      <c r="J630"/>
      <c r="K630"/>
      <c r="L630"/>
      <c r="M630"/>
      <c r="N630"/>
      <c r="O630"/>
      <c r="P630"/>
      <c r="Q630"/>
      <c r="R630"/>
      <c r="S630"/>
      <c r="T630"/>
      <c r="U630"/>
      <c r="V630"/>
      <c r="W630"/>
      <c r="X630"/>
      <c r="Y630"/>
      <c r="Z630"/>
      <c r="AA630"/>
      <c r="AB630"/>
      <c r="AC630"/>
      <c r="AD630" s="161"/>
      <c r="AE630" s="161"/>
      <c r="AF630" s="161"/>
      <c r="AG630" s="164"/>
      <c r="AH630"/>
      <c r="AI630"/>
      <c r="AJ630" s="164"/>
      <c r="AK630"/>
      <c r="AL630" s="177"/>
      <c r="AM630" s="161"/>
      <c r="AN630" s="161"/>
      <c r="AO630" s="161"/>
      <c r="AP630" s="161"/>
    </row>
    <row r="631" spans="1:42" s="119" customFormat="1">
      <c r="A631"/>
      <c r="B631"/>
      <c r="C631"/>
      <c r="D631"/>
      <c r="E631"/>
      <c r="F631"/>
      <c r="G631" s="239"/>
      <c r="H631"/>
      <c r="I631"/>
      <c r="J631"/>
      <c r="K631"/>
      <c r="L631"/>
      <c r="M631"/>
      <c r="N631"/>
      <c r="O631"/>
      <c r="P631"/>
      <c r="Q631"/>
      <c r="R631"/>
      <c r="S631"/>
      <c r="T631"/>
      <c r="U631"/>
      <c r="V631"/>
      <c r="W631"/>
      <c r="X631"/>
      <c r="Y631"/>
      <c r="Z631"/>
      <c r="AA631"/>
      <c r="AB631"/>
      <c r="AC631"/>
      <c r="AD631" s="161"/>
      <c r="AE631" s="161"/>
      <c r="AF631" s="161"/>
      <c r="AG631" s="164"/>
      <c r="AH631"/>
      <c r="AI631"/>
      <c r="AJ631" s="164"/>
      <c r="AK631"/>
      <c r="AL631" s="177"/>
      <c r="AM631" s="161"/>
      <c r="AN631" s="161"/>
      <c r="AO631" s="161"/>
      <c r="AP631" s="161"/>
    </row>
    <row r="632" spans="1:42" s="119" customFormat="1">
      <c r="A632"/>
      <c r="B632"/>
      <c r="C632"/>
      <c r="D632"/>
      <c r="E632"/>
      <c r="F632"/>
      <c r="G632" s="239"/>
      <c r="H632"/>
      <c r="I632"/>
      <c r="J632"/>
      <c r="K632"/>
      <c r="L632"/>
      <c r="M632"/>
      <c r="N632"/>
      <c r="O632"/>
      <c r="P632"/>
      <c r="Q632"/>
      <c r="R632"/>
      <c r="S632"/>
      <c r="T632"/>
      <c r="U632"/>
      <c r="V632"/>
      <c r="W632"/>
      <c r="X632"/>
      <c r="Y632"/>
      <c r="Z632"/>
      <c r="AA632"/>
      <c r="AB632"/>
      <c r="AC632"/>
      <c r="AD632" s="161"/>
      <c r="AE632" s="161"/>
      <c r="AF632" s="161"/>
      <c r="AG632" s="164"/>
      <c r="AH632"/>
      <c r="AI632"/>
      <c r="AJ632" s="164"/>
      <c r="AK632"/>
      <c r="AL632" s="177"/>
      <c r="AM632" s="161"/>
      <c r="AN632" s="161"/>
      <c r="AO632" s="161"/>
      <c r="AP632" s="161"/>
    </row>
    <row r="633" spans="1:42" s="119" customFormat="1">
      <c r="A633"/>
      <c r="B633"/>
      <c r="C633"/>
      <c r="D633"/>
      <c r="E633"/>
      <c r="F633"/>
      <c r="G633" s="239"/>
      <c r="H633"/>
      <c r="I633"/>
      <c r="J633"/>
      <c r="K633"/>
      <c r="L633"/>
      <c r="M633"/>
      <c r="N633"/>
      <c r="O633"/>
      <c r="P633"/>
      <c r="Q633"/>
      <c r="R633"/>
      <c r="S633"/>
      <c r="T633"/>
      <c r="U633"/>
      <c r="V633"/>
      <c r="W633"/>
      <c r="X633"/>
      <c r="Y633"/>
      <c r="Z633"/>
      <c r="AA633"/>
      <c r="AB633"/>
      <c r="AC633"/>
      <c r="AD633" s="161"/>
      <c r="AE633" s="161"/>
      <c r="AF633" s="161"/>
      <c r="AG633" s="164"/>
      <c r="AH633"/>
      <c r="AI633"/>
      <c r="AJ633" s="164"/>
      <c r="AK633"/>
      <c r="AL633" s="177"/>
      <c r="AM633" s="161"/>
      <c r="AN633" s="161"/>
      <c r="AO633" s="161"/>
      <c r="AP633" s="161"/>
    </row>
    <row r="634" spans="1:42" s="119" customFormat="1">
      <c r="A634"/>
      <c r="B634"/>
      <c r="C634"/>
      <c r="D634"/>
      <c r="E634"/>
      <c r="F634"/>
      <c r="G634" s="239"/>
      <c r="H634"/>
      <c r="I634"/>
      <c r="J634"/>
      <c r="K634"/>
      <c r="L634"/>
      <c r="M634"/>
      <c r="N634"/>
      <c r="O634"/>
      <c r="P634"/>
      <c r="Q634"/>
      <c r="R634"/>
      <c r="S634"/>
      <c r="T634"/>
      <c r="U634"/>
      <c r="V634"/>
      <c r="W634"/>
      <c r="X634"/>
      <c r="Y634"/>
      <c r="Z634"/>
      <c r="AA634"/>
      <c r="AB634"/>
      <c r="AC634"/>
      <c r="AD634" s="161"/>
      <c r="AE634" s="161"/>
      <c r="AF634" s="161"/>
      <c r="AG634" s="164"/>
      <c r="AH634"/>
      <c r="AI634"/>
      <c r="AJ634" s="164"/>
      <c r="AK634"/>
      <c r="AL634" s="177"/>
      <c r="AM634" s="161"/>
      <c r="AN634" s="161"/>
      <c r="AO634" s="161"/>
      <c r="AP634" s="161"/>
    </row>
    <row r="635" spans="1:42" s="119" customFormat="1">
      <c r="A635"/>
      <c r="B635"/>
      <c r="C635"/>
      <c r="D635"/>
      <c r="E635"/>
      <c r="F635"/>
      <c r="G635" s="239"/>
      <c r="H635"/>
      <c r="I635"/>
      <c r="J635"/>
      <c r="K635"/>
      <c r="L635"/>
      <c r="M635"/>
      <c r="N635"/>
      <c r="O635"/>
      <c r="P635"/>
      <c r="Q635"/>
      <c r="R635"/>
      <c r="S635"/>
      <c r="T635"/>
      <c r="U635"/>
      <c r="V635"/>
      <c r="W635"/>
      <c r="X635"/>
      <c r="Y635"/>
      <c r="Z635"/>
      <c r="AA635"/>
      <c r="AB635"/>
      <c r="AC635"/>
      <c r="AD635" s="161"/>
      <c r="AE635" s="161"/>
      <c r="AF635" s="161"/>
      <c r="AG635" s="164"/>
      <c r="AH635"/>
      <c r="AI635"/>
      <c r="AJ635" s="164"/>
      <c r="AK635"/>
      <c r="AL635" s="177"/>
      <c r="AM635" s="161"/>
      <c r="AN635" s="161"/>
      <c r="AO635" s="161"/>
      <c r="AP635" s="161"/>
    </row>
    <row r="636" spans="1:42" s="119" customFormat="1">
      <c r="A636"/>
      <c r="B636"/>
      <c r="C636"/>
      <c r="D636"/>
      <c r="E636"/>
      <c r="F636"/>
      <c r="G636" s="239"/>
      <c r="H636"/>
      <c r="I636"/>
      <c r="J636"/>
      <c r="K636"/>
      <c r="L636"/>
      <c r="M636"/>
      <c r="N636"/>
      <c r="O636"/>
      <c r="P636"/>
      <c r="Q636"/>
      <c r="R636"/>
      <c r="S636"/>
      <c r="T636"/>
      <c r="U636"/>
      <c r="V636"/>
      <c r="W636"/>
      <c r="X636"/>
      <c r="Y636"/>
      <c r="Z636"/>
      <c r="AA636"/>
      <c r="AB636"/>
      <c r="AC636"/>
      <c r="AD636" s="161"/>
      <c r="AE636" s="161"/>
      <c r="AF636" s="161"/>
      <c r="AG636" s="164"/>
      <c r="AH636"/>
      <c r="AI636"/>
      <c r="AJ636" s="164"/>
      <c r="AK636"/>
      <c r="AL636" s="177"/>
      <c r="AM636" s="161"/>
      <c r="AN636" s="161"/>
      <c r="AO636" s="161"/>
      <c r="AP636" s="161"/>
    </row>
    <row r="637" spans="1:42" s="119" customFormat="1">
      <c r="A637"/>
      <c r="B637"/>
      <c r="C637"/>
      <c r="D637"/>
      <c r="E637"/>
      <c r="F637"/>
      <c r="G637" s="239"/>
      <c r="H637"/>
      <c r="I637"/>
      <c r="J637"/>
      <c r="K637"/>
      <c r="L637"/>
      <c r="M637"/>
      <c r="N637"/>
      <c r="O637"/>
      <c r="P637"/>
      <c r="Q637"/>
      <c r="R637"/>
      <c r="S637"/>
      <c r="T637"/>
      <c r="U637"/>
      <c r="V637"/>
      <c r="W637"/>
      <c r="X637"/>
      <c r="Y637"/>
      <c r="Z637"/>
      <c r="AA637"/>
      <c r="AB637"/>
      <c r="AC637"/>
      <c r="AD637" s="161"/>
      <c r="AE637" s="161"/>
      <c r="AF637" s="161"/>
      <c r="AG637" s="164"/>
      <c r="AH637"/>
      <c r="AI637"/>
      <c r="AJ637" s="164"/>
      <c r="AK637"/>
      <c r="AL637" s="177"/>
      <c r="AM637" s="161"/>
      <c r="AN637" s="161"/>
      <c r="AO637" s="161"/>
      <c r="AP637" s="161"/>
    </row>
    <row r="638" spans="1:42" s="119" customFormat="1">
      <c r="A638"/>
      <c r="B638"/>
      <c r="C638"/>
      <c r="D638"/>
      <c r="E638"/>
      <c r="F638"/>
      <c r="G638" s="239"/>
      <c r="H638"/>
      <c r="I638"/>
      <c r="J638"/>
      <c r="K638"/>
      <c r="L638"/>
      <c r="M638"/>
      <c r="N638"/>
      <c r="O638"/>
      <c r="P638"/>
      <c r="Q638"/>
      <c r="R638"/>
      <c r="S638"/>
      <c r="T638"/>
      <c r="U638"/>
      <c r="V638"/>
      <c r="W638"/>
      <c r="X638"/>
      <c r="Y638"/>
      <c r="Z638"/>
      <c r="AA638"/>
      <c r="AB638"/>
      <c r="AC638"/>
      <c r="AD638" s="161"/>
      <c r="AE638" s="161"/>
      <c r="AF638" s="161"/>
      <c r="AG638" s="164"/>
      <c r="AH638"/>
      <c r="AI638"/>
      <c r="AJ638" s="164"/>
      <c r="AK638"/>
      <c r="AL638" s="177"/>
      <c r="AM638" s="161"/>
      <c r="AN638" s="161"/>
      <c r="AO638" s="161"/>
      <c r="AP638" s="161"/>
    </row>
    <row r="639" spans="1:42" s="119" customFormat="1">
      <c r="A639"/>
      <c r="B639"/>
      <c r="C639"/>
      <c r="D639"/>
      <c r="E639"/>
      <c r="F639"/>
      <c r="G639" s="239"/>
      <c r="H639"/>
      <c r="I639"/>
      <c r="J639"/>
      <c r="K639"/>
      <c r="L639"/>
      <c r="M639"/>
      <c r="N639"/>
      <c r="O639"/>
      <c r="P639"/>
      <c r="Q639"/>
      <c r="R639"/>
      <c r="S639"/>
      <c r="T639"/>
      <c r="U639"/>
      <c r="V639"/>
      <c r="W639"/>
      <c r="X639"/>
      <c r="Y639"/>
      <c r="Z639"/>
      <c r="AA639"/>
      <c r="AB639"/>
      <c r="AC639"/>
      <c r="AD639" s="161"/>
      <c r="AE639" s="161"/>
      <c r="AF639" s="161"/>
      <c r="AG639" s="164"/>
      <c r="AH639"/>
      <c r="AI639"/>
      <c r="AJ639" s="164"/>
      <c r="AK639"/>
      <c r="AL639" s="177"/>
      <c r="AM639" s="161"/>
      <c r="AN639" s="161"/>
      <c r="AO639" s="161"/>
      <c r="AP639" s="161"/>
    </row>
    <row r="640" spans="1:42" s="119" customFormat="1">
      <c r="A640"/>
      <c r="B640"/>
      <c r="C640"/>
      <c r="D640"/>
      <c r="E640"/>
      <c r="F640"/>
      <c r="G640" s="239"/>
      <c r="H640"/>
      <c r="I640"/>
      <c r="J640"/>
      <c r="K640"/>
      <c r="L640"/>
      <c r="M640"/>
      <c r="N640"/>
      <c r="O640"/>
      <c r="P640"/>
      <c r="Q640"/>
      <c r="R640"/>
      <c r="S640"/>
      <c r="T640"/>
      <c r="U640"/>
      <c r="V640"/>
      <c r="W640"/>
      <c r="X640"/>
      <c r="Y640"/>
      <c r="Z640"/>
      <c r="AA640"/>
      <c r="AB640"/>
      <c r="AC640"/>
      <c r="AD640" s="161"/>
      <c r="AE640" s="161"/>
      <c r="AF640" s="161"/>
      <c r="AG640" s="164"/>
      <c r="AH640"/>
      <c r="AI640"/>
      <c r="AJ640" s="164"/>
      <c r="AK640"/>
      <c r="AL640" s="177"/>
      <c r="AM640" s="161"/>
      <c r="AN640" s="161"/>
      <c r="AO640" s="161"/>
      <c r="AP640" s="161"/>
    </row>
    <row r="641" spans="1:42" s="119" customFormat="1">
      <c r="A641"/>
      <c r="B641"/>
      <c r="C641"/>
      <c r="D641"/>
      <c r="E641"/>
      <c r="F641"/>
      <c r="G641" s="239"/>
      <c r="H641"/>
      <c r="I641"/>
      <c r="J641"/>
      <c r="K641"/>
      <c r="L641"/>
      <c r="M641"/>
      <c r="N641"/>
      <c r="O641"/>
      <c r="P641"/>
      <c r="Q641"/>
      <c r="R641"/>
      <c r="S641"/>
      <c r="T641"/>
      <c r="U641"/>
      <c r="V641"/>
      <c r="W641"/>
      <c r="X641"/>
      <c r="Y641"/>
      <c r="Z641"/>
      <c r="AA641"/>
      <c r="AB641"/>
      <c r="AC641"/>
      <c r="AD641" s="161"/>
      <c r="AE641" s="161"/>
      <c r="AF641" s="161"/>
      <c r="AG641" s="164"/>
      <c r="AH641"/>
      <c r="AI641"/>
      <c r="AJ641" s="164"/>
      <c r="AK641"/>
      <c r="AL641" s="177"/>
      <c r="AM641" s="161"/>
      <c r="AN641" s="161"/>
      <c r="AO641" s="161"/>
      <c r="AP641" s="161"/>
    </row>
    <row r="642" spans="1:42" s="119" customFormat="1">
      <c r="A642"/>
      <c r="B642"/>
      <c r="C642"/>
      <c r="D642"/>
      <c r="E642"/>
      <c r="F642"/>
      <c r="G642" s="239"/>
      <c r="H642"/>
      <c r="I642"/>
      <c r="J642"/>
      <c r="K642"/>
      <c r="L642"/>
      <c r="M642"/>
      <c r="N642"/>
      <c r="O642"/>
      <c r="P642"/>
      <c r="Q642"/>
      <c r="R642"/>
      <c r="S642"/>
      <c r="T642"/>
      <c r="U642"/>
      <c r="V642"/>
      <c r="W642"/>
      <c r="X642"/>
      <c r="Y642"/>
      <c r="Z642"/>
      <c r="AA642"/>
      <c r="AB642"/>
      <c r="AC642"/>
      <c r="AD642" s="161"/>
      <c r="AE642" s="161"/>
      <c r="AF642" s="161"/>
      <c r="AG642" s="164"/>
      <c r="AH642"/>
      <c r="AI642"/>
      <c r="AJ642" s="164"/>
      <c r="AK642"/>
      <c r="AL642" s="177"/>
      <c r="AM642" s="161"/>
      <c r="AN642" s="161"/>
      <c r="AO642" s="161"/>
      <c r="AP642" s="161"/>
    </row>
    <row r="643" spans="1:42" s="119" customFormat="1">
      <c r="A643"/>
      <c r="B643"/>
      <c r="C643"/>
      <c r="D643"/>
      <c r="E643"/>
      <c r="F643"/>
      <c r="G643" s="239"/>
      <c r="H643"/>
      <c r="I643"/>
      <c r="J643"/>
      <c r="K643"/>
      <c r="L643"/>
      <c r="M643"/>
      <c r="N643"/>
      <c r="O643"/>
      <c r="P643"/>
      <c r="Q643"/>
      <c r="R643"/>
      <c r="S643"/>
      <c r="T643"/>
      <c r="U643"/>
      <c r="V643"/>
      <c r="W643"/>
      <c r="X643"/>
      <c r="Y643"/>
      <c r="Z643"/>
      <c r="AA643"/>
      <c r="AB643"/>
      <c r="AC643"/>
      <c r="AD643" s="161"/>
      <c r="AE643" s="161"/>
      <c r="AF643" s="161"/>
      <c r="AG643" s="164"/>
      <c r="AH643"/>
      <c r="AI643"/>
      <c r="AJ643" s="164"/>
      <c r="AK643"/>
      <c r="AL643" s="177"/>
      <c r="AM643" s="161"/>
      <c r="AN643" s="161"/>
      <c r="AO643" s="161"/>
      <c r="AP643" s="161"/>
    </row>
    <row r="644" spans="1:42" s="119" customFormat="1">
      <c r="A644"/>
      <c r="B644"/>
      <c r="C644"/>
      <c r="D644"/>
      <c r="E644"/>
      <c r="F644"/>
      <c r="G644" s="239"/>
      <c r="H644"/>
      <c r="I644"/>
      <c r="J644"/>
      <c r="K644"/>
      <c r="L644"/>
      <c r="M644"/>
      <c r="N644"/>
      <c r="O644"/>
      <c r="P644"/>
      <c r="Q644"/>
      <c r="R644"/>
      <c r="S644"/>
      <c r="T644"/>
      <c r="U644"/>
      <c r="V644"/>
      <c r="W644"/>
      <c r="X644"/>
      <c r="Y644"/>
      <c r="Z644"/>
      <c r="AA644"/>
      <c r="AB644"/>
      <c r="AC644"/>
      <c r="AD644" s="161"/>
      <c r="AE644" s="161"/>
      <c r="AF644" s="161"/>
      <c r="AG644" s="164"/>
      <c r="AH644"/>
      <c r="AI644"/>
      <c r="AJ644" s="164"/>
      <c r="AK644"/>
      <c r="AL644" s="177"/>
      <c r="AM644" s="161"/>
      <c r="AN644" s="161"/>
      <c r="AO644" s="161"/>
      <c r="AP644" s="161"/>
    </row>
    <row r="645" spans="1:42" s="119" customFormat="1">
      <c r="A645"/>
      <c r="B645"/>
      <c r="C645"/>
      <c r="D645"/>
      <c r="E645"/>
      <c r="F645"/>
      <c r="G645" s="239"/>
      <c r="H645"/>
      <c r="I645"/>
      <c r="J645"/>
      <c r="K645"/>
      <c r="L645"/>
      <c r="M645"/>
      <c r="N645"/>
      <c r="O645"/>
      <c r="P645"/>
      <c r="Q645"/>
      <c r="R645"/>
      <c r="S645"/>
      <c r="T645"/>
      <c r="U645"/>
      <c r="V645"/>
      <c r="W645"/>
      <c r="X645"/>
      <c r="Y645"/>
      <c r="Z645"/>
      <c r="AA645"/>
      <c r="AB645"/>
      <c r="AC645"/>
      <c r="AD645" s="161"/>
      <c r="AE645" s="161"/>
      <c r="AF645" s="161"/>
      <c r="AG645" s="164"/>
      <c r="AH645"/>
      <c r="AI645"/>
      <c r="AJ645" s="164"/>
      <c r="AK645"/>
      <c r="AL645" s="177"/>
      <c r="AM645" s="161"/>
      <c r="AN645" s="161"/>
      <c r="AO645" s="161"/>
      <c r="AP645" s="161"/>
    </row>
    <row r="646" spans="1:42" s="119" customFormat="1">
      <c r="A646"/>
      <c r="B646"/>
      <c r="C646"/>
      <c r="D646"/>
      <c r="E646"/>
      <c r="F646"/>
      <c r="G646" s="239"/>
      <c r="H646"/>
      <c r="I646"/>
      <c r="J646"/>
      <c r="K646"/>
      <c r="L646"/>
      <c r="M646"/>
      <c r="N646"/>
      <c r="O646"/>
      <c r="P646"/>
      <c r="Q646"/>
      <c r="R646"/>
      <c r="S646"/>
      <c r="T646"/>
      <c r="U646"/>
      <c r="V646"/>
      <c r="W646"/>
      <c r="X646"/>
      <c r="Y646"/>
      <c r="Z646"/>
      <c r="AA646"/>
      <c r="AB646"/>
      <c r="AC646"/>
      <c r="AD646" s="161"/>
      <c r="AE646" s="161"/>
      <c r="AF646" s="161"/>
      <c r="AG646" s="164"/>
      <c r="AH646"/>
      <c r="AI646"/>
      <c r="AJ646" s="164"/>
      <c r="AK646"/>
      <c r="AL646" s="177"/>
      <c r="AM646" s="161"/>
      <c r="AN646" s="161"/>
      <c r="AO646" s="161"/>
      <c r="AP646" s="161"/>
    </row>
    <row r="647" spans="1:42" s="119" customFormat="1">
      <c r="A647"/>
      <c r="B647"/>
      <c r="C647"/>
      <c r="D647"/>
      <c r="E647"/>
      <c r="F647"/>
      <c r="G647" s="239"/>
      <c r="H647"/>
      <c r="I647"/>
      <c r="J647"/>
      <c r="K647"/>
      <c r="L647"/>
      <c r="M647"/>
      <c r="N647"/>
      <c r="O647"/>
      <c r="P647"/>
      <c r="Q647"/>
      <c r="R647"/>
      <c r="S647"/>
      <c r="T647"/>
      <c r="U647"/>
      <c r="V647"/>
      <c r="W647"/>
      <c r="X647"/>
      <c r="Y647"/>
      <c r="Z647"/>
      <c r="AA647"/>
      <c r="AB647"/>
      <c r="AC647"/>
      <c r="AD647" s="161"/>
      <c r="AE647" s="161"/>
      <c r="AF647" s="161"/>
      <c r="AG647" s="164"/>
      <c r="AH647"/>
      <c r="AI647"/>
      <c r="AJ647" s="164"/>
      <c r="AK647"/>
      <c r="AL647" s="177"/>
      <c r="AM647" s="161"/>
      <c r="AN647" s="161"/>
      <c r="AO647" s="161"/>
      <c r="AP647" s="161"/>
    </row>
    <row r="648" spans="1:42" s="119" customFormat="1">
      <c r="A648"/>
      <c r="B648"/>
      <c r="C648"/>
      <c r="D648"/>
      <c r="E648"/>
      <c r="F648"/>
      <c r="G648" s="239"/>
      <c r="H648"/>
      <c r="I648"/>
      <c r="J648"/>
      <c r="K648"/>
      <c r="L648"/>
      <c r="M648"/>
      <c r="N648"/>
      <c r="O648"/>
      <c r="P648"/>
      <c r="Q648"/>
      <c r="R648"/>
      <c r="S648"/>
      <c r="T648"/>
      <c r="U648"/>
      <c r="V648"/>
      <c r="W648"/>
      <c r="X648"/>
      <c r="Y648"/>
      <c r="Z648"/>
      <c r="AA648"/>
      <c r="AB648"/>
      <c r="AC648"/>
      <c r="AD648" s="161"/>
      <c r="AE648" s="161"/>
      <c r="AF648" s="161"/>
      <c r="AG648" s="164"/>
      <c r="AH648"/>
      <c r="AI648"/>
      <c r="AJ648" s="164"/>
      <c r="AK648"/>
      <c r="AL648" s="177"/>
      <c r="AM648" s="161"/>
      <c r="AN648" s="161"/>
      <c r="AO648" s="161"/>
      <c r="AP648" s="161"/>
    </row>
    <row r="649" spans="1:42" s="119" customFormat="1">
      <c r="A649"/>
      <c r="B649"/>
      <c r="C649"/>
      <c r="D649"/>
      <c r="E649"/>
      <c r="F649"/>
      <c r="G649" s="239"/>
      <c r="H649"/>
      <c r="I649"/>
      <c r="J649"/>
      <c r="K649"/>
      <c r="L649"/>
      <c r="M649"/>
      <c r="N649"/>
      <c r="O649"/>
      <c r="P649"/>
      <c r="Q649"/>
      <c r="R649"/>
      <c r="S649"/>
      <c r="T649"/>
      <c r="U649"/>
      <c r="V649"/>
      <c r="W649"/>
      <c r="X649"/>
      <c r="Y649"/>
      <c r="Z649"/>
      <c r="AA649"/>
      <c r="AB649"/>
      <c r="AC649"/>
      <c r="AD649" s="161"/>
      <c r="AE649" s="161"/>
      <c r="AF649" s="161"/>
      <c r="AG649" s="164"/>
      <c r="AH649"/>
      <c r="AI649"/>
      <c r="AJ649" s="164"/>
      <c r="AK649"/>
      <c r="AL649" s="177"/>
      <c r="AM649" s="161"/>
      <c r="AN649" s="161"/>
      <c r="AO649" s="161"/>
      <c r="AP649" s="161"/>
    </row>
    <row r="650" spans="1:42" s="119" customFormat="1">
      <c r="A650"/>
      <c r="B650"/>
      <c r="C650"/>
      <c r="D650"/>
      <c r="E650"/>
      <c r="F650"/>
      <c r="G650" s="239"/>
      <c r="H650"/>
      <c r="I650"/>
      <c r="J650"/>
      <c r="K650"/>
      <c r="L650"/>
      <c r="M650"/>
      <c r="N650"/>
      <c r="O650"/>
      <c r="P650"/>
      <c r="Q650"/>
      <c r="R650"/>
      <c r="S650"/>
      <c r="T650"/>
      <c r="U650"/>
      <c r="V650"/>
      <c r="W650"/>
      <c r="X650"/>
      <c r="Y650"/>
      <c r="Z650"/>
      <c r="AA650"/>
      <c r="AB650"/>
      <c r="AC650"/>
      <c r="AD650" s="161"/>
      <c r="AE650" s="161"/>
      <c r="AF650" s="161"/>
      <c r="AG650" s="164"/>
      <c r="AH650"/>
      <c r="AI650"/>
      <c r="AJ650" s="164"/>
      <c r="AK650"/>
      <c r="AL650" s="177"/>
      <c r="AM650" s="161"/>
      <c r="AN650" s="161"/>
      <c r="AO650" s="161"/>
      <c r="AP650" s="161"/>
    </row>
    <row r="651" spans="1:42" s="119" customFormat="1">
      <c r="A651"/>
      <c r="B651"/>
      <c r="C651"/>
      <c r="D651"/>
      <c r="E651"/>
      <c r="F651"/>
      <c r="G651" s="239"/>
      <c r="H651"/>
      <c r="I651"/>
      <c r="J651"/>
      <c r="K651"/>
      <c r="L651"/>
      <c r="M651"/>
      <c r="N651"/>
      <c r="O651"/>
      <c r="P651"/>
      <c r="Q651"/>
      <c r="R651"/>
      <c r="S651"/>
      <c r="T651"/>
      <c r="U651"/>
      <c r="V651"/>
      <c r="W651"/>
      <c r="X651"/>
      <c r="Y651"/>
      <c r="Z651"/>
      <c r="AA651"/>
      <c r="AB651"/>
      <c r="AC651"/>
      <c r="AD651" s="161"/>
      <c r="AE651" s="161"/>
      <c r="AF651" s="161"/>
      <c r="AG651" s="164"/>
      <c r="AH651"/>
      <c r="AI651"/>
      <c r="AJ651" s="164"/>
      <c r="AK651"/>
      <c r="AL651" s="177"/>
      <c r="AM651" s="161"/>
      <c r="AN651" s="161"/>
      <c r="AO651" s="161"/>
      <c r="AP651" s="161"/>
    </row>
    <row r="652" spans="1:42" s="119" customFormat="1">
      <c r="A652"/>
      <c r="B652"/>
      <c r="C652"/>
      <c r="D652"/>
      <c r="E652"/>
      <c r="F652"/>
      <c r="G652" s="239"/>
      <c r="H652"/>
      <c r="I652"/>
      <c r="J652"/>
      <c r="K652"/>
      <c r="L652"/>
      <c r="M652"/>
      <c r="N652"/>
      <c r="O652"/>
      <c r="P652"/>
      <c r="Q652"/>
      <c r="R652"/>
      <c r="S652"/>
      <c r="T652"/>
      <c r="U652"/>
      <c r="V652"/>
      <c r="W652"/>
      <c r="X652"/>
      <c r="Y652"/>
      <c r="Z652"/>
      <c r="AA652"/>
      <c r="AB652"/>
      <c r="AC652"/>
      <c r="AD652" s="161"/>
      <c r="AE652" s="161"/>
      <c r="AF652" s="161"/>
      <c r="AG652" s="164"/>
      <c r="AH652"/>
      <c r="AI652"/>
      <c r="AJ652" s="164"/>
      <c r="AK652"/>
      <c r="AL652" s="177"/>
      <c r="AM652" s="161"/>
      <c r="AN652" s="161"/>
      <c r="AO652" s="161"/>
      <c r="AP652" s="161"/>
    </row>
    <row r="653" spans="1:42" s="119" customFormat="1">
      <c r="A653"/>
      <c r="B653"/>
      <c r="C653"/>
      <c r="D653"/>
      <c r="E653"/>
      <c r="F653"/>
      <c r="G653" s="239"/>
      <c r="H653"/>
      <c r="I653"/>
      <c r="J653"/>
      <c r="K653"/>
      <c r="L653"/>
      <c r="M653"/>
      <c r="N653"/>
      <c r="O653"/>
      <c r="P653"/>
      <c r="Q653"/>
      <c r="R653"/>
      <c r="S653"/>
      <c r="T653"/>
      <c r="U653"/>
      <c r="V653"/>
      <c r="W653"/>
      <c r="X653"/>
      <c r="Y653"/>
      <c r="Z653"/>
      <c r="AA653"/>
      <c r="AB653"/>
      <c r="AC653"/>
      <c r="AD653" s="161"/>
      <c r="AE653" s="161"/>
      <c r="AF653" s="161"/>
      <c r="AG653" s="164"/>
      <c r="AH653"/>
      <c r="AI653"/>
      <c r="AJ653" s="164"/>
      <c r="AK653"/>
      <c r="AL653" s="177"/>
      <c r="AM653" s="161"/>
      <c r="AN653" s="161"/>
      <c r="AO653" s="161"/>
      <c r="AP653" s="161"/>
    </row>
    <row r="654" spans="1:42" s="119" customFormat="1">
      <c r="A654"/>
      <c r="B654"/>
      <c r="C654"/>
      <c r="D654"/>
      <c r="E654"/>
      <c r="F654"/>
      <c r="G654" s="239"/>
      <c r="H654"/>
      <c r="I654"/>
      <c r="J654"/>
      <c r="K654"/>
      <c r="L654"/>
      <c r="M654"/>
      <c r="N654"/>
      <c r="O654"/>
      <c r="P654"/>
      <c r="Q654"/>
      <c r="R654"/>
      <c r="S654"/>
      <c r="T654"/>
      <c r="U654"/>
      <c r="V654"/>
      <c r="W654"/>
      <c r="X654"/>
      <c r="Y654"/>
      <c r="Z654"/>
      <c r="AA654"/>
      <c r="AB654"/>
      <c r="AC654"/>
      <c r="AD654" s="161"/>
      <c r="AE654" s="161"/>
      <c r="AF654" s="161"/>
      <c r="AG654" s="164"/>
      <c r="AH654"/>
      <c r="AI654"/>
      <c r="AJ654" s="164"/>
      <c r="AK654"/>
      <c r="AL654" s="177"/>
      <c r="AM654" s="161"/>
      <c r="AN654" s="161"/>
      <c r="AO654" s="161"/>
      <c r="AP654" s="161"/>
    </row>
    <row r="655" spans="1:42" s="119" customFormat="1">
      <c r="A655"/>
      <c r="B655"/>
      <c r="C655"/>
      <c r="D655"/>
      <c r="E655"/>
      <c r="F655"/>
      <c r="G655" s="239"/>
      <c r="H655"/>
      <c r="I655"/>
      <c r="J655"/>
      <c r="K655"/>
      <c r="L655"/>
      <c r="M655"/>
      <c r="N655"/>
      <c r="O655"/>
      <c r="P655"/>
      <c r="Q655"/>
      <c r="R655"/>
      <c r="S655"/>
      <c r="T655"/>
      <c r="U655"/>
      <c r="V655"/>
      <c r="W655"/>
      <c r="X655"/>
      <c r="Y655"/>
      <c r="Z655"/>
      <c r="AA655"/>
      <c r="AB655"/>
      <c r="AC655"/>
      <c r="AD655" s="161"/>
      <c r="AE655" s="161"/>
      <c r="AF655" s="161"/>
      <c r="AG655" s="164"/>
      <c r="AH655"/>
      <c r="AI655"/>
      <c r="AJ655" s="164"/>
      <c r="AK655"/>
      <c r="AL655" s="177"/>
      <c r="AM655" s="161"/>
      <c r="AN655" s="161"/>
      <c r="AO655" s="161"/>
      <c r="AP655" s="161"/>
    </row>
    <row r="656" spans="1:42" s="119" customFormat="1">
      <c r="A656"/>
      <c r="B656"/>
      <c r="C656"/>
      <c r="D656"/>
      <c r="E656"/>
      <c r="F656"/>
      <c r="G656" s="239"/>
      <c r="H656"/>
      <c r="I656"/>
      <c r="J656"/>
      <c r="K656"/>
      <c r="L656"/>
      <c r="M656"/>
      <c r="N656"/>
      <c r="O656"/>
      <c r="P656"/>
      <c r="Q656"/>
      <c r="R656"/>
      <c r="S656"/>
      <c r="T656"/>
      <c r="U656"/>
      <c r="V656"/>
      <c r="W656"/>
      <c r="X656"/>
      <c r="Y656"/>
      <c r="Z656"/>
      <c r="AA656"/>
      <c r="AB656"/>
      <c r="AC656"/>
      <c r="AD656" s="161"/>
      <c r="AE656" s="161"/>
      <c r="AF656" s="161"/>
      <c r="AG656" s="164"/>
      <c r="AH656"/>
      <c r="AI656"/>
      <c r="AJ656" s="164"/>
      <c r="AK656"/>
      <c r="AL656" s="177"/>
      <c r="AM656" s="161"/>
      <c r="AN656" s="161"/>
      <c r="AO656" s="161"/>
      <c r="AP656" s="161"/>
    </row>
    <row r="657" spans="1:42" s="119" customFormat="1">
      <c r="A657"/>
      <c r="B657"/>
      <c r="C657"/>
      <c r="D657"/>
      <c r="E657"/>
      <c r="F657"/>
      <c r="G657" s="239"/>
      <c r="H657"/>
      <c r="I657"/>
      <c r="J657"/>
      <c r="K657"/>
      <c r="L657"/>
      <c r="M657"/>
      <c r="N657"/>
      <c r="O657"/>
      <c r="P657"/>
      <c r="Q657"/>
      <c r="R657"/>
      <c r="S657"/>
      <c r="T657"/>
      <c r="U657"/>
      <c r="V657"/>
      <c r="W657"/>
      <c r="X657"/>
      <c r="Y657"/>
      <c r="Z657"/>
      <c r="AA657"/>
      <c r="AB657"/>
      <c r="AC657"/>
      <c r="AD657" s="161"/>
      <c r="AE657" s="161"/>
      <c r="AF657" s="161"/>
      <c r="AG657" s="164"/>
      <c r="AH657"/>
      <c r="AI657"/>
      <c r="AJ657" s="164"/>
      <c r="AK657"/>
      <c r="AL657" s="177"/>
      <c r="AM657" s="161"/>
      <c r="AN657" s="161"/>
      <c r="AO657" s="161"/>
      <c r="AP657" s="161"/>
    </row>
    <row r="658" spans="1:42" s="119" customFormat="1">
      <c r="A658"/>
      <c r="B658"/>
      <c r="C658"/>
      <c r="D658"/>
      <c r="E658"/>
      <c r="F658"/>
      <c r="G658" s="239"/>
      <c r="H658"/>
      <c r="I658"/>
      <c r="J658"/>
      <c r="K658"/>
      <c r="L658"/>
      <c r="M658"/>
      <c r="N658"/>
      <c r="O658"/>
      <c r="P658"/>
      <c r="Q658"/>
      <c r="R658"/>
      <c r="S658"/>
      <c r="T658"/>
      <c r="U658"/>
      <c r="V658"/>
      <c r="W658"/>
      <c r="X658"/>
      <c r="Y658"/>
      <c r="Z658"/>
      <c r="AA658"/>
      <c r="AB658"/>
      <c r="AC658"/>
      <c r="AD658" s="161"/>
      <c r="AE658" s="161"/>
      <c r="AF658" s="161"/>
      <c r="AG658" s="164"/>
      <c r="AH658"/>
      <c r="AI658"/>
      <c r="AJ658" s="164"/>
      <c r="AK658"/>
      <c r="AL658" s="177"/>
      <c r="AM658" s="161"/>
      <c r="AN658" s="161"/>
      <c r="AO658" s="161"/>
      <c r="AP658" s="161"/>
    </row>
    <row r="659" spans="1:42" s="119" customFormat="1">
      <c r="A659"/>
      <c r="B659"/>
      <c r="C659"/>
      <c r="D659"/>
      <c r="E659"/>
      <c r="F659"/>
      <c r="G659" s="239"/>
      <c r="H659"/>
      <c r="I659"/>
      <c r="J659"/>
      <c r="K659"/>
      <c r="L659"/>
      <c r="M659"/>
      <c r="N659"/>
      <c r="O659"/>
      <c r="P659"/>
      <c r="Q659"/>
      <c r="R659"/>
      <c r="S659"/>
      <c r="T659"/>
      <c r="U659"/>
      <c r="V659"/>
      <c r="W659"/>
      <c r="X659"/>
      <c r="Y659"/>
      <c r="Z659"/>
      <c r="AA659"/>
      <c r="AB659"/>
      <c r="AC659"/>
      <c r="AD659" s="161"/>
      <c r="AE659" s="161"/>
      <c r="AF659" s="161"/>
      <c r="AG659" s="164"/>
      <c r="AH659"/>
      <c r="AI659"/>
      <c r="AJ659" s="164"/>
      <c r="AK659"/>
      <c r="AL659" s="177"/>
      <c r="AM659" s="161"/>
      <c r="AN659" s="161"/>
      <c r="AO659" s="161"/>
      <c r="AP659" s="161"/>
    </row>
    <row r="660" spans="1:42" s="119" customFormat="1">
      <c r="A660"/>
      <c r="B660"/>
      <c r="C660"/>
      <c r="D660"/>
      <c r="E660"/>
      <c r="F660"/>
      <c r="G660" s="239"/>
      <c r="H660"/>
      <c r="I660"/>
      <c r="J660"/>
      <c r="K660"/>
      <c r="L660"/>
      <c r="M660"/>
      <c r="N660"/>
      <c r="O660"/>
      <c r="P660"/>
      <c r="Q660"/>
      <c r="R660"/>
      <c r="S660"/>
      <c r="T660"/>
      <c r="U660"/>
      <c r="V660"/>
      <c r="W660"/>
      <c r="X660"/>
      <c r="Y660"/>
      <c r="Z660"/>
      <c r="AA660"/>
      <c r="AB660"/>
      <c r="AC660"/>
      <c r="AD660" s="161"/>
      <c r="AE660" s="161"/>
      <c r="AF660" s="161"/>
      <c r="AG660" s="164"/>
      <c r="AH660"/>
      <c r="AI660"/>
      <c r="AJ660" s="164"/>
      <c r="AK660"/>
      <c r="AL660" s="177"/>
      <c r="AM660" s="161"/>
      <c r="AN660" s="161"/>
      <c r="AO660" s="161"/>
      <c r="AP660" s="161"/>
    </row>
    <row r="661" spans="1:42" s="119" customFormat="1">
      <c r="A661"/>
      <c r="B661"/>
      <c r="C661"/>
      <c r="D661"/>
      <c r="E661"/>
      <c r="F661"/>
      <c r="G661" s="239"/>
      <c r="H661"/>
      <c r="I661"/>
      <c r="J661"/>
      <c r="K661"/>
      <c r="L661"/>
      <c r="M661"/>
      <c r="N661"/>
      <c r="O661"/>
      <c r="P661"/>
      <c r="Q661"/>
      <c r="R661"/>
      <c r="S661"/>
      <c r="T661"/>
      <c r="U661"/>
      <c r="V661"/>
      <c r="W661"/>
      <c r="X661"/>
      <c r="Y661"/>
      <c r="Z661"/>
      <c r="AA661"/>
      <c r="AB661"/>
      <c r="AC661"/>
      <c r="AD661" s="161"/>
      <c r="AE661" s="161"/>
      <c r="AF661" s="161"/>
      <c r="AG661" s="164"/>
      <c r="AH661"/>
      <c r="AI661"/>
      <c r="AJ661" s="164"/>
      <c r="AK661"/>
      <c r="AL661" s="177"/>
      <c r="AM661" s="161"/>
      <c r="AN661" s="161"/>
      <c r="AO661" s="161"/>
      <c r="AP661" s="161"/>
    </row>
    <row r="662" spans="1:42" s="119" customFormat="1">
      <c r="A662"/>
      <c r="B662"/>
      <c r="C662"/>
      <c r="D662"/>
      <c r="E662"/>
      <c r="F662"/>
      <c r="G662" s="239"/>
      <c r="H662"/>
      <c r="I662"/>
      <c r="J662"/>
      <c r="K662"/>
      <c r="L662"/>
      <c r="M662"/>
      <c r="N662"/>
      <c r="O662"/>
      <c r="P662"/>
      <c r="Q662"/>
      <c r="R662"/>
      <c r="S662"/>
      <c r="T662"/>
      <c r="U662"/>
      <c r="V662"/>
      <c r="W662"/>
      <c r="X662"/>
      <c r="Y662"/>
      <c r="Z662"/>
      <c r="AA662"/>
      <c r="AB662"/>
      <c r="AC662"/>
      <c r="AD662" s="161"/>
      <c r="AE662" s="161"/>
      <c r="AF662" s="161"/>
      <c r="AG662" s="164"/>
      <c r="AH662"/>
      <c r="AI662"/>
      <c r="AJ662" s="164"/>
      <c r="AK662"/>
      <c r="AL662" s="177"/>
      <c r="AM662" s="161"/>
      <c r="AN662" s="161"/>
      <c r="AO662" s="161"/>
      <c r="AP662" s="161"/>
    </row>
    <row r="663" spans="1:42" s="119" customFormat="1">
      <c r="A663"/>
      <c r="B663"/>
      <c r="C663"/>
      <c r="D663"/>
      <c r="E663"/>
      <c r="F663"/>
      <c r="G663" s="239"/>
      <c r="H663"/>
      <c r="I663"/>
      <c r="J663"/>
      <c r="K663"/>
      <c r="L663"/>
      <c r="M663"/>
      <c r="N663"/>
      <c r="O663"/>
      <c r="P663"/>
      <c r="Q663"/>
      <c r="R663"/>
      <c r="S663"/>
      <c r="T663"/>
      <c r="U663"/>
      <c r="V663"/>
      <c r="W663"/>
      <c r="X663"/>
      <c r="Y663"/>
      <c r="Z663"/>
      <c r="AA663"/>
      <c r="AB663"/>
      <c r="AC663"/>
      <c r="AD663" s="161"/>
      <c r="AE663" s="161"/>
      <c r="AF663" s="161"/>
      <c r="AG663" s="164"/>
      <c r="AH663"/>
      <c r="AI663"/>
      <c r="AJ663" s="164"/>
      <c r="AK663"/>
      <c r="AL663" s="177"/>
      <c r="AM663" s="161"/>
      <c r="AN663" s="161"/>
      <c r="AO663" s="161"/>
      <c r="AP663" s="161"/>
    </row>
    <row r="664" spans="1:42" s="119" customFormat="1">
      <c r="A664"/>
      <c r="B664"/>
      <c r="C664"/>
      <c r="D664"/>
      <c r="E664"/>
      <c r="F664"/>
      <c r="G664" s="239"/>
      <c r="H664"/>
      <c r="I664"/>
      <c r="J664"/>
      <c r="K664"/>
      <c r="L664"/>
      <c r="M664"/>
      <c r="N664"/>
      <c r="O664"/>
      <c r="P664"/>
      <c r="Q664"/>
      <c r="R664"/>
      <c r="S664"/>
      <c r="T664"/>
      <c r="U664"/>
      <c r="V664"/>
      <c r="W664"/>
      <c r="X664"/>
      <c r="Y664"/>
      <c r="Z664"/>
      <c r="AA664"/>
      <c r="AB664"/>
      <c r="AC664"/>
      <c r="AD664" s="161"/>
      <c r="AE664" s="161"/>
      <c r="AF664" s="161"/>
      <c r="AG664" s="164"/>
      <c r="AH664"/>
      <c r="AI664"/>
      <c r="AJ664" s="164"/>
      <c r="AK664"/>
      <c r="AL664" s="177"/>
      <c r="AM664" s="161"/>
      <c r="AN664" s="161"/>
      <c r="AO664" s="161"/>
      <c r="AP664" s="161"/>
    </row>
    <row r="665" spans="1:42" s="119" customFormat="1">
      <c r="A665"/>
      <c r="B665"/>
      <c r="C665"/>
      <c r="D665"/>
      <c r="E665"/>
      <c r="F665"/>
      <c r="G665" s="239"/>
      <c r="H665"/>
      <c r="I665"/>
      <c r="J665"/>
      <c r="K665"/>
      <c r="L665"/>
      <c r="M665"/>
      <c r="N665"/>
      <c r="O665"/>
      <c r="P665"/>
      <c r="Q665"/>
      <c r="R665"/>
      <c r="S665"/>
      <c r="T665"/>
      <c r="U665"/>
      <c r="V665"/>
      <c r="W665"/>
      <c r="X665"/>
      <c r="Y665"/>
      <c r="Z665"/>
      <c r="AA665"/>
      <c r="AB665"/>
      <c r="AC665"/>
      <c r="AD665" s="161"/>
      <c r="AE665" s="161"/>
      <c r="AF665" s="161"/>
      <c r="AG665" s="164"/>
      <c r="AH665"/>
      <c r="AI665"/>
      <c r="AJ665" s="164"/>
      <c r="AK665"/>
      <c r="AL665" s="177"/>
      <c r="AM665" s="161"/>
      <c r="AN665" s="161"/>
      <c r="AO665" s="161"/>
      <c r="AP665" s="161"/>
    </row>
    <row r="666" spans="1:42" s="119" customFormat="1">
      <c r="A666"/>
      <c r="B666"/>
      <c r="C666"/>
      <c r="D666"/>
      <c r="E666"/>
      <c r="F666"/>
      <c r="G666" s="239"/>
      <c r="H666"/>
      <c r="I666"/>
      <c r="J666"/>
      <c r="K666"/>
      <c r="L666"/>
      <c r="M666"/>
      <c r="N666"/>
      <c r="O666"/>
      <c r="P666"/>
      <c r="Q666"/>
      <c r="R666"/>
      <c r="S666"/>
      <c r="T666"/>
      <c r="U666"/>
      <c r="V666"/>
      <c r="W666"/>
      <c r="X666"/>
      <c r="Y666"/>
      <c r="Z666"/>
      <c r="AA666"/>
      <c r="AB666"/>
      <c r="AC666"/>
      <c r="AD666" s="161"/>
      <c r="AE666" s="161"/>
      <c r="AF666" s="161"/>
      <c r="AG666" s="164"/>
      <c r="AH666"/>
      <c r="AI666"/>
      <c r="AJ666" s="164"/>
      <c r="AK666"/>
      <c r="AL666" s="177"/>
      <c r="AM666" s="161"/>
      <c r="AN666" s="161"/>
      <c r="AO666" s="161"/>
      <c r="AP666" s="161"/>
    </row>
    <row r="667" spans="1:42" s="119" customFormat="1">
      <c r="A667"/>
      <c r="B667"/>
      <c r="C667"/>
      <c r="D667"/>
      <c r="E667"/>
      <c r="F667"/>
      <c r="G667" s="239"/>
      <c r="H667"/>
      <c r="I667"/>
      <c r="J667"/>
      <c r="K667"/>
      <c r="L667"/>
      <c r="M667"/>
      <c r="N667"/>
      <c r="O667"/>
      <c r="P667"/>
      <c r="Q667"/>
      <c r="R667"/>
      <c r="S667"/>
      <c r="T667"/>
      <c r="U667"/>
      <c r="V667"/>
      <c r="W667"/>
      <c r="X667"/>
      <c r="Y667"/>
      <c r="Z667"/>
      <c r="AA667"/>
      <c r="AB667"/>
      <c r="AC667"/>
      <c r="AD667" s="161"/>
      <c r="AE667" s="161"/>
      <c r="AF667" s="161"/>
      <c r="AG667" s="164"/>
      <c r="AH667"/>
      <c r="AI667"/>
      <c r="AJ667" s="164"/>
      <c r="AK667"/>
      <c r="AL667" s="177"/>
      <c r="AM667" s="161"/>
      <c r="AN667" s="161"/>
      <c r="AO667" s="161"/>
      <c r="AP667" s="161"/>
    </row>
    <row r="668" spans="1:42" s="119" customFormat="1">
      <c r="A668"/>
      <c r="B668"/>
      <c r="C668"/>
      <c r="D668"/>
      <c r="E668"/>
      <c r="F668"/>
      <c r="G668" s="239"/>
      <c r="H668"/>
      <c r="I668"/>
      <c r="J668"/>
      <c r="K668"/>
      <c r="L668"/>
      <c r="M668"/>
      <c r="N668"/>
      <c r="O668"/>
      <c r="P668"/>
      <c r="Q668"/>
      <c r="R668"/>
      <c r="S668"/>
      <c r="T668"/>
      <c r="U668"/>
      <c r="V668"/>
      <c r="W668"/>
      <c r="X668"/>
      <c r="Y668"/>
      <c r="Z668"/>
      <c r="AA668"/>
      <c r="AB668"/>
      <c r="AC668"/>
      <c r="AD668" s="161"/>
      <c r="AE668" s="161"/>
      <c r="AF668" s="161"/>
      <c r="AG668" s="164"/>
      <c r="AH668"/>
      <c r="AI668"/>
      <c r="AJ668" s="164"/>
      <c r="AK668"/>
      <c r="AL668" s="177"/>
      <c r="AM668" s="161"/>
      <c r="AN668" s="161"/>
      <c r="AO668" s="161"/>
      <c r="AP668" s="161"/>
    </row>
    <row r="669" spans="1:42" s="119" customFormat="1">
      <c r="A669"/>
      <c r="B669"/>
      <c r="C669"/>
      <c r="D669"/>
      <c r="E669"/>
      <c r="F669"/>
      <c r="G669" s="239"/>
      <c r="H669"/>
      <c r="I669"/>
      <c r="J669"/>
      <c r="K669"/>
      <c r="L669"/>
      <c r="M669"/>
      <c r="N669"/>
      <c r="O669"/>
      <c r="P669"/>
      <c r="Q669"/>
      <c r="R669"/>
      <c r="S669"/>
      <c r="T669"/>
      <c r="U669"/>
      <c r="V669"/>
      <c r="W669"/>
      <c r="X669"/>
      <c r="Y669"/>
      <c r="Z669"/>
      <c r="AA669"/>
      <c r="AB669"/>
      <c r="AC669"/>
      <c r="AD669" s="161"/>
      <c r="AE669" s="161"/>
      <c r="AF669" s="161"/>
      <c r="AG669" s="164"/>
      <c r="AH669"/>
      <c r="AI669"/>
      <c r="AJ669" s="164"/>
      <c r="AK669"/>
      <c r="AL669" s="177"/>
      <c r="AM669" s="161"/>
      <c r="AN669" s="161"/>
      <c r="AO669" s="161"/>
      <c r="AP669" s="161"/>
    </row>
  </sheetData>
  <mergeCells count="6">
    <mergeCell ref="AM1:AP1"/>
    <mergeCell ref="E474:E492"/>
    <mergeCell ref="H1:W1"/>
    <mergeCell ref="X1:AB1"/>
    <mergeCell ref="E422:E440"/>
    <mergeCell ref="E446:E464"/>
  </mergeCell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1:CX72"/>
  <sheetViews>
    <sheetView zoomScale="40" zoomScaleNormal="40" workbookViewId="0">
      <selection activeCell="BA66" sqref="BA66"/>
    </sheetView>
  </sheetViews>
  <sheetFormatPr defaultRowHeight="15"/>
  <cols>
    <col min="1" max="1" width="23.28515625" customWidth="1"/>
    <col min="2" max="24" width="7.85546875" style="200" customWidth="1"/>
    <col min="25" max="25" width="9.42578125" style="200" customWidth="1"/>
    <col min="26" max="27" width="7.85546875" style="200" customWidth="1"/>
    <col min="30" max="30" width="23.140625" customWidth="1"/>
    <col min="31" max="38" width="8.42578125" style="177" customWidth="1"/>
    <col min="39" max="39" width="10.28515625" style="177" customWidth="1"/>
    <col min="40" max="46" width="8.42578125" style="177" customWidth="1"/>
    <col min="47" max="47" width="5" style="177" customWidth="1"/>
    <col min="48" max="48" width="6.42578125" style="177" customWidth="1"/>
    <col min="49" max="49" width="5" style="177" customWidth="1"/>
    <col min="50" max="56" width="8.42578125" style="177" customWidth="1"/>
    <col min="58" max="58" width="21.5703125" customWidth="1"/>
    <col min="86" max="86" width="21.85546875" customWidth="1"/>
    <col min="87" max="87" width="14.28515625" customWidth="1"/>
    <col min="91" max="91" width="24.42578125" customWidth="1"/>
    <col min="92" max="92" width="14.5703125" customWidth="1"/>
    <col min="93" max="93" width="13" customWidth="1"/>
    <col min="94" max="94" width="9.7109375" customWidth="1"/>
    <col min="95" max="95" width="12" customWidth="1"/>
    <col min="96" max="96" width="15.140625" customWidth="1"/>
    <col min="97" max="98" width="12.7109375" customWidth="1"/>
    <col min="99" max="99" width="7.5703125" customWidth="1"/>
    <col min="100" max="100" width="15.42578125" customWidth="1"/>
  </cols>
  <sheetData>
    <row r="1" spans="1:102" ht="51.75" customHeight="1">
      <c r="A1" s="217" t="s">
        <v>1990</v>
      </c>
      <c r="B1" s="201" t="s">
        <v>2192</v>
      </c>
      <c r="C1" s="201" t="s">
        <v>2193</v>
      </c>
      <c r="D1" s="201" t="s">
        <v>2194</v>
      </c>
      <c r="E1" s="201" t="s">
        <v>16</v>
      </c>
      <c r="F1" s="201" t="s">
        <v>2195</v>
      </c>
      <c r="G1" s="201" t="s">
        <v>2196</v>
      </c>
      <c r="H1" s="201" t="s">
        <v>2197</v>
      </c>
      <c r="I1" s="201" t="s">
        <v>2198</v>
      </c>
      <c r="J1" s="201" t="s">
        <v>2</v>
      </c>
      <c r="K1" s="201" t="s">
        <v>1747</v>
      </c>
      <c r="L1" s="201" t="s">
        <v>18</v>
      </c>
      <c r="M1" s="201" t="s">
        <v>20</v>
      </c>
      <c r="N1" s="201" t="s">
        <v>2199</v>
      </c>
      <c r="O1" s="201" t="s">
        <v>2200</v>
      </c>
      <c r="P1" s="201" t="s">
        <v>2201</v>
      </c>
      <c r="Q1" s="201" t="s">
        <v>34</v>
      </c>
      <c r="R1" s="208" t="s">
        <v>23</v>
      </c>
      <c r="S1" s="208" t="s">
        <v>26</v>
      </c>
      <c r="T1" s="208" t="s">
        <v>24</v>
      </c>
      <c r="U1" s="208" t="s">
        <v>27</v>
      </c>
      <c r="V1" s="208" t="s">
        <v>25</v>
      </c>
      <c r="W1" s="205" t="s">
        <v>1764</v>
      </c>
      <c r="X1" s="205" t="s">
        <v>1760</v>
      </c>
      <c r="Y1" s="205" t="s">
        <v>1763</v>
      </c>
      <c r="Z1" s="201" t="str">
        <f>All!AC419</f>
        <v>Tool-Based</v>
      </c>
      <c r="AA1" s="201" t="str">
        <f>All!AD419</f>
        <v>Advanced</v>
      </c>
      <c r="AD1" s="218" t="s">
        <v>1989</v>
      </c>
      <c r="AE1" s="237" t="str">
        <f>B1</f>
        <v>Corpor. Envir Strategy</v>
      </c>
      <c r="AF1" s="237" t="str">
        <f t="shared" ref="AF1:AY1" si="0">C1</f>
        <v>Soc/Envir. Ventures</v>
      </c>
      <c r="AG1" s="237" t="str">
        <f t="shared" si="0"/>
        <v>Envir Finance</v>
      </c>
      <c r="AH1" s="237" t="str">
        <f t="shared" si="0"/>
        <v>Climate Change</v>
      </c>
      <c r="AI1" s="237" t="str">
        <f t="shared" si="0"/>
        <v>Envir Justice &amp; Ethics</v>
      </c>
      <c r="AJ1" s="237" t="str">
        <f t="shared" si="0"/>
        <v>Envir Policy &amp; Law</v>
      </c>
      <c r="AK1" s="237" t="str">
        <f t="shared" si="0"/>
        <v>Envir Economics</v>
      </c>
      <c r="AL1" s="237" t="str">
        <f t="shared" si="0"/>
        <v>EH&amp;S</v>
      </c>
      <c r="AM1" s="237" t="str">
        <f t="shared" si="0"/>
        <v>Green Design &amp; Building</v>
      </c>
      <c r="AN1" s="237" t="str">
        <f t="shared" si="0"/>
        <v>CSR</v>
      </c>
      <c r="AO1" s="237" t="str">
        <f t="shared" si="0"/>
        <v>Energy</v>
      </c>
      <c r="AP1" s="237" t="str">
        <f t="shared" si="0"/>
        <v>Industrial Ecology</v>
      </c>
      <c r="AQ1" s="237" t="str">
        <f t="shared" si="0"/>
        <v>Natural Res Managmnt</v>
      </c>
      <c r="AR1" s="237" t="str">
        <f t="shared" si="0"/>
        <v>Internat Development</v>
      </c>
      <c r="AS1" s="237" t="str">
        <f t="shared" si="0"/>
        <v>Envir Chemistry</v>
      </c>
      <c r="AT1" s="237" t="str">
        <f t="shared" si="0"/>
        <v>Pollution</v>
      </c>
      <c r="AU1" s="237" t="str">
        <f t="shared" si="0"/>
        <v>Air</v>
      </c>
      <c r="AV1" s="237" t="str">
        <f t="shared" si="0"/>
        <v>Soils</v>
      </c>
      <c r="AW1" s="237" t="str">
        <f t="shared" si="0"/>
        <v>Water</v>
      </c>
      <c r="AX1" s="237" t="str">
        <f t="shared" si="0"/>
        <v>Ecosystems</v>
      </c>
      <c r="AY1" s="237" t="str">
        <f t="shared" si="0"/>
        <v>Forests</v>
      </c>
      <c r="AZ1" s="237" t="str">
        <f t="shared" ref="AZ1" si="1">W1</f>
        <v>SUM-B+E</v>
      </c>
      <c r="BA1" s="237" t="str">
        <f t="shared" ref="BA1" si="2">X1</f>
        <v>SUM-Sc</v>
      </c>
      <c r="BB1" s="237" t="str">
        <f t="shared" ref="BB1" si="3">Y1</f>
        <v>SUM B+E+Sc</v>
      </c>
      <c r="BC1" s="219" t="str">
        <f t="shared" ref="BC1" si="4">Z1</f>
        <v>Tool-Based</v>
      </c>
      <c r="BD1" s="219" t="str">
        <f t="shared" ref="BD1" si="5">AA1</f>
        <v>Advanced</v>
      </c>
      <c r="BF1" s="218" t="s">
        <v>1991</v>
      </c>
      <c r="BG1" s="219" t="str">
        <f>B1</f>
        <v>Corpor. Envir Strategy</v>
      </c>
      <c r="BH1" s="219" t="str">
        <f t="shared" ref="BH1:CE1" si="6">C1</f>
        <v>Soc/Envir. Ventures</v>
      </c>
      <c r="BI1" s="219" t="str">
        <f t="shared" si="6"/>
        <v>Envir Finance</v>
      </c>
      <c r="BJ1" s="219" t="str">
        <f t="shared" si="6"/>
        <v>Climate Change</v>
      </c>
      <c r="BK1" s="219" t="str">
        <f t="shared" si="6"/>
        <v>Envir Justice &amp; Ethics</v>
      </c>
      <c r="BL1" s="219" t="str">
        <f t="shared" si="6"/>
        <v>Envir Policy &amp; Law</v>
      </c>
      <c r="BM1" s="219" t="str">
        <f t="shared" si="6"/>
        <v>Envir Economics</v>
      </c>
      <c r="BN1" s="219" t="str">
        <f t="shared" si="6"/>
        <v>EH&amp;S</v>
      </c>
      <c r="BO1" s="219" t="str">
        <f t="shared" si="6"/>
        <v>Green Design &amp; Building</v>
      </c>
      <c r="BP1" s="219" t="str">
        <f t="shared" si="6"/>
        <v>CSR</v>
      </c>
      <c r="BQ1" s="219" t="str">
        <f t="shared" si="6"/>
        <v>Energy</v>
      </c>
      <c r="BR1" s="219" t="str">
        <f t="shared" si="6"/>
        <v>Industrial Ecology</v>
      </c>
      <c r="BS1" s="219" t="str">
        <f t="shared" si="6"/>
        <v>Natural Res Managmnt</v>
      </c>
      <c r="BT1" s="219" t="str">
        <f t="shared" si="6"/>
        <v>Internat Development</v>
      </c>
      <c r="BU1" s="219" t="str">
        <f t="shared" si="6"/>
        <v>Envir Chemistry</v>
      </c>
      <c r="BV1" s="219" t="str">
        <f t="shared" si="6"/>
        <v>Pollution</v>
      </c>
      <c r="BW1" s="227" t="str">
        <f t="shared" si="6"/>
        <v>Air</v>
      </c>
      <c r="BX1" s="227" t="str">
        <f t="shared" si="6"/>
        <v>Soils</v>
      </c>
      <c r="BY1" s="227" t="str">
        <f t="shared" si="6"/>
        <v>Water</v>
      </c>
      <c r="BZ1" s="227" t="str">
        <f t="shared" si="6"/>
        <v>Ecosystems</v>
      </c>
      <c r="CA1" s="227" t="str">
        <f t="shared" si="6"/>
        <v>Forests</v>
      </c>
      <c r="CB1" s="228" t="str">
        <f t="shared" si="6"/>
        <v>SUM-B+E</v>
      </c>
      <c r="CC1" s="228" t="str">
        <f t="shared" si="6"/>
        <v>SUM-Sc</v>
      </c>
      <c r="CD1" s="228" t="str">
        <f t="shared" si="6"/>
        <v>SUM B+E+Sc</v>
      </c>
      <c r="CE1" s="219" t="str">
        <f t="shared" si="6"/>
        <v>Tool-Based</v>
      </c>
      <c r="CF1" s="219" t="str">
        <f t="shared" ref="CF1" si="7">AA1</f>
        <v>Advanced</v>
      </c>
      <c r="CH1" s="267"/>
      <c r="CI1" s="268" t="s">
        <v>2021</v>
      </c>
      <c r="CJ1" s="268" t="s">
        <v>2022</v>
      </c>
      <c r="CK1" s="269" t="s">
        <v>2023</v>
      </c>
      <c r="CM1" s="272" t="s">
        <v>2169</v>
      </c>
      <c r="CN1" s="273" t="s">
        <v>1754</v>
      </c>
      <c r="CO1" s="273" t="s">
        <v>2171</v>
      </c>
      <c r="CP1" s="275" t="s">
        <v>2170</v>
      </c>
      <c r="CQ1" s="270" t="s">
        <v>2172</v>
      </c>
      <c r="CR1" s="270" t="s">
        <v>2173</v>
      </c>
      <c r="CS1" s="270" t="s">
        <v>2174</v>
      </c>
      <c r="CT1" s="290" t="s">
        <v>2184</v>
      </c>
      <c r="CV1" s="324" t="s">
        <v>2204</v>
      </c>
      <c r="CW1" s="324" t="s">
        <v>2205</v>
      </c>
      <c r="CX1" s="325" t="s">
        <v>2206</v>
      </c>
    </row>
    <row r="2" spans="1:102">
      <c r="A2" s="202" t="str">
        <f>All!C446</f>
        <v>Afr.-Afr./Amer. studies</v>
      </c>
      <c r="B2" s="200">
        <f>All!H446</f>
        <v>0</v>
      </c>
      <c r="C2" s="200">
        <f>All!I446</f>
        <v>0</v>
      </c>
      <c r="D2" s="200">
        <f>All!J446</f>
        <v>0</v>
      </c>
      <c r="E2" s="200">
        <f>All!K446</f>
        <v>0</v>
      </c>
      <c r="F2" s="200">
        <f>All!L446</f>
        <v>0</v>
      </c>
      <c r="G2" s="200">
        <f>All!M446</f>
        <v>0</v>
      </c>
      <c r="H2" s="200">
        <f>All!N446</f>
        <v>0</v>
      </c>
      <c r="I2" s="200">
        <f>All!O446</f>
        <v>0</v>
      </c>
      <c r="J2" s="200">
        <f>All!P446</f>
        <v>0</v>
      </c>
      <c r="K2" s="200">
        <f>All!Q446</f>
        <v>0</v>
      </c>
      <c r="L2" s="200">
        <f>All!R446</f>
        <v>0</v>
      </c>
      <c r="M2" s="200">
        <f>All!S446</f>
        <v>0</v>
      </c>
      <c r="N2" s="200">
        <f>All!T446</f>
        <v>0</v>
      </c>
      <c r="O2" s="200">
        <f>All!U446</f>
        <v>0</v>
      </c>
      <c r="P2" s="200">
        <f>All!V446</f>
        <v>0</v>
      </c>
      <c r="Q2" s="200">
        <f>All!W446</f>
        <v>0</v>
      </c>
      <c r="R2" s="209">
        <f>All!X446</f>
        <v>0</v>
      </c>
      <c r="S2" s="209">
        <f>All!Y446</f>
        <v>0</v>
      </c>
      <c r="T2" s="209">
        <f>All!Z446</f>
        <v>0</v>
      </c>
      <c r="U2" s="209">
        <f>All!AA446</f>
        <v>0</v>
      </c>
      <c r="V2" s="209">
        <f>All!AB446</f>
        <v>0</v>
      </c>
      <c r="W2" s="211">
        <f t="shared" ref="W2:W5" si="8">SUM(B2:Q2)</f>
        <v>0</v>
      </c>
      <c r="X2" s="207">
        <f>SUM(R2:V2)</f>
        <v>0</v>
      </c>
      <c r="Y2" s="207">
        <f t="shared" ref="Y2:Y5" si="9">X2+W2</f>
        <v>0</v>
      </c>
      <c r="Z2" s="200">
        <f>All!AC446</f>
        <v>0</v>
      </c>
      <c r="AA2" s="200">
        <f>All!AD446</f>
        <v>0</v>
      </c>
      <c r="AD2" t="str">
        <f>A2</f>
        <v>Afr.-Afr./Amer. studies</v>
      </c>
      <c r="AE2" s="200">
        <f>All!H421</f>
        <v>0</v>
      </c>
      <c r="AF2" s="200">
        <f>All!I421</f>
        <v>0</v>
      </c>
      <c r="AG2" s="200">
        <f>All!J421</f>
        <v>1</v>
      </c>
      <c r="AH2" s="200">
        <f>All!K421</f>
        <v>0</v>
      </c>
      <c r="AI2" s="200">
        <f>All!L421</f>
        <v>1</v>
      </c>
      <c r="AJ2" s="200">
        <f>All!M421</f>
        <v>5</v>
      </c>
      <c r="AK2" s="200">
        <f>All!N421</f>
        <v>0</v>
      </c>
      <c r="AL2" s="200">
        <f>All!O421</f>
        <v>1</v>
      </c>
      <c r="AM2" s="200">
        <f>All!P421</f>
        <v>1</v>
      </c>
      <c r="AN2" s="200">
        <f>All!Q421</f>
        <v>0</v>
      </c>
      <c r="AO2" s="200">
        <f>All!R421</f>
        <v>0</v>
      </c>
      <c r="AP2" s="200">
        <f>All!S421</f>
        <v>0</v>
      </c>
      <c r="AQ2" s="200">
        <f>All!T421</f>
        <v>2</v>
      </c>
      <c r="AR2" s="200">
        <f>All!U421</f>
        <v>5</v>
      </c>
      <c r="AS2" s="200">
        <f>All!V421</f>
        <v>0</v>
      </c>
      <c r="AT2" s="200">
        <f>All!W421</f>
        <v>0</v>
      </c>
      <c r="AU2" s="233">
        <f>All!X421</f>
        <v>0</v>
      </c>
      <c r="AV2" s="233">
        <f>All!Y421</f>
        <v>1</v>
      </c>
      <c r="AW2" s="233">
        <f>All!Z421</f>
        <v>0</v>
      </c>
      <c r="AX2" s="233">
        <f>All!AA421</f>
        <v>1</v>
      </c>
      <c r="AY2" s="233">
        <f>All!AB421</f>
        <v>0</v>
      </c>
      <c r="AZ2" s="234">
        <f>SUM(AE2:AT2)</f>
        <v>16</v>
      </c>
      <c r="BA2" s="234">
        <f>SUM(AU2:AY2)</f>
        <v>2</v>
      </c>
      <c r="BB2" s="234">
        <f>BA2+AZ2</f>
        <v>18</v>
      </c>
      <c r="BC2" s="200">
        <f>All!AC421</f>
        <v>0</v>
      </c>
      <c r="BD2" s="200">
        <f>All!AD421</f>
        <v>0</v>
      </c>
      <c r="BF2" t="str">
        <f>A2</f>
        <v>Afr.-Afr./Amer. studies</v>
      </c>
      <c r="BG2" s="177">
        <f>All!H474</f>
        <v>0</v>
      </c>
      <c r="BH2" s="177">
        <f>All!I474</f>
        <v>0</v>
      </c>
      <c r="BI2" s="177">
        <f>All!J474</f>
        <v>0</v>
      </c>
      <c r="BJ2" s="177">
        <f>All!K474</f>
        <v>0</v>
      </c>
      <c r="BK2" s="177">
        <f>All!L474</f>
        <v>0</v>
      </c>
      <c r="BL2" s="177">
        <f>All!M474</f>
        <v>0</v>
      </c>
      <c r="BM2" s="177">
        <f>All!N474</f>
        <v>0</v>
      </c>
      <c r="BN2" s="177">
        <f>All!O474</f>
        <v>0</v>
      </c>
      <c r="BO2" s="177">
        <f>All!P474</f>
        <v>0</v>
      </c>
      <c r="BP2" s="177">
        <f>All!Q474</f>
        <v>0</v>
      </c>
      <c r="BQ2" s="177">
        <f>All!R474</f>
        <v>0</v>
      </c>
      <c r="BR2" s="177">
        <f>All!S474</f>
        <v>0</v>
      </c>
      <c r="BS2" s="177">
        <f>All!T474</f>
        <v>0</v>
      </c>
      <c r="BT2" s="177">
        <f>All!U474</f>
        <v>0</v>
      </c>
      <c r="BU2" s="177">
        <f>All!V474</f>
        <v>0</v>
      </c>
      <c r="BV2" s="177">
        <f>All!W474</f>
        <v>0</v>
      </c>
      <c r="BW2" s="220">
        <f>All!X474</f>
        <v>0</v>
      </c>
      <c r="BX2" s="220">
        <f>All!Y474</f>
        <v>0</v>
      </c>
      <c r="BY2" s="220">
        <f>All!Z474</f>
        <v>0</v>
      </c>
      <c r="BZ2" s="220">
        <f>All!AA474</f>
        <v>0</v>
      </c>
      <c r="CA2" s="220">
        <f>All!AB474</f>
        <v>0</v>
      </c>
      <c r="CB2" s="229">
        <f>SUM(BG2:BV2)</f>
        <v>0</v>
      </c>
      <c r="CC2" s="229">
        <f>SUM(BW2:CA2)</f>
        <v>0</v>
      </c>
      <c r="CD2" s="229">
        <f>CC2+CB2</f>
        <v>0</v>
      </c>
      <c r="CE2" s="177">
        <f>All!AC474</f>
        <v>0</v>
      </c>
      <c r="CF2" s="177">
        <f>All!AD474</f>
        <v>0</v>
      </c>
      <c r="CH2" s="262" t="str">
        <f t="array" ref="CH2:CH22">TRANSPOSE(BG1:CA1)</f>
        <v>Corpor. Envir Strategy</v>
      </c>
      <c r="CI2" s="261">
        <f t="array" ref="CI2:CI22">TRANSPOSE(AE24:AY24)</f>
        <v>56</v>
      </c>
      <c r="CJ2" s="261">
        <f t="array" ref="CJ2:CJ22">TRANSPOSE(B24:V24)</f>
        <v>31</v>
      </c>
      <c r="CK2" s="263">
        <f t="array" ref="CK2:CK22">TRANSPOSE(BG24:CA24)</f>
        <v>24</v>
      </c>
      <c r="CM2" s="262" t="str">
        <f>A2</f>
        <v>Afr.-Afr./Amer. studies</v>
      </c>
      <c r="CN2" s="271">
        <f>COUNTIFS(All!AL3:AL412,"=African/african american studies")</f>
        <v>7</v>
      </c>
      <c r="CO2" s="271">
        <f>COUNTIFS(All!AL3:AL412,"=African/african american studies",All!G3:G412,"&gt;1")</f>
        <v>0</v>
      </c>
      <c r="CP2" s="276">
        <f>COUNTIFS(All!AL3:AL412,"=African/african american studies",All!G3:G412,"&gt;2")</f>
        <v>0</v>
      </c>
      <c r="CQ2" s="278"/>
      <c r="CR2" s="278"/>
      <c r="CS2" s="278"/>
      <c r="CT2" s="291">
        <f>All!AC421</f>
        <v>0</v>
      </c>
      <c r="CV2" s="326">
        <f>CN2/$CN$24</f>
        <v>1.7199017199017199E-2</v>
      </c>
      <c r="CW2" s="326">
        <f>CO2/$CO$24</f>
        <v>0</v>
      </c>
      <c r="CX2" s="326">
        <f>CP2/$CP$24</f>
        <v>0</v>
      </c>
    </row>
    <row r="3" spans="1:102">
      <c r="A3" s="202" t="str">
        <f>All!C447</f>
        <v>Anthropology</v>
      </c>
      <c r="B3" s="200">
        <f>All!H447</f>
        <v>0</v>
      </c>
      <c r="C3" s="200">
        <f>All!I447</f>
        <v>0</v>
      </c>
      <c r="D3" s="200">
        <f>All!J447</f>
        <v>0</v>
      </c>
      <c r="E3" s="200">
        <f>All!K447</f>
        <v>0</v>
      </c>
      <c r="F3" s="200">
        <f>All!L447</f>
        <v>1</v>
      </c>
      <c r="G3" s="200">
        <f>All!M447</f>
        <v>0</v>
      </c>
      <c r="H3" s="200">
        <f>All!N447</f>
        <v>1</v>
      </c>
      <c r="I3" s="200">
        <f>All!O447</f>
        <v>0</v>
      </c>
      <c r="J3" s="200">
        <f>All!P447</f>
        <v>0</v>
      </c>
      <c r="K3" s="200">
        <f>All!Q447</f>
        <v>0</v>
      </c>
      <c r="L3" s="200">
        <f>All!R447</f>
        <v>0</v>
      </c>
      <c r="M3" s="200">
        <f>All!S447</f>
        <v>0</v>
      </c>
      <c r="N3" s="200">
        <f>All!T447</f>
        <v>1</v>
      </c>
      <c r="O3" s="200">
        <f>All!U447</f>
        <v>1</v>
      </c>
      <c r="P3" s="200">
        <f>All!V447</f>
        <v>0</v>
      </c>
      <c r="Q3" s="200">
        <f>All!W447</f>
        <v>0</v>
      </c>
      <c r="R3" s="209">
        <f>All!X447</f>
        <v>0</v>
      </c>
      <c r="S3" s="209">
        <f>All!Y447</f>
        <v>0</v>
      </c>
      <c r="T3" s="209">
        <f>All!Z447</f>
        <v>0</v>
      </c>
      <c r="U3" s="209">
        <f>All!AA447</f>
        <v>0</v>
      </c>
      <c r="V3" s="209">
        <f>All!AB447</f>
        <v>0</v>
      </c>
      <c r="W3" s="211">
        <f t="shared" si="8"/>
        <v>4</v>
      </c>
      <c r="X3" s="207">
        <f t="shared" ref="X3:X5" si="10">SUM(R3:V3)</f>
        <v>0</v>
      </c>
      <c r="Y3" s="207">
        <f t="shared" si="9"/>
        <v>4</v>
      </c>
      <c r="Z3" s="200">
        <f>All!AC447</f>
        <v>0</v>
      </c>
      <c r="AA3" s="200">
        <f>All!AD447</f>
        <v>0</v>
      </c>
      <c r="AD3" t="str">
        <f t="shared" ref="AD3:AD6" si="11">A3</f>
        <v>Anthropology</v>
      </c>
      <c r="AE3" s="200">
        <f>All!H422</f>
        <v>0</v>
      </c>
      <c r="AF3" s="200">
        <f>All!I422</f>
        <v>0</v>
      </c>
      <c r="AG3" s="200">
        <f>All!J422</f>
        <v>0</v>
      </c>
      <c r="AH3" s="200">
        <f>All!K422</f>
        <v>3</v>
      </c>
      <c r="AI3" s="200">
        <f>All!L422</f>
        <v>6</v>
      </c>
      <c r="AJ3" s="200">
        <f>All!M422</f>
        <v>4</v>
      </c>
      <c r="AK3" s="200">
        <f>All!N422</f>
        <v>1</v>
      </c>
      <c r="AL3" s="200">
        <f>All!O422</f>
        <v>0</v>
      </c>
      <c r="AM3" s="200">
        <f>All!P422</f>
        <v>0</v>
      </c>
      <c r="AN3" s="200">
        <f>All!Q422</f>
        <v>0</v>
      </c>
      <c r="AO3" s="200">
        <f>All!R422</f>
        <v>1</v>
      </c>
      <c r="AP3" s="200">
        <f>All!S422</f>
        <v>0</v>
      </c>
      <c r="AQ3" s="200">
        <f>All!T422</f>
        <v>5</v>
      </c>
      <c r="AR3" s="200">
        <f>All!U422</f>
        <v>5</v>
      </c>
      <c r="AS3" s="200">
        <f>All!V422</f>
        <v>0</v>
      </c>
      <c r="AT3" s="200">
        <f>All!W422</f>
        <v>0</v>
      </c>
      <c r="AU3" s="233">
        <f>All!X422</f>
        <v>0</v>
      </c>
      <c r="AV3" s="233">
        <f>All!Y422</f>
        <v>2</v>
      </c>
      <c r="AW3" s="233">
        <f>All!Z422</f>
        <v>1</v>
      </c>
      <c r="AX3" s="233">
        <f>All!AA422</f>
        <v>3</v>
      </c>
      <c r="AY3" s="233">
        <f>All!AB422</f>
        <v>0</v>
      </c>
      <c r="AZ3" s="234">
        <f t="shared" ref="AZ3:AZ5" si="12">SUM(AE3:AT3)</f>
        <v>25</v>
      </c>
      <c r="BA3" s="234">
        <f t="shared" ref="BA3:BA5" si="13">SUM(AU3:AY3)</f>
        <v>6</v>
      </c>
      <c r="BB3" s="234">
        <f t="shared" ref="BB3:BB5" si="14">BA3+AZ3</f>
        <v>31</v>
      </c>
      <c r="BC3" s="200">
        <f>All!AC422</f>
        <v>0</v>
      </c>
      <c r="BD3" s="200">
        <f>All!AD422</f>
        <v>1</v>
      </c>
      <c r="BF3" t="str">
        <f t="shared" ref="BF3:BF6" si="15">A3</f>
        <v>Anthropology</v>
      </c>
      <c r="BG3" s="177">
        <f>All!H475</f>
        <v>0</v>
      </c>
      <c r="BH3" s="177">
        <f>All!I475</f>
        <v>0</v>
      </c>
      <c r="BI3" s="177">
        <f>All!J475</f>
        <v>0</v>
      </c>
      <c r="BJ3" s="177">
        <f>All!K475</f>
        <v>0</v>
      </c>
      <c r="BK3" s="177">
        <f>All!L475</f>
        <v>0</v>
      </c>
      <c r="BL3" s="177">
        <f>All!M475</f>
        <v>0</v>
      </c>
      <c r="BM3" s="177">
        <f>All!N475</f>
        <v>0</v>
      </c>
      <c r="BN3" s="177">
        <f>All!O475</f>
        <v>0</v>
      </c>
      <c r="BO3" s="177">
        <f>All!P475</f>
        <v>0</v>
      </c>
      <c r="BP3" s="177">
        <f>All!Q475</f>
        <v>0</v>
      </c>
      <c r="BQ3" s="177">
        <f>All!R475</f>
        <v>0</v>
      </c>
      <c r="BR3" s="177">
        <f>All!S475</f>
        <v>0</v>
      </c>
      <c r="BS3" s="177">
        <f>All!T475</f>
        <v>0</v>
      </c>
      <c r="BT3" s="177">
        <f>All!U475</f>
        <v>0</v>
      </c>
      <c r="BU3" s="177">
        <f>All!V475</f>
        <v>0</v>
      </c>
      <c r="BV3" s="177">
        <f>All!W475</f>
        <v>0</v>
      </c>
      <c r="BW3" s="220">
        <f>All!X475</f>
        <v>0</v>
      </c>
      <c r="BX3" s="220">
        <f>All!Y475</f>
        <v>0</v>
      </c>
      <c r="BY3" s="220">
        <f>All!Z475</f>
        <v>0</v>
      </c>
      <c r="BZ3" s="220">
        <f>All!AA475</f>
        <v>0</v>
      </c>
      <c r="CA3" s="220">
        <f>All!AB475</f>
        <v>0</v>
      </c>
      <c r="CB3" s="229">
        <f t="shared" ref="CB3:CB5" si="16">SUM(BG3:BV3)</f>
        <v>0</v>
      </c>
      <c r="CC3" s="229">
        <f t="shared" ref="CC3:CC5" si="17">SUM(BW3:CA3)</f>
        <v>0</v>
      </c>
      <c r="CD3" s="229">
        <f t="shared" ref="CD3:CD5" si="18">CC3+CB3</f>
        <v>0</v>
      </c>
      <c r="CE3" s="177">
        <f>All!AC475</f>
        <v>0</v>
      </c>
      <c r="CF3" s="177">
        <f>All!AD475</f>
        <v>0</v>
      </c>
      <c r="CH3" s="262" t="str">
        <v>Soc/Envir. Ventures</v>
      </c>
      <c r="CI3" s="261">
        <v>33</v>
      </c>
      <c r="CJ3" s="261">
        <v>20</v>
      </c>
      <c r="CK3" s="263">
        <v>14</v>
      </c>
      <c r="CM3" s="262" t="str">
        <f t="shared" ref="CM3:CM14" si="19">A3</f>
        <v>Anthropology</v>
      </c>
      <c r="CN3" s="271">
        <f>COUNTIFS(All!AL3:AL412,"=Anthropology")</f>
        <v>8</v>
      </c>
      <c r="CO3" s="271">
        <f>COUNTIFS(All!AL3:AL412,"=Anthropology",All!G3:G412,"&gt;1")</f>
        <v>1</v>
      </c>
      <c r="CP3" s="276">
        <f>COUNTIFS(All!AL3:AL412,"=Anthropology",All!G3:G412,"&gt;2")</f>
        <v>0</v>
      </c>
      <c r="CQ3" s="278"/>
      <c r="CR3" s="278"/>
      <c r="CS3" s="278"/>
      <c r="CT3" s="291">
        <f>All!AC422</f>
        <v>0</v>
      </c>
      <c r="CV3" s="326">
        <f t="shared" ref="CV3:CV23" si="20">CN3/$CN$24</f>
        <v>1.9656019656019656E-2</v>
      </c>
      <c r="CW3" s="326">
        <f t="shared" ref="CW3:CW23" si="21">CO3/$CO$24</f>
        <v>7.4074074074074077E-3</v>
      </c>
      <c r="CX3" s="326">
        <f t="shared" ref="CX3:CX23" si="22">CP3/$CP$24</f>
        <v>0</v>
      </c>
    </row>
    <row r="4" spans="1:102">
      <c r="A4" s="202" t="str">
        <f>All!C448</f>
        <v>Architecture</v>
      </c>
      <c r="B4" s="200">
        <f>All!H448</f>
        <v>0</v>
      </c>
      <c r="C4" s="200">
        <f>All!I448</f>
        <v>0</v>
      </c>
      <c r="D4" s="200">
        <f>All!J448</f>
        <v>0</v>
      </c>
      <c r="E4" s="200">
        <f>All!K448</f>
        <v>1</v>
      </c>
      <c r="F4" s="200">
        <f>All!L448</f>
        <v>0</v>
      </c>
      <c r="G4" s="200">
        <f>All!M448</f>
        <v>0</v>
      </c>
      <c r="H4" s="200">
        <f>All!N448</f>
        <v>0</v>
      </c>
      <c r="I4" s="200">
        <f>All!O448</f>
        <v>0</v>
      </c>
      <c r="J4" s="200">
        <f>All!P448</f>
        <v>3</v>
      </c>
      <c r="K4" s="200">
        <f>All!Q448</f>
        <v>1</v>
      </c>
      <c r="L4" s="200">
        <f>All!R448</f>
        <v>3</v>
      </c>
      <c r="M4" s="200">
        <f>All!S448</f>
        <v>2</v>
      </c>
      <c r="N4" s="200">
        <f>All!T448</f>
        <v>0</v>
      </c>
      <c r="O4" s="200">
        <f>All!U448</f>
        <v>0</v>
      </c>
      <c r="P4" s="200">
        <f>All!V448</f>
        <v>0</v>
      </c>
      <c r="Q4" s="200">
        <f>All!W448</f>
        <v>0</v>
      </c>
      <c r="R4" s="209">
        <f>All!X448</f>
        <v>1</v>
      </c>
      <c r="S4" s="209">
        <f>All!Y448</f>
        <v>0</v>
      </c>
      <c r="T4" s="209">
        <f>All!Z448</f>
        <v>0</v>
      </c>
      <c r="U4" s="209">
        <f>All!AA448</f>
        <v>0</v>
      </c>
      <c r="V4" s="209">
        <f>All!AB448</f>
        <v>0</v>
      </c>
      <c r="W4" s="211">
        <f t="shared" si="8"/>
        <v>10</v>
      </c>
      <c r="X4" s="207">
        <f t="shared" si="10"/>
        <v>1</v>
      </c>
      <c r="Y4" s="207">
        <f t="shared" si="9"/>
        <v>11</v>
      </c>
      <c r="Z4" s="200">
        <f>All!AC448</f>
        <v>0</v>
      </c>
      <c r="AA4" s="200">
        <f>All!AD448</f>
        <v>0</v>
      </c>
      <c r="AD4" t="str">
        <f t="shared" si="11"/>
        <v>Architecture</v>
      </c>
      <c r="AE4" s="200">
        <f>All!H423</f>
        <v>0</v>
      </c>
      <c r="AF4" s="200">
        <f>All!I423</f>
        <v>0</v>
      </c>
      <c r="AG4" s="200">
        <f>All!J423</f>
        <v>1</v>
      </c>
      <c r="AH4" s="200">
        <f>All!K423</f>
        <v>1</v>
      </c>
      <c r="AI4" s="200">
        <f>All!L423</f>
        <v>0</v>
      </c>
      <c r="AJ4" s="200">
        <f>All!M423</f>
        <v>1</v>
      </c>
      <c r="AK4" s="200">
        <f>All!N423</f>
        <v>0</v>
      </c>
      <c r="AL4" s="200">
        <f>All!O423</f>
        <v>0</v>
      </c>
      <c r="AM4" s="200">
        <f>All!P423</f>
        <v>8</v>
      </c>
      <c r="AN4" s="200">
        <f>All!Q423</f>
        <v>1</v>
      </c>
      <c r="AO4" s="200">
        <f>All!R423</f>
        <v>5</v>
      </c>
      <c r="AP4" s="200">
        <f>All!S423</f>
        <v>3</v>
      </c>
      <c r="AQ4" s="200">
        <f>All!T423</f>
        <v>0</v>
      </c>
      <c r="AR4" s="200">
        <f>All!U423</f>
        <v>0</v>
      </c>
      <c r="AS4" s="200">
        <f>All!V423</f>
        <v>0</v>
      </c>
      <c r="AT4" s="200">
        <f>All!W423</f>
        <v>0</v>
      </c>
      <c r="AU4" s="233">
        <f>All!X423</f>
        <v>1</v>
      </c>
      <c r="AV4" s="233">
        <f>All!Y423</f>
        <v>0</v>
      </c>
      <c r="AW4" s="233">
        <f>All!Z423</f>
        <v>1</v>
      </c>
      <c r="AX4" s="233">
        <f>All!AA423</f>
        <v>0</v>
      </c>
      <c r="AY4" s="233">
        <f>All!AB423</f>
        <v>0</v>
      </c>
      <c r="AZ4" s="234">
        <f t="shared" si="12"/>
        <v>20</v>
      </c>
      <c r="BA4" s="234">
        <f t="shared" si="13"/>
        <v>2</v>
      </c>
      <c r="BB4" s="234">
        <f t="shared" si="14"/>
        <v>22</v>
      </c>
      <c r="BC4" s="200">
        <f>All!AC423</f>
        <v>0</v>
      </c>
      <c r="BD4" s="200">
        <f>All!AD423</f>
        <v>0</v>
      </c>
      <c r="BF4" t="str">
        <f t="shared" si="15"/>
        <v>Architecture</v>
      </c>
      <c r="BG4" s="177">
        <f>All!H476</f>
        <v>0</v>
      </c>
      <c r="BH4" s="177">
        <f>All!I476</f>
        <v>0</v>
      </c>
      <c r="BI4" s="177">
        <f>All!J476</f>
        <v>0</v>
      </c>
      <c r="BJ4" s="177">
        <f>All!K476</f>
        <v>0</v>
      </c>
      <c r="BK4" s="177">
        <f>All!L476</f>
        <v>0</v>
      </c>
      <c r="BL4" s="177">
        <f>All!M476</f>
        <v>0</v>
      </c>
      <c r="BM4" s="177">
        <f>All!N476</f>
        <v>0</v>
      </c>
      <c r="BN4" s="177">
        <f>All!O476</f>
        <v>0</v>
      </c>
      <c r="BO4" s="177">
        <f>All!P476</f>
        <v>0</v>
      </c>
      <c r="BP4" s="177">
        <f>All!Q476</f>
        <v>0</v>
      </c>
      <c r="BQ4" s="177">
        <f>All!R476</f>
        <v>0</v>
      </c>
      <c r="BR4" s="177">
        <f>All!S476</f>
        <v>0</v>
      </c>
      <c r="BS4" s="177">
        <f>All!T476</f>
        <v>0</v>
      </c>
      <c r="BT4" s="177">
        <f>All!U476</f>
        <v>0</v>
      </c>
      <c r="BU4" s="177">
        <f>All!V476</f>
        <v>0</v>
      </c>
      <c r="BV4" s="177">
        <f>All!W476</f>
        <v>0</v>
      </c>
      <c r="BW4" s="220">
        <f>All!X476</f>
        <v>0</v>
      </c>
      <c r="BX4" s="220">
        <f>All!Y476</f>
        <v>0</v>
      </c>
      <c r="BY4" s="220">
        <f>All!Z476</f>
        <v>0</v>
      </c>
      <c r="BZ4" s="220">
        <f>All!AA476</f>
        <v>0</v>
      </c>
      <c r="CA4" s="220">
        <f>All!AB476</f>
        <v>0</v>
      </c>
      <c r="CB4" s="229">
        <f t="shared" si="16"/>
        <v>0</v>
      </c>
      <c r="CC4" s="229">
        <f t="shared" si="17"/>
        <v>0</v>
      </c>
      <c r="CD4" s="229">
        <f t="shared" si="18"/>
        <v>0</v>
      </c>
      <c r="CE4" s="177">
        <f>All!AC476</f>
        <v>0</v>
      </c>
      <c r="CF4" s="177">
        <f>All!AD476</f>
        <v>0</v>
      </c>
      <c r="CH4" s="262" t="str">
        <v>Envir Finance</v>
      </c>
      <c r="CI4" s="261">
        <v>63</v>
      </c>
      <c r="CJ4" s="261">
        <v>34</v>
      </c>
      <c r="CK4" s="263">
        <v>22</v>
      </c>
      <c r="CM4" s="262" t="str">
        <f t="shared" si="19"/>
        <v>Architecture</v>
      </c>
      <c r="CN4" s="271">
        <f>COUNTIFS(All!AL3:AL412,"=Architecture")</f>
        <v>8</v>
      </c>
      <c r="CO4" s="271">
        <f>COUNTIFS(All!AL3:AL412,"=Architecture",All!G3:G412,"&gt;1")</f>
        <v>3</v>
      </c>
      <c r="CP4" s="276">
        <f>COUNTIFS(All!AL3:AL412,"=Architecture",All!G3:G412,"&gt;2")</f>
        <v>0</v>
      </c>
      <c r="CQ4" s="278"/>
      <c r="CR4" s="278"/>
      <c r="CS4" s="278">
        <v>5</v>
      </c>
      <c r="CT4" s="291">
        <f>All!AC423</f>
        <v>0</v>
      </c>
      <c r="CV4" s="326">
        <f t="shared" si="20"/>
        <v>1.9656019656019656E-2</v>
      </c>
      <c r="CW4" s="326">
        <f t="shared" si="21"/>
        <v>2.2222222222222223E-2</v>
      </c>
      <c r="CX4" s="326">
        <f t="shared" si="22"/>
        <v>0</v>
      </c>
    </row>
    <row r="5" spans="1:102">
      <c r="A5" s="202" t="str">
        <f>All!C449</f>
        <v>Biology</v>
      </c>
      <c r="B5" s="200">
        <f>All!H449</f>
        <v>0</v>
      </c>
      <c r="C5" s="200">
        <f>All!I449</f>
        <v>0</v>
      </c>
      <c r="D5" s="200">
        <f>All!J449</f>
        <v>0</v>
      </c>
      <c r="E5" s="200">
        <f>All!K449</f>
        <v>2</v>
      </c>
      <c r="F5" s="200">
        <f>All!L449</f>
        <v>0</v>
      </c>
      <c r="G5" s="200">
        <f>All!M449</f>
        <v>0</v>
      </c>
      <c r="H5" s="200">
        <f>All!N449</f>
        <v>0</v>
      </c>
      <c r="I5" s="200">
        <f>All!O449</f>
        <v>0</v>
      </c>
      <c r="J5" s="200">
        <f>All!P449</f>
        <v>0</v>
      </c>
      <c r="K5" s="200">
        <f>All!Q449</f>
        <v>0</v>
      </c>
      <c r="L5" s="200">
        <f>All!R449</f>
        <v>0</v>
      </c>
      <c r="M5" s="200">
        <f>All!S449</f>
        <v>0</v>
      </c>
      <c r="N5" s="200">
        <f>All!T449</f>
        <v>2</v>
      </c>
      <c r="O5" s="200">
        <f>All!U449</f>
        <v>1</v>
      </c>
      <c r="P5" s="200">
        <f>All!V449</f>
        <v>1</v>
      </c>
      <c r="Q5" s="200">
        <f>All!W449</f>
        <v>1</v>
      </c>
      <c r="R5" s="209">
        <f>All!X449</f>
        <v>1</v>
      </c>
      <c r="S5" s="209">
        <f>All!Y449</f>
        <v>1</v>
      </c>
      <c r="T5" s="209">
        <f>All!Z449</f>
        <v>1</v>
      </c>
      <c r="U5" s="209">
        <f>All!AA449</f>
        <v>2</v>
      </c>
      <c r="V5" s="209">
        <f>All!AB449</f>
        <v>2</v>
      </c>
      <c r="W5" s="211">
        <f t="shared" si="8"/>
        <v>7</v>
      </c>
      <c r="X5" s="207">
        <f t="shared" si="10"/>
        <v>7</v>
      </c>
      <c r="Y5" s="207">
        <f t="shared" si="9"/>
        <v>14</v>
      </c>
      <c r="Z5" s="200">
        <f>All!AC449</f>
        <v>0</v>
      </c>
      <c r="AA5" s="200">
        <f>All!AD449</f>
        <v>1</v>
      </c>
      <c r="AD5" t="str">
        <f t="shared" si="11"/>
        <v>Biology</v>
      </c>
      <c r="AE5" s="200">
        <f>All!H424</f>
        <v>0</v>
      </c>
      <c r="AF5" s="200">
        <f>All!I424</f>
        <v>0</v>
      </c>
      <c r="AG5" s="200">
        <f>All!J424</f>
        <v>0</v>
      </c>
      <c r="AH5" s="200">
        <f>All!K424</f>
        <v>3</v>
      </c>
      <c r="AI5" s="200">
        <f>All!L424</f>
        <v>1</v>
      </c>
      <c r="AJ5" s="200">
        <f>All!M424</f>
        <v>2</v>
      </c>
      <c r="AK5" s="200">
        <f>All!N424</f>
        <v>0</v>
      </c>
      <c r="AL5" s="200">
        <f>All!O424</f>
        <v>1</v>
      </c>
      <c r="AM5" s="200">
        <f>All!P424</f>
        <v>0</v>
      </c>
      <c r="AN5" s="200">
        <f>All!Q424</f>
        <v>0</v>
      </c>
      <c r="AO5" s="200">
        <f>All!R424</f>
        <v>1</v>
      </c>
      <c r="AP5" s="200">
        <f>All!S424</f>
        <v>0</v>
      </c>
      <c r="AQ5" s="200">
        <f>All!T424</f>
        <v>14</v>
      </c>
      <c r="AR5" s="200">
        <f>All!U424</f>
        <v>2</v>
      </c>
      <c r="AS5" s="200">
        <f>All!V424</f>
        <v>2</v>
      </c>
      <c r="AT5" s="200">
        <f>All!W424</f>
        <v>1</v>
      </c>
      <c r="AU5" s="233">
        <f>All!X424</f>
        <v>2</v>
      </c>
      <c r="AV5" s="233">
        <f>All!Y424</f>
        <v>5</v>
      </c>
      <c r="AW5" s="233">
        <f>All!Z424</f>
        <v>3</v>
      </c>
      <c r="AX5" s="233">
        <f>All!AA424</f>
        <v>15</v>
      </c>
      <c r="AY5" s="233">
        <f>All!AB424</f>
        <v>5</v>
      </c>
      <c r="AZ5" s="234">
        <f t="shared" si="12"/>
        <v>27</v>
      </c>
      <c r="BA5" s="234">
        <f t="shared" si="13"/>
        <v>30</v>
      </c>
      <c r="BB5" s="234">
        <f t="shared" si="14"/>
        <v>57</v>
      </c>
      <c r="BC5" s="200">
        <f>All!AC424</f>
        <v>2</v>
      </c>
      <c r="BD5" s="200">
        <f>All!AD424</f>
        <v>4</v>
      </c>
      <c r="BF5" t="str">
        <f t="shared" si="15"/>
        <v>Biology</v>
      </c>
      <c r="BG5" s="177">
        <f>All!H477</f>
        <v>0</v>
      </c>
      <c r="BH5" s="177">
        <f>All!I477</f>
        <v>0</v>
      </c>
      <c r="BI5" s="177">
        <f>All!J477</f>
        <v>0</v>
      </c>
      <c r="BJ5" s="177">
        <f>All!K477</f>
        <v>0</v>
      </c>
      <c r="BK5" s="177">
        <f>All!L477</f>
        <v>0</v>
      </c>
      <c r="BL5" s="177">
        <f>All!M477</f>
        <v>0</v>
      </c>
      <c r="BM5" s="177">
        <f>All!N477</f>
        <v>0</v>
      </c>
      <c r="BN5" s="177">
        <f>All!O477</f>
        <v>0</v>
      </c>
      <c r="BO5" s="177">
        <f>All!P477</f>
        <v>0</v>
      </c>
      <c r="BP5" s="177">
        <f>All!Q477</f>
        <v>0</v>
      </c>
      <c r="BQ5" s="177">
        <f>All!R477</f>
        <v>0</v>
      </c>
      <c r="BR5" s="177">
        <f>All!S477</f>
        <v>0</v>
      </c>
      <c r="BS5" s="177">
        <f>All!T477</f>
        <v>0</v>
      </c>
      <c r="BT5" s="177">
        <f>All!U477</f>
        <v>0</v>
      </c>
      <c r="BU5" s="177">
        <f>All!V477</f>
        <v>0</v>
      </c>
      <c r="BV5" s="177">
        <f>All!W477</f>
        <v>0</v>
      </c>
      <c r="BW5" s="220">
        <f>All!X477</f>
        <v>0</v>
      </c>
      <c r="BX5" s="220">
        <f>All!Y477</f>
        <v>0</v>
      </c>
      <c r="BY5" s="220">
        <f>All!Z477</f>
        <v>0</v>
      </c>
      <c r="BZ5" s="220">
        <f>All!AA477</f>
        <v>0</v>
      </c>
      <c r="CA5" s="220">
        <f>All!AB477</f>
        <v>0</v>
      </c>
      <c r="CB5" s="229">
        <f t="shared" si="16"/>
        <v>0</v>
      </c>
      <c r="CC5" s="229">
        <f t="shared" si="17"/>
        <v>0</v>
      </c>
      <c r="CD5" s="229">
        <f t="shared" si="18"/>
        <v>0</v>
      </c>
      <c r="CE5" s="177">
        <f>All!AC477</f>
        <v>0</v>
      </c>
      <c r="CF5" s="177">
        <f>All!AD477</f>
        <v>0</v>
      </c>
      <c r="CH5" s="262" t="str">
        <v>Climate Change</v>
      </c>
      <c r="CI5" s="261">
        <v>78</v>
      </c>
      <c r="CJ5" s="261">
        <v>47</v>
      </c>
      <c r="CK5" s="263">
        <v>15</v>
      </c>
      <c r="CM5" s="262" t="str">
        <f t="shared" si="19"/>
        <v>Biology</v>
      </c>
      <c r="CN5" s="271">
        <f>COUNTIFS(All!AL3:AL412,"=Biology")</f>
        <v>18</v>
      </c>
      <c r="CO5" s="271">
        <f>COUNTIFS(All!AL3:AL412,"=Biology",All!G3:G412,"&gt;1")</f>
        <v>2</v>
      </c>
      <c r="CP5" s="276">
        <f>COUNTIFS(All!AL3:AL412,"=Biology",All!G3:G412,"&gt;2")</f>
        <v>0</v>
      </c>
      <c r="CQ5" s="278">
        <v>5</v>
      </c>
      <c r="CR5" s="278"/>
      <c r="CS5" s="278"/>
      <c r="CT5" s="291">
        <f>All!AC424</f>
        <v>2</v>
      </c>
      <c r="CV5" s="326">
        <f t="shared" si="20"/>
        <v>4.4226044226044224E-2</v>
      </c>
      <c r="CW5" s="326">
        <f t="shared" si="21"/>
        <v>1.4814814814814815E-2</v>
      </c>
      <c r="CX5" s="326">
        <f t="shared" si="22"/>
        <v>0</v>
      </c>
    </row>
    <row r="6" spans="1:102">
      <c r="A6" s="202" t="str">
        <f>All!C450</f>
        <v>Chemistry</v>
      </c>
      <c r="B6" s="200">
        <f>All!H450</f>
        <v>0</v>
      </c>
      <c r="C6" s="200">
        <f>All!I450</f>
        <v>0</v>
      </c>
      <c r="D6" s="200">
        <f>All!J450</f>
        <v>0</v>
      </c>
      <c r="E6" s="200">
        <f>All!K450</f>
        <v>0</v>
      </c>
      <c r="F6" s="200">
        <f>All!L450</f>
        <v>0</v>
      </c>
      <c r="G6" s="200">
        <f>All!M450</f>
        <v>0</v>
      </c>
      <c r="H6" s="200">
        <f>All!N450</f>
        <v>0</v>
      </c>
      <c r="I6" s="200">
        <f>All!O450</f>
        <v>0</v>
      </c>
      <c r="J6" s="200">
        <f>All!P450</f>
        <v>0</v>
      </c>
      <c r="K6" s="200">
        <f>All!Q450</f>
        <v>0</v>
      </c>
      <c r="L6" s="200">
        <f>All!R450</f>
        <v>0</v>
      </c>
      <c r="M6" s="200">
        <f>All!S450</f>
        <v>0</v>
      </c>
      <c r="N6" s="200">
        <f>All!T450</f>
        <v>0</v>
      </c>
      <c r="O6" s="200">
        <f>All!U450</f>
        <v>0</v>
      </c>
      <c r="P6" s="200">
        <f>All!V450</f>
        <v>0</v>
      </c>
      <c r="Q6" s="200">
        <f>All!W450</f>
        <v>0</v>
      </c>
      <c r="R6" s="209">
        <f>All!X450</f>
        <v>0</v>
      </c>
      <c r="S6" s="209">
        <f>All!Y450</f>
        <v>0</v>
      </c>
      <c r="T6" s="209">
        <f>All!Z450</f>
        <v>0</v>
      </c>
      <c r="U6" s="209">
        <f>All!AA450</f>
        <v>0</v>
      </c>
      <c r="V6" s="209">
        <f>All!AB450</f>
        <v>0</v>
      </c>
      <c r="W6" s="211">
        <f t="shared" ref="W6" si="23">SUM(B6:Q6)</f>
        <v>0</v>
      </c>
      <c r="X6" s="207">
        <f t="shared" ref="X6" si="24">SUM(R6:V6)</f>
        <v>0</v>
      </c>
      <c r="Y6" s="207">
        <f t="shared" ref="Y6" si="25">X6+W6</f>
        <v>0</v>
      </c>
      <c r="Z6" s="200">
        <f>All!AC450</f>
        <v>0</v>
      </c>
      <c r="AA6" s="200">
        <f>All!AD450</f>
        <v>0</v>
      </c>
      <c r="AD6" t="str">
        <f t="shared" si="11"/>
        <v>Chemistry</v>
      </c>
      <c r="AE6" s="200">
        <f>All!H425</f>
        <v>0</v>
      </c>
      <c r="AF6" s="200">
        <f>All!I425</f>
        <v>0</v>
      </c>
      <c r="AG6" s="200">
        <f>All!J425</f>
        <v>0</v>
      </c>
      <c r="AH6" s="200">
        <f>All!K425</f>
        <v>0</v>
      </c>
      <c r="AI6" s="200">
        <f>All!L425</f>
        <v>0</v>
      </c>
      <c r="AJ6" s="200">
        <f>All!M425</f>
        <v>0</v>
      </c>
      <c r="AK6" s="200">
        <f>All!N425</f>
        <v>0</v>
      </c>
      <c r="AL6" s="200">
        <f>All!O425</f>
        <v>0</v>
      </c>
      <c r="AM6" s="200">
        <f>All!P425</f>
        <v>0</v>
      </c>
      <c r="AN6" s="200">
        <f>All!Q425</f>
        <v>0</v>
      </c>
      <c r="AO6" s="200">
        <f>All!R425</f>
        <v>2</v>
      </c>
      <c r="AP6" s="200">
        <f>All!S425</f>
        <v>0</v>
      </c>
      <c r="AQ6" s="200">
        <f>All!T425</f>
        <v>0</v>
      </c>
      <c r="AR6" s="200">
        <f>All!U425</f>
        <v>0</v>
      </c>
      <c r="AS6" s="200">
        <f>All!V425</f>
        <v>0</v>
      </c>
      <c r="AT6" s="200">
        <f>All!W425</f>
        <v>1</v>
      </c>
      <c r="AU6" s="233">
        <f>All!X425</f>
        <v>0</v>
      </c>
      <c r="AV6" s="233">
        <f>All!Y425</f>
        <v>0</v>
      </c>
      <c r="AW6" s="233">
        <f>All!Z425</f>
        <v>0</v>
      </c>
      <c r="AX6" s="233">
        <f>All!AA425</f>
        <v>0</v>
      </c>
      <c r="AY6" s="233">
        <f>All!AB425</f>
        <v>0</v>
      </c>
      <c r="AZ6" s="234">
        <f t="shared" ref="AZ6" si="26">SUM(AE6:AT6)</f>
        <v>3</v>
      </c>
      <c r="BA6" s="234">
        <f t="shared" ref="BA6" si="27">SUM(AU6:AY6)</f>
        <v>0</v>
      </c>
      <c r="BB6" s="234">
        <f t="shared" ref="BB6" si="28">BA6+AZ6</f>
        <v>3</v>
      </c>
      <c r="BC6" s="200">
        <f>All!AC425</f>
        <v>0</v>
      </c>
      <c r="BD6" s="200">
        <f>All!AD425</f>
        <v>0</v>
      </c>
      <c r="BF6" t="str">
        <f t="shared" si="15"/>
        <v>Chemistry</v>
      </c>
      <c r="BG6" s="177">
        <f>All!H478</f>
        <v>0</v>
      </c>
      <c r="BH6" s="177">
        <f>All!I478</f>
        <v>0</v>
      </c>
      <c r="BI6" s="177">
        <f>All!J478</f>
        <v>0</v>
      </c>
      <c r="BJ6" s="177">
        <f>All!K478</f>
        <v>0</v>
      </c>
      <c r="BK6" s="177">
        <f>All!L478</f>
        <v>0</v>
      </c>
      <c r="BL6" s="177">
        <f>All!M478</f>
        <v>0</v>
      </c>
      <c r="BM6" s="177">
        <f>All!N478</f>
        <v>0</v>
      </c>
      <c r="BN6" s="177">
        <f>All!O478</f>
        <v>0</v>
      </c>
      <c r="BO6" s="177">
        <f>All!P478</f>
        <v>0</v>
      </c>
      <c r="BP6" s="177">
        <f>All!Q478</f>
        <v>0</v>
      </c>
      <c r="BQ6" s="177">
        <f>All!R478</f>
        <v>0</v>
      </c>
      <c r="BR6" s="177">
        <f>All!S478</f>
        <v>0</v>
      </c>
      <c r="BS6" s="177">
        <f>All!T478</f>
        <v>0</v>
      </c>
      <c r="BT6" s="177">
        <f>All!U478</f>
        <v>0</v>
      </c>
      <c r="BU6" s="177">
        <f>All!V478</f>
        <v>0</v>
      </c>
      <c r="BV6" s="177">
        <f>All!W478</f>
        <v>0</v>
      </c>
      <c r="BW6" s="220">
        <f>All!X478</f>
        <v>0</v>
      </c>
      <c r="BX6" s="220">
        <f>All!Y478</f>
        <v>0</v>
      </c>
      <c r="BY6" s="220">
        <f>All!Z478</f>
        <v>0</v>
      </c>
      <c r="BZ6" s="220">
        <f>All!AA478</f>
        <v>0</v>
      </c>
      <c r="CA6" s="220">
        <f>All!AB478</f>
        <v>0</v>
      </c>
      <c r="CB6" s="229">
        <f t="shared" ref="CB6" si="29">SUM(BG6:BV6)</f>
        <v>0</v>
      </c>
      <c r="CC6" s="229">
        <f t="shared" ref="CC6" si="30">SUM(BW6:CA6)</f>
        <v>0</v>
      </c>
      <c r="CD6" s="229">
        <f t="shared" ref="CD6" si="31">CC6+CB6</f>
        <v>0</v>
      </c>
      <c r="CE6" s="177">
        <f>All!AC478</f>
        <v>0</v>
      </c>
      <c r="CF6" s="177">
        <f>All!AD478</f>
        <v>0</v>
      </c>
      <c r="CH6" s="262" t="str">
        <v>Envir Justice &amp; Ethics</v>
      </c>
      <c r="CI6" s="261">
        <v>75</v>
      </c>
      <c r="CJ6" s="261">
        <v>28</v>
      </c>
      <c r="CK6" s="263">
        <v>10</v>
      </c>
      <c r="CM6" s="262" t="str">
        <f t="shared" si="19"/>
        <v>Chemistry</v>
      </c>
      <c r="CN6" s="271">
        <f>COUNTIFS(All!AL3:AL412,"=Chemistry")</f>
        <v>2</v>
      </c>
      <c r="CO6" s="271">
        <f>COUNTIFS(All!AL3:AL412,"=Chemistry",All!G3:G412,"&gt;1")</f>
        <v>0</v>
      </c>
      <c r="CP6" s="276">
        <f>COUNTIFS(All!AL3:AL412,"=Chemistry",All!G3:G412,"&gt;2")</f>
        <v>0</v>
      </c>
      <c r="CQ6" s="278"/>
      <c r="CR6" s="278"/>
      <c r="CS6" s="278"/>
      <c r="CT6" s="291">
        <f>All!AC425</f>
        <v>0</v>
      </c>
      <c r="CV6" s="326">
        <f t="shared" si="20"/>
        <v>4.9140049140049139E-3</v>
      </c>
      <c r="CW6" s="326">
        <f t="shared" si="21"/>
        <v>0</v>
      </c>
      <c r="CX6" s="326">
        <f t="shared" si="22"/>
        <v>0</v>
      </c>
    </row>
    <row r="7" spans="1:102">
      <c r="A7" s="202" t="str">
        <f>All!C451</f>
        <v>Divinity</v>
      </c>
      <c r="B7" s="200">
        <f>All!H451</f>
        <v>0</v>
      </c>
      <c r="C7" s="200">
        <f>All!I451</f>
        <v>0</v>
      </c>
      <c r="D7" s="200">
        <f>All!J451</f>
        <v>0</v>
      </c>
      <c r="E7" s="200">
        <f>All!K451</f>
        <v>0</v>
      </c>
      <c r="F7" s="200">
        <f>All!L451</f>
        <v>0</v>
      </c>
      <c r="G7" s="200">
        <f>All!M451</f>
        <v>0</v>
      </c>
      <c r="H7" s="200">
        <f>All!N451</f>
        <v>0</v>
      </c>
      <c r="I7" s="200">
        <f>All!O451</f>
        <v>0</v>
      </c>
      <c r="J7" s="200">
        <f>All!P451</f>
        <v>0</v>
      </c>
      <c r="K7" s="200">
        <f>All!Q451</f>
        <v>0</v>
      </c>
      <c r="L7" s="200">
        <f>All!R451</f>
        <v>0</v>
      </c>
      <c r="M7" s="200">
        <f>All!S451</f>
        <v>0</v>
      </c>
      <c r="N7" s="200">
        <f>All!T451</f>
        <v>0</v>
      </c>
      <c r="O7" s="200">
        <f>All!U451</f>
        <v>0</v>
      </c>
      <c r="P7" s="200">
        <f>All!V451</f>
        <v>0</v>
      </c>
      <c r="Q7" s="200">
        <f>All!W451</f>
        <v>0</v>
      </c>
      <c r="R7" s="209">
        <f>All!X451</f>
        <v>0</v>
      </c>
      <c r="S7" s="209">
        <f>All!Y451</f>
        <v>0</v>
      </c>
      <c r="T7" s="209">
        <f>All!Z451</f>
        <v>0</v>
      </c>
      <c r="U7" s="209">
        <f>All!AA451</f>
        <v>0</v>
      </c>
      <c r="V7" s="209">
        <f>All!AB451</f>
        <v>0</v>
      </c>
      <c r="W7" s="211">
        <f t="shared" ref="W7:W13" si="32">SUM(B7:Q7)</f>
        <v>0</v>
      </c>
      <c r="X7" s="207">
        <f t="shared" ref="X7:X13" si="33">SUM(R7:V7)</f>
        <v>0</v>
      </c>
      <c r="Y7" s="207">
        <f t="shared" ref="Y7:Y13" si="34">X7+W7</f>
        <v>0</v>
      </c>
      <c r="Z7" s="200">
        <f>All!AC451</f>
        <v>0</v>
      </c>
      <c r="AA7" s="200">
        <f>All!AD451</f>
        <v>0</v>
      </c>
      <c r="AD7" t="str">
        <f t="shared" ref="AD7:AD14" si="35">A7</f>
        <v>Divinity</v>
      </c>
      <c r="AE7" s="200">
        <f>All!H426</f>
        <v>0</v>
      </c>
      <c r="AF7" s="200">
        <f>All!I426</f>
        <v>0</v>
      </c>
      <c r="AG7" s="200">
        <f>All!J426</f>
        <v>0</v>
      </c>
      <c r="AH7" s="200">
        <f>All!K426</f>
        <v>0</v>
      </c>
      <c r="AI7" s="200">
        <f>All!L426</f>
        <v>3</v>
      </c>
      <c r="AJ7" s="200">
        <f>All!M426</f>
        <v>1</v>
      </c>
      <c r="AK7" s="200">
        <f>All!N426</f>
        <v>0</v>
      </c>
      <c r="AL7" s="200">
        <f>All!O426</f>
        <v>0</v>
      </c>
      <c r="AM7" s="200">
        <f>All!P426</f>
        <v>0</v>
      </c>
      <c r="AN7" s="200">
        <f>All!Q426</f>
        <v>0</v>
      </c>
      <c r="AO7" s="200">
        <f>All!R426</f>
        <v>0</v>
      </c>
      <c r="AP7" s="200">
        <f>All!S426</f>
        <v>0</v>
      </c>
      <c r="AQ7" s="200">
        <f>All!T426</f>
        <v>0</v>
      </c>
      <c r="AR7" s="200">
        <f>All!U426</f>
        <v>0</v>
      </c>
      <c r="AS7" s="200">
        <f>All!V426</f>
        <v>0</v>
      </c>
      <c r="AT7" s="200">
        <f>All!W426</f>
        <v>0</v>
      </c>
      <c r="AU7" s="233">
        <f>All!X426</f>
        <v>0</v>
      </c>
      <c r="AV7" s="233">
        <f>All!Y426</f>
        <v>0</v>
      </c>
      <c r="AW7" s="233">
        <f>All!Z426</f>
        <v>0</v>
      </c>
      <c r="AX7" s="233">
        <f>All!AA426</f>
        <v>0</v>
      </c>
      <c r="AY7" s="233">
        <f>All!AB426</f>
        <v>0</v>
      </c>
      <c r="AZ7" s="234">
        <f t="shared" ref="AZ7:AZ13" si="36">SUM(AE7:AT7)</f>
        <v>4</v>
      </c>
      <c r="BA7" s="234">
        <f t="shared" ref="BA7:BA13" si="37">SUM(AU7:AY7)</f>
        <v>0</v>
      </c>
      <c r="BB7" s="234">
        <f t="shared" ref="BB7:BB13" si="38">BA7+AZ7</f>
        <v>4</v>
      </c>
      <c r="BC7" s="200">
        <f>All!AC426</f>
        <v>0</v>
      </c>
      <c r="BD7" s="200">
        <f>All!AD426</f>
        <v>0</v>
      </c>
      <c r="BF7" t="str">
        <f t="shared" ref="BF7:BF13" si="39">A7</f>
        <v>Divinity</v>
      </c>
      <c r="BG7" s="177">
        <f>All!H479</f>
        <v>0</v>
      </c>
      <c r="BH7" s="177">
        <f>All!I479</f>
        <v>0</v>
      </c>
      <c r="BI7" s="177">
        <f>All!J479</f>
        <v>0</v>
      </c>
      <c r="BJ7" s="177">
        <f>All!K479</f>
        <v>0</v>
      </c>
      <c r="BK7" s="177">
        <f>All!L479</f>
        <v>0</v>
      </c>
      <c r="BL7" s="177">
        <f>All!M479</f>
        <v>0</v>
      </c>
      <c r="BM7" s="177">
        <f>All!N479</f>
        <v>0</v>
      </c>
      <c r="BN7" s="177">
        <f>All!O479</f>
        <v>0</v>
      </c>
      <c r="BO7" s="177">
        <f>All!P479</f>
        <v>0</v>
      </c>
      <c r="BP7" s="177">
        <f>All!Q479</f>
        <v>0</v>
      </c>
      <c r="BQ7" s="177">
        <f>All!R479</f>
        <v>0</v>
      </c>
      <c r="BR7" s="177">
        <f>All!S479</f>
        <v>0</v>
      </c>
      <c r="BS7" s="177">
        <f>All!T479</f>
        <v>0</v>
      </c>
      <c r="BT7" s="177">
        <f>All!U479</f>
        <v>0</v>
      </c>
      <c r="BU7" s="177">
        <f>All!V479</f>
        <v>0</v>
      </c>
      <c r="BV7" s="177">
        <f>All!W479</f>
        <v>0</v>
      </c>
      <c r="BW7" s="220">
        <f>All!X479</f>
        <v>0</v>
      </c>
      <c r="BX7" s="220">
        <f>All!Y479</f>
        <v>0</v>
      </c>
      <c r="BY7" s="220">
        <f>All!Z479</f>
        <v>0</v>
      </c>
      <c r="BZ7" s="220">
        <f>All!AA479</f>
        <v>0</v>
      </c>
      <c r="CA7" s="220">
        <f>All!AB479</f>
        <v>0</v>
      </c>
      <c r="CB7" s="229">
        <f t="shared" ref="CB7:CB13" si="40">SUM(BG7:BV7)</f>
        <v>0</v>
      </c>
      <c r="CC7" s="229">
        <f t="shared" ref="CC7:CC13" si="41">SUM(BW7:CA7)</f>
        <v>0</v>
      </c>
      <c r="CD7" s="229">
        <f t="shared" ref="CD7:CD13" si="42">CC7+CB7</f>
        <v>0</v>
      </c>
      <c r="CE7" s="177">
        <f>All!AC479</f>
        <v>0</v>
      </c>
      <c r="CF7" s="177">
        <f>All!AD479</f>
        <v>0</v>
      </c>
      <c r="CH7" s="262" t="str">
        <v>Envir Policy &amp; Law</v>
      </c>
      <c r="CI7" s="261">
        <v>139</v>
      </c>
      <c r="CJ7" s="261">
        <v>59</v>
      </c>
      <c r="CK7" s="263">
        <v>23</v>
      </c>
      <c r="CM7" s="262" t="str">
        <f t="shared" si="19"/>
        <v>Divinity</v>
      </c>
      <c r="CN7" s="271">
        <f>COUNTIFS(All!AL3:AL412,"=Divinity")</f>
        <v>3</v>
      </c>
      <c r="CO7" s="271">
        <f>COUNTIFS(All!AL3:AL412,"=Divinity",All!G3:G412,"&gt;1")</f>
        <v>0</v>
      </c>
      <c r="CP7" s="276">
        <f>COUNTIFS(All!AL3:AL412,"=Divinity",All!G3:G412,"&gt;2")</f>
        <v>0</v>
      </c>
      <c r="CQ7" s="278"/>
      <c r="CR7" s="278"/>
      <c r="CS7" s="278"/>
      <c r="CT7" s="291">
        <f>All!AC426</f>
        <v>0</v>
      </c>
      <c r="CV7" s="326">
        <f t="shared" si="20"/>
        <v>7.3710073710073713E-3</v>
      </c>
      <c r="CW7" s="326">
        <f t="shared" si="21"/>
        <v>0</v>
      </c>
      <c r="CX7" s="326">
        <f t="shared" si="22"/>
        <v>0</v>
      </c>
    </row>
    <row r="8" spans="1:102">
      <c r="A8" s="202" t="str">
        <f>All!C452</f>
        <v>Economics</v>
      </c>
      <c r="B8" s="200">
        <f>All!H452</f>
        <v>1</v>
      </c>
      <c r="C8" s="200">
        <f>All!I452</f>
        <v>0</v>
      </c>
      <c r="D8" s="200">
        <f>All!J452</f>
        <v>3</v>
      </c>
      <c r="E8" s="200">
        <f>All!K452</f>
        <v>4</v>
      </c>
      <c r="F8" s="200">
        <f>All!L452</f>
        <v>1</v>
      </c>
      <c r="G8" s="200">
        <f>All!M452</f>
        <v>5</v>
      </c>
      <c r="H8" s="200">
        <f>All!N452</f>
        <v>5</v>
      </c>
      <c r="I8" s="200">
        <f>All!O452</f>
        <v>1</v>
      </c>
      <c r="J8" s="200">
        <f>All!P452</f>
        <v>0</v>
      </c>
      <c r="K8" s="200">
        <f>All!Q452</f>
        <v>1</v>
      </c>
      <c r="L8" s="200">
        <f>All!R452</f>
        <v>1</v>
      </c>
      <c r="M8" s="200">
        <f>All!S452</f>
        <v>0</v>
      </c>
      <c r="N8" s="200">
        <f>All!T452</f>
        <v>3</v>
      </c>
      <c r="O8" s="200">
        <f>All!U452</f>
        <v>3</v>
      </c>
      <c r="P8" s="200">
        <f>All!V452</f>
        <v>0</v>
      </c>
      <c r="Q8" s="200">
        <f>All!W452</f>
        <v>3</v>
      </c>
      <c r="R8" s="209">
        <f>All!X452</f>
        <v>3</v>
      </c>
      <c r="S8" s="209">
        <f>All!Y452</f>
        <v>1</v>
      </c>
      <c r="T8" s="209">
        <f>All!Z452</f>
        <v>2</v>
      </c>
      <c r="U8" s="209">
        <f>All!AA452</f>
        <v>2</v>
      </c>
      <c r="V8" s="209">
        <f>All!AB452</f>
        <v>2</v>
      </c>
      <c r="W8" s="211">
        <f t="shared" si="32"/>
        <v>31</v>
      </c>
      <c r="X8" s="207">
        <f t="shared" si="33"/>
        <v>10</v>
      </c>
      <c r="Y8" s="207">
        <f t="shared" si="34"/>
        <v>41</v>
      </c>
      <c r="Z8" s="200">
        <f>All!AC452</f>
        <v>0</v>
      </c>
      <c r="AA8" s="200">
        <f>All!AD452</f>
        <v>2</v>
      </c>
      <c r="AD8" t="str">
        <f t="shared" si="35"/>
        <v>Economics</v>
      </c>
      <c r="AE8" s="200">
        <f>All!H427</f>
        <v>3</v>
      </c>
      <c r="AF8" s="200">
        <f>All!I427</f>
        <v>1</v>
      </c>
      <c r="AG8" s="200">
        <f>All!J427</f>
        <v>11</v>
      </c>
      <c r="AH8" s="200">
        <f>All!K427</f>
        <v>5</v>
      </c>
      <c r="AI8" s="200">
        <f>All!L427</f>
        <v>2</v>
      </c>
      <c r="AJ8" s="200">
        <f>All!M427</f>
        <v>16</v>
      </c>
      <c r="AK8" s="200">
        <f>All!N427</f>
        <v>37</v>
      </c>
      <c r="AL8" s="200">
        <f>All!O427</f>
        <v>2</v>
      </c>
      <c r="AM8" s="200">
        <f>All!P427</f>
        <v>0</v>
      </c>
      <c r="AN8" s="200">
        <f>All!Q427</f>
        <v>2</v>
      </c>
      <c r="AO8" s="200">
        <f>All!R427</f>
        <v>1</v>
      </c>
      <c r="AP8" s="200">
        <f>All!S427</f>
        <v>0</v>
      </c>
      <c r="AQ8" s="200">
        <f>All!T427</f>
        <v>5</v>
      </c>
      <c r="AR8" s="200">
        <f>All!U427</f>
        <v>19</v>
      </c>
      <c r="AS8" s="200">
        <f>All!V427</f>
        <v>0</v>
      </c>
      <c r="AT8" s="200">
        <f>All!W427</f>
        <v>3</v>
      </c>
      <c r="AU8" s="233">
        <f>All!X427</f>
        <v>3</v>
      </c>
      <c r="AV8" s="233">
        <f>All!Y427</f>
        <v>1</v>
      </c>
      <c r="AW8" s="233">
        <f>All!Z427</f>
        <v>2</v>
      </c>
      <c r="AX8" s="233">
        <f>All!AA427</f>
        <v>2</v>
      </c>
      <c r="AY8" s="233">
        <f>All!AB427</f>
        <v>2</v>
      </c>
      <c r="AZ8" s="234">
        <f t="shared" si="36"/>
        <v>107</v>
      </c>
      <c r="BA8" s="234">
        <f t="shared" si="37"/>
        <v>10</v>
      </c>
      <c r="BB8" s="234">
        <f t="shared" si="38"/>
        <v>117</v>
      </c>
      <c r="BC8" s="200">
        <f>All!AC427</f>
        <v>10</v>
      </c>
      <c r="BD8" s="200">
        <f>All!AD427</f>
        <v>20</v>
      </c>
      <c r="BF8" t="str">
        <f t="shared" si="39"/>
        <v>Economics</v>
      </c>
      <c r="BG8" s="177">
        <f>All!H480</f>
        <v>0</v>
      </c>
      <c r="BH8" s="177">
        <f>All!I480</f>
        <v>0</v>
      </c>
      <c r="BI8" s="177">
        <f>All!J480</f>
        <v>1</v>
      </c>
      <c r="BJ8" s="177">
        <f>All!K480</f>
        <v>2</v>
      </c>
      <c r="BK8" s="177">
        <f>All!L480</f>
        <v>0</v>
      </c>
      <c r="BL8" s="177">
        <f>All!M480</f>
        <v>2</v>
      </c>
      <c r="BM8" s="177">
        <f>All!N480</f>
        <v>2</v>
      </c>
      <c r="BN8" s="177">
        <f>All!O480</f>
        <v>0</v>
      </c>
      <c r="BO8" s="177">
        <f>All!P480</f>
        <v>0</v>
      </c>
      <c r="BP8" s="177">
        <f>All!Q480</f>
        <v>0</v>
      </c>
      <c r="BQ8" s="177">
        <f>All!R480</f>
        <v>1</v>
      </c>
      <c r="BR8" s="177">
        <f>All!S480</f>
        <v>0</v>
      </c>
      <c r="BS8" s="177">
        <f>All!T480</f>
        <v>2</v>
      </c>
      <c r="BT8" s="177">
        <f>All!U480</f>
        <v>1</v>
      </c>
      <c r="BU8" s="177">
        <f>All!V480</f>
        <v>0</v>
      </c>
      <c r="BV8" s="177">
        <f>All!W480</f>
        <v>2</v>
      </c>
      <c r="BW8" s="220">
        <f>All!X480</f>
        <v>2</v>
      </c>
      <c r="BX8" s="220">
        <f>All!Y480</f>
        <v>0</v>
      </c>
      <c r="BY8" s="220">
        <f>All!Z480</f>
        <v>1</v>
      </c>
      <c r="BZ8" s="220">
        <f>All!AA480</f>
        <v>1</v>
      </c>
      <c r="CA8" s="220">
        <f>All!AB480</f>
        <v>1</v>
      </c>
      <c r="CB8" s="229">
        <f t="shared" si="40"/>
        <v>13</v>
      </c>
      <c r="CC8" s="229">
        <f t="shared" si="41"/>
        <v>5</v>
      </c>
      <c r="CD8" s="229">
        <f t="shared" si="42"/>
        <v>18</v>
      </c>
      <c r="CE8" s="177">
        <f>All!AC480</f>
        <v>0</v>
      </c>
      <c r="CF8" s="177">
        <f>All!AD480</f>
        <v>2</v>
      </c>
      <c r="CH8" s="262" t="str">
        <v>Envir Economics</v>
      </c>
      <c r="CI8" s="261">
        <v>74</v>
      </c>
      <c r="CJ8" s="261">
        <v>31</v>
      </c>
      <c r="CK8" s="263">
        <v>16</v>
      </c>
      <c r="CM8" s="262" t="str">
        <f t="shared" si="19"/>
        <v>Economics</v>
      </c>
      <c r="CN8" s="271">
        <f>COUNTIFS(All!AL3:AL412,"=Economics")</f>
        <v>42</v>
      </c>
      <c r="CO8" s="271">
        <f>COUNTIFS(All!AL3:AL412,"=Economics",All!G3:G412,"&gt;1")</f>
        <v>6</v>
      </c>
      <c r="CP8" s="276">
        <f>COUNTIFS(All!AL3:AL412,"=Economics",All!G3:G412,"&gt;2")</f>
        <v>2</v>
      </c>
      <c r="CQ8" s="278">
        <v>3</v>
      </c>
      <c r="CR8" s="278">
        <v>5</v>
      </c>
      <c r="CS8" s="278">
        <v>4</v>
      </c>
      <c r="CT8" s="291">
        <f>All!AC427</f>
        <v>10</v>
      </c>
      <c r="CV8" s="326">
        <f t="shared" si="20"/>
        <v>0.10319410319410319</v>
      </c>
      <c r="CW8" s="326">
        <f t="shared" si="21"/>
        <v>4.4444444444444446E-2</v>
      </c>
      <c r="CX8" s="326">
        <f t="shared" si="22"/>
        <v>4.2553191489361701E-2</v>
      </c>
    </row>
    <row r="9" spans="1:102">
      <c r="A9" s="202" t="str">
        <f>All!C453</f>
        <v>Engineering</v>
      </c>
      <c r="B9" s="200">
        <f>All!H453</f>
        <v>1</v>
      </c>
      <c r="C9" s="200">
        <f>All!I453</f>
        <v>0</v>
      </c>
      <c r="D9" s="200">
        <f>All!J453</f>
        <v>0</v>
      </c>
      <c r="E9" s="200">
        <f>All!K453</f>
        <v>3</v>
      </c>
      <c r="F9" s="200">
        <f>All!L453</f>
        <v>0</v>
      </c>
      <c r="G9" s="200">
        <f>All!M453</f>
        <v>1</v>
      </c>
      <c r="H9" s="200">
        <f>All!N453</f>
        <v>0</v>
      </c>
      <c r="I9" s="200">
        <f>All!O453</f>
        <v>3</v>
      </c>
      <c r="J9" s="200">
        <f>All!P453</f>
        <v>1</v>
      </c>
      <c r="K9" s="200">
        <f>All!Q453</f>
        <v>0</v>
      </c>
      <c r="L9" s="200">
        <f>All!R453</f>
        <v>2</v>
      </c>
      <c r="M9" s="200">
        <f>All!S453</f>
        <v>4</v>
      </c>
      <c r="N9" s="200">
        <f>All!T453</f>
        <v>3</v>
      </c>
      <c r="O9" s="200">
        <f>All!U453</f>
        <v>1</v>
      </c>
      <c r="P9" s="200">
        <f>All!V453</f>
        <v>6</v>
      </c>
      <c r="Q9" s="200">
        <f>All!W453</f>
        <v>5</v>
      </c>
      <c r="R9" s="209">
        <f>All!X453</f>
        <v>4</v>
      </c>
      <c r="S9" s="209">
        <f>All!Y453</f>
        <v>4</v>
      </c>
      <c r="T9" s="209">
        <f>All!Z453</f>
        <v>7</v>
      </c>
      <c r="U9" s="209">
        <f>All!AA453</f>
        <v>1</v>
      </c>
      <c r="V9" s="209">
        <f>All!AB453</f>
        <v>1</v>
      </c>
      <c r="W9" s="211">
        <f t="shared" si="32"/>
        <v>30</v>
      </c>
      <c r="X9" s="207">
        <f t="shared" si="33"/>
        <v>17</v>
      </c>
      <c r="Y9" s="207">
        <f t="shared" si="34"/>
        <v>47</v>
      </c>
      <c r="Z9" s="200">
        <f>All!AC453</f>
        <v>4</v>
      </c>
      <c r="AA9" s="200">
        <f>All!AD453</f>
        <v>3</v>
      </c>
      <c r="AD9" t="str">
        <f t="shared" si="35"/>
        <v>Engineering</v>
      </c>
      <c r="AE9" s="200">
        <f>All!H428</f>
        <v>1</v>
      </c>
      <c r="AF9" s="200">
        <f>All!I428</f>
        <v>0</v>
      </c>
      <c r="AG9" s="200">
        <f>All!J428</f>
        <v>0</v>
      </c>
      <c r="AH9" s="200">
        <f>All!K428</f>
        <v>4</v>
      </c>
      <c r="AI9" s="200">
        <f>All!L428</f>
        <v>1</v>
      </c>
      <c r="AJ9" s="200">
        <f>All!M428</f>
        <v>2</v>
      </c>
      <c r="AK9" s="200">
        <f>All!N428</f>
        <v>0</v>
      </c>
      <c r="AL9" s="200">
        <f>All!O428</f>
        <v>3</v>
      </c>
      <c r="AM9" s="200">
        <f>All!P428</f>
        <v>3</v>
      </c>
      <c r="AN9" s="200">
        <f>All!Q428</f>
        <v>0</v>
      </c>
      <c r="AO9" s="200">
        <f>All!R428</f>
        <v>8</v>
      </c>
      <c r="AP9" s="200">
        <f>All!S428</f>
        <v>8</v>
      </c>
      <c r="AQ9" s="200">
        <f>All!T428</f>
        <v>3</v>
      </c>
      <c r="AR9" s="200">
        <f>All!U428</f>
        <v>1</v>
      </c>
      <c r="AS9" s="200">
        <f>All!V428</f>
        <v>7</v>
      </c>
      <c r="AT9" s="200">
        <f>All!W428</f>
        <v>7</v>
      </c>
      <c r="AU9" s="233">
        <f>All!X428</f>
        <v>5</v>
      </c>
      <c r="AV9" s="233">
        <f>All!Y428</f>
        <v>4</v>
      </c>
      <c r="AW9" s="233">
        <f>All!Z428</f>
        <v>8</v>
      </c>
      <c r="AX9" s="233">
        <f>All!AA428</f>
        <v>1</v>
      </c>
      <c r="AY9" s="233">
        <f>All!AB428</f>
        <v>1</v>
      </c>
      <c r="AZ9" s="234">
        <f t="shared" si="36"/>
        <v>48</v>
      </c>
      <c r="BA9" s="234">
        <f t="shared" si="37"/>
        <v>19</v>
      </c>
      <c r="BB9" s="234">
        <f t="shared" si="38"/>
        <v>67</v>
      </c>
      <c r="BC9" s="200">
        <f>All!AC428</f>
        <v>4</v>
      </c>
      <c r="BD9" s="200">
        <f>All!AD428</f>
        <v>6</v>
      </c>
      <c r="BF9" t="str">
        <f t="shared" si="39"/>
        <v>Engineering</v>
      </c>
      <c r="BG9" s="177">
        <f>All!H481</f>
        <v>1</v>
      </c>
      <c r="BH9" s="177">
        <f>All!I481</f>
        <v>0</v>
      </c>
      <c r="BI9" s="177">
        <f>All!J481</f>
        <v>0</v>
      </c>
      <c r="BJ9" s="177">
        <f>All!K481</f>
        <v>1</v>
      </c>
      <c r="BK9" s="177">
        <f>All!L481</f>
        <v>0</v>
      </c>
      <c r="BL9" s="177">
        <f>All!M481</f>
        <v>0</v>
      </c>
      <c r="BM9" s="177">
        <f>All!N481</f>
        <v>0</v>
      </c>
      <c r="BN9" s="177">
        <f>All!O481</f>
        <v>2</v>
      </c>
      <c r="BO9" s="177">
        <f>All!P481</f>
        <v>0</v>
      </c>
      <c r="BP9" s="177">
        <f>All!Q481</f>
        <v>0</v>
      </c>
      <c r="BQ9" s="177">
        <f>All!R481</f>
        <v>0</v>
      </c>
      <c r="BR9" s="177">
        <f>All!S481</f>
        <v>1</v>
      </c>
      <c r="BS9" s="177">
        <f>All!T481</f>
        <v>1</v>
      </c>
      <c r="BT9" s="177">
        <f>All!U481</f>
        <v>0</v>
      </c>
      <c r="BU9" s="177">
        <f>All!V481</f>
        <v>1</v>
      </c>
      <c r="BV9" s="177">
        <f>All!W481</f>
        <v>2</v>
      </c>
      <c r="BW9" s="220">
        <f>All!X481</f>
        <v>2</v>
      </c>
      <c r="BX9" s="220">
        <f>All!Y481</f>
        <v>1</v>
      </c>
      <c r="BY9" s="220">
        <f>All!Z481</f>
        <v>1</v>
      </c>
      <c r="BZ9" s="220">
        <f>All!AA481</f>
        <v>0</v>
      </c>
      <c r="CA9" s="220">
        <f>All!AB481</f>
        <v>1</v>
      </c>
      <c r="CB9" s="229">
        <f t="shared" si="40"/>
        <v>9</v>
      </c>
      <c r="CC9" s="229">
        <f t="shared" si="41"/>
        <v>5</v>
      </c>
      <c r="CD9" s="229">
        <f t="shared" si="42"/>
        <v>14</v>
      </c>
      <c r="CE9" s="177">
        <f>All!AC481</f>
        <v>2</v>
      </c>
      <c r="CF9" s="177">
        <f>All!AD481</f>
        <v>2</v>
      </c>
      <c r="CH9" s="262" t="str">
        <v>EH&amp;S</v>
      </c>
      <c r="CI9" s="261">
        <v>42</v>
      </c>
      <c r="CJ9" s="261">
        <v>19</v>
      </c>
      <c r="CK9" s="263">
        <v>10</v>
      </c>
      <c r="CM9" s="262" t="str">
        <f t="shared" si="19"/>
        <v>Engineering</v>
      </c>
      <c r="CN9" s="271">
        <f>COUNTIFS(All!AL3:AL412,"=Engineering")</f>
        <v>19</v>
      </c>
      <c r="CO9" s="271">
        <f>COUNTIFS(All!AL3:AL412,"=Engineering",All!G3:G412,"&gt;1")</f>
        <v>9</v>
      </c>
      <c r="CP9" s="276">
        <f>COUNTIFS(All!AL3:AL412,"=Engineering",All!G3:G412,"&gt;2")</f>
        <v>2</v>
      </c>
      <c r="CQ9" s="278"/>
      <c r="CR9" s="278">
        <v>3</v>
      </c>
      <c r="CS9" s="278">
        <v>3</v>
      </c>
      <c r="CT9" s="291">
        <f>All!AC428</f>
        <v>4</v>
      </c>
      <c r="CV9" s="326">
        <f t="shared" si="20"/>
        <v>4.6683046683046681E-2</v>
      </c>
      <c r="CW9" s="326">
        <f t="shared" si="21"/>
        <v>6.6666666666666666E-2</v>
      </c>
      <c r="CX9" s="326">
        <f t="shared" si="22"/>
        <v>4.2553191489361701E-2</v>
      </c>
    </row>
    <row r="10" spans="1:102">
      <c r="A10" s="202" t="str">
        <f>All!C454</f>
        <v>Environmental studies</v>
      </c>
      <c r="B10" s="200">
        <f>All!H454</f>
        <v>1</v>
      </c>
      <c r="C10" s="200">
        <f>All!I454</f>
        <v>1</v>
      </c>
      <c r="D10" s="200">
        <f>All!J454</f>
        <v>0</v>
      </c>
      <c r="E10" s="200">
        <f>All!K454</f>
        <v>4</v>
      </c>
      <c r="F10" s="200">
        <f>All!L454</f>
        <v>2</v>
      </c>
      <c r="G10" s="200">
        <f>All!M454</f>
        <v>4</v>
      </c>
      <c r="H10" s="200">
        <f>All!N454</f>
        <v>0</v>
      </c>
      <c r="I10" s="200">
        <f>All!O454</f>
        <v>1</v>
      </c>
      <c r="J10" s="200">
        <f>All!P454</f>
        <v>2</v>
      </c>
      <c r="K10" s="200">
        <f>All!Q454</f>
        <v>1</v>
      </c>
      <c r="L10" s="200">
        <f>All!R454</f>
        <v>3</v>
      </c>
      <c r="M10" s="200">
        <f>All!S454</f>
        <v>1</v>
      </c>
      <c r="N10" s="200">
        <f>All!T454</f>
        <v>3</v>
      </c>
      <c r="O10" s="200">
        <f>All!U454</f>
        <v>3</v>
      </c>
      <c r="P10" s="200">
        <f>All!V454</f>
        <v>0</v>
      </c>
      <c r="Q10" s="200">
        <f>All!W454</f>
        <v>4</v>
      </c>
      <c r="R10" s="209">
        <f>All!X454</f>
        <v>2</v>
      </c>
      <c r="S10" s="209">
        <f>All!Y454</f>
        <v>3</v>
      </c>
      <c r="T10" s="209">
        <f>All!Z454</f>
        <v>4</v>
      </c>
      <c r="U10" s="209">
        <f>All!AA454</f>
        <v>2</v>
      </c>
      <c r="V10" s="209">
        <f>All!AB454</f>
        <v>1</v>
      </c>
      <c r="W10" s="211">
        <f t="shared" si="32"/>
        <v>30</v>
      </c>
      <c r="X10" s="207">
        <f t="shared" si="33"/>
        <v>12</v>
      </c>
      <c r="Y10" s="207">
        <f t="shared" si="34"/>
        <v>42</v>
      </c>
      <c r="Z10" s="200">
        <f>All!AC454</f>
        <v>1</v>
      </c>
      <c r="AA10" s="200">
        <f>All!AD454</f>
        <v>0</v>
      </c>
      <c r="AD10" t="str">
        <f t="shared" si="35"/>
        <v>Environmental studies</v>
      </c>
      <c r="AE10" s="200">
        <f>All!H429</f>
        <v>1</v>
      </c>
      <c r="AF10" s="200">
        <f>All!I429</f>
        <v>1</v>
      </c>
      <c r="AG10" s="200">
        <f>All!J429</f>
        <v>0</v>
      </c>
      <c r="AH10" s="200">
        <f>All!K429</f>
        <v>10</v>
      </c>
      <c r="AI10" s="200">
        <f>All!L429</f>
        <v>11</v>
      </c>
      <c r="AJ10" s="200">
        <f>All!M429</f>
        <v>15</v>
      </c>
      <c r="AK10" s="200">
        <f>All!N429</f>
        <v>0</v>
      </c>
      <c r="AL10" s="200">
        <f>All!O429</f>
        <v>3</v>
      </c>
      <c r="AM10" s="200">
        <f>All!P429</f>
        <v>4</v>
      </c>
      <c r="AN10" s="200">
        <f>All!Q429</f>
        <v>1</v>
      </c>
      <c r="AO10" s="200">
        <f>All!R429</f>
        <v>6</v>
      </c>
      <c r="AP10" s="200">
        <f>All!S429</f>
        <v>2</v>
      </c>
      <c r="AQ10" s="200">
        <f>All!T429</f>
        <v>13</v>
      </c>
      <c r="AR10" s="200">
        <f>All!U429</f>
        <v>8</v>
      </c>
      <c r="AS10" s="200">
        <f>All!V429</f>
        <v>2</v>
      </c>
      <c r="AT10" s="200">
        <f>All!W429</f>
        <v>8</v>
      </c>
      <c r="AU10" s="233">
        <f>All!X429</f>
        <v>7</v>
      </c>
      <c r="AV10" s="233">
        <f>All!Y429</f>
        <v>7</v>
      </c>
      <c r="AW10" s="233">
        <f>All!Z429</f>
        <v>9</v>
      </c>
      <c r="AX10" s="233">
        <f>All!AA429</f>
        <v>4</v>
      </c>
      <c r="AY10" s="233">
        <f>All!AB429</f>
        <v>3</v>
      </c>
      <c r="AZ10" s="234">
        <f t="shared" si="36"/>
        <v>85</v>
      </c>
      <c r="BA10" s="234">
        <f t="shared" si="37"/>
        <v>30</v>
      </c>
      <c r="BB10" s="234">
        <f t="shared" si="38"/>
        <v>115</v>
      </c>
      <c r="BC10" s="200">
        <f>All!AC429</f>
        <v>1</v>
      </c>
      <c r="BD10" s="200">
        <f>All!AD429</f>
        <v>0</v>
      </c>
      <c r="BF10" t="str">
        <f t="shared" si="39"/>
        <v>Environmental studies</v>
      </c>
      <c r="BG10" s="177">
        <f>All!H482</f>
        <v>1</v>
      </c>
      <c r="BH10" s="177">
        <f>All!I482</f>
        <v>1</v>
      </c>
      <c r="BI10" s="177">
        <f>All!J482</f>
        <v>0</v>
      </c>
      <c r="BJ10" s="177">
        <f>All!K482</f>
        <v>0</v>
      </c>
      <c r="BK10" s="177">
        <f>All!L482</f>
        <v>0</v>
      </c>
      <c r="BL10" s="177">
        <f>All!M482</f>
        <v>1</v>
      </c>
      <c r="BM10" s="177">
        <f>All!N482</f>
        <v>0</v>
      </c>
      <c r="BN10" s="177">
        <f>All!O482</f>
        <v>0</v>
      </c>
      <c r="BO10" s="177">
        <f>All!P482</f>
        <v>0</v>
      </c>
      <c r="BP10" s="177">
        <f>All!Q482</f>
        <v>1</v>
      </c>
      <c r="BQ10" s="177">
        <f>All!R482</f>
        <v>0</v>
      </c>
      <c r="BR10" s="177">
        <f>All!S482</f>
        <v>0</v>
      </c>
      <c r="BS10" s="177">
        <f>All!T482</f>
        <v>0</v>
      </c>
      <c r="BT10" s="177">
        <f>All!U482</f>
        <v>0</v>
      </c>
      <c r="BU10" s="177">
        <f>All!V482</f>
        <v>0</v>
      </c>
      <c r="BV10" s="177">
        <f>All!W482</f>
        <v>0</v>
      </c>
      <c r="BW10" s="220">
        <f>All!X482</f>
        <v>0</v>
      </c>
      <c r="BX10" s="220">
        <f>All!Y482</f>
        <v>0</v>
      </c>
      <c r="BY10" s="220">
        <f>All!Z482</f>
        <v>0</v>
      </c>
      <c r="BZ10" s="220">
        <f>All!AA482</f>
        <v>0</v>
      </c>
      <c r="CA10" s="220">
        <f>All!AB482</f>
        <v>0</v>
      </c>
      <c r="CB10" s="229">
        <f t="shared" si="40"/>
        <v>4</v>
      </c>
      <c r="CC10" s="229">
        <f t="shared" si="41"/>
        <v>0</v>
      </c>
      <c r="CD10" s="229">
        <f t="shared" si="42"/>
        <v>4</v>
      </c>
      <c r="CE10" s="177">
        <f>All!AC482</f>
        <v>0</v>
      </c>
      <c r="CF10" s="177">
        <f>All!AD482</f>
        <v>0</v>
      </c>
      <c r="CH10" s="262" t="str">
        <v>Green Design &amp; Building</v>
      </c>
      <c r="CI10" s="261">
        <v>42</v>
      </c>
      <c r="CJ10" s="261">
        <v>27</v>
      </c>
      <c r="CK10" s="263">
        <v>9</v>
      </c>
      <c r="CM10" s="262" t="str">
        <f t="shared" si="19"/>
        <v>Environmental studies</v>
      </c>
      <c r="CN10" s="271">
        <f>COUNTIFS(All!AL3:AL412,"=Environmental studies")</f>
        <v>21</v>
      </c>
      <c r="CO10" s="271">
        <f>COUNTIFS(All!AL3:AL412,"=Environmental studies",All!G3:G412,"&gt;1")</f>
        <v>6</v>
      </c>
      <c r="CP10" s="276">
        <f>COUNTIFS(All!AL3:AL412,"=Environmental studies",All!G3:G412,"&gt;2")</f>
        <v>1</v>
      </c>
      <c r="CQ10" s="278">
        <v>4</v>
      </c>
      <c r="CR10" s="278">
        <v>4</v>
      </c>
      <c r="CS10" s="278"/>
      <c r="CT10" s="291">
        <f>All!AC429</f>
        <v>1</v>
      </c>
      <c r="CV10" s="326">
        <f t="shared" si="20"/>
        <v>5.1597051597051594E-2</v>
      </c>
      <c r="CW10" s="326">
        <f t="shared" si="21"/>
        <v>4.4444444444444446E-2</v>
      </c>
      <c r="CX10" s="326">
        <f t="shared" si="22"/>
        <v>2.1276595744680851E-2</v>
      </c>
    </row>
    <row r="11" spans="1:102">
      <c r="A11" s="202" t="str">
        <f>All!C455</f>
        <v>FES</v>
      </c>
      <c r="B11" s="200">
        <f>All!H455</f>
        <v>21</v>
      </c>
      <c r="C11" s="200">
        <f>All!I455</f>
        <v>6</v>
      </c>
      <c r="D11" s="200">
        <f>All!J455</f>
        <v>21</v>
      </c>
      <c r="E11" s="200">
        <f>All!K455</f>
        <v>23</v>
      </c>
      <c r="F11" s="200">
        <f>All!L455</f>
        <v>17</v>
      </c>
      <c r="G11" s="200">
        <f>All!M455</f>
        <v>41</v>
      </c>
      <c r="H11" s="200">
        <f>All!N455</f>
        <v>22</v>
      </c>
      <c r="I11" s="200">
        <f>All!O455</f>
        <v>11</v>
      </c>
      <c r="J11" s="200">
        <f>All!P455</f>
        <v>19</v>
      </c>
      <c r="K11" s="200">
        <f>All!Q455</f>
        <v>16</v>
      </c>
      <c r="L11" s="200">
        <f>All!R455</f>
        <v>14</v>
      </c>
      <c r="M11" s="200">
        <f>All!S455</f>
        <v>8</v>
      </c>
      <c r="N11" s="200">
        <f>All!T455</f>
        <v>44</v>
      </c>
      <c r="O11" s="200">
        <f>All!U455</f>
        <v>19</v>
      </c>
      <c r="P11" s="200">
        <f>All!V455</f>
        <v>11</v>
      </c>
      <c r="Q11" s="200">
        <f>All!W455</f>
        <v>16</v>
      </c>
      <c r="R11" s="209">
        <f>All!X455</f>
        <v>16</v>
      </c>
      <c r="S11" s="209">
        <f>All!Y455</f>
        <v>23</v>
      </c>
      <c r="T11" s="209">
        <f>All!Z455</f>
        <v>25</v>
      </c>
      <c r="U11" s="209">
        <f>All!AA455</f>
        <v>31</v>
      </c>
      <c r="V11" s="209">
        <f>All!AB455</f>
        <v>19</v>
      </c>
      <c r="W11" s="211">
        <f t="shared" si="32"/>
        <v>309</v>
      </c>
      <c r="X11" s="207">
        <f t="shared" si="33"/>
        <v>114</v>
      </c>
      <c r="Y11" s="207">
        <f t="shared" si="34"/>
        <v>423</v>
      </c>
      <c r="Z11" s="200">
        <f>All!AC455</f>
        <v>31</v>
      </c>
      <c r="AA11" s="200">
        <f>All!AD455</f>
        <v>11</v>
      </c>
      <c r="AD11" t="str">
        <f t="shared" si="35"/>
        <v>FES</v>
      </c>
      <c r="AE11" s="200">
        <f>All!H430</f>
        <v>23</v>
      </c>
      <c r="AF11" s="200">
        <f>All!I430</f>
        <v>6</v>
      </c>
      <c r="AG11" s="200">
        <f>All!J430</f>
        <v>24</v>
      </c>
      <c r="AH11" s="200">
        <f>All!K430</f>
        <v>32</v>
      </c>
      <c r="AI11" s="200">
        <f>All!L430</f>
        <v>30</v>
      </c>
      <c r="AJ11" s="200">
        <f>All!M430</f>
        <v>54</v>
      </c>
      <c r="AK11" s="200">
        <f>All!N430</f>
        <v>26</v>
      </c>
      <c r="AL11" s="200">
        <f>All!O430</f>
        <v>14</v>
      </c>
      <c r="AM11" s="200">
        <f>All!P430</f>
        <v>19</v>
      </c>
      <c r="AN11" s="200">
        <f>All!Q430</f>
        <v>18</v>
      </c>
      <c r="AO11" s="200">
        <f>All!R430</f>
        <v>17</v>
      </c>
      <c r="AP11" s="200">
        <f>All!S430</f>
        <v>8</v>
      </c>
      <c r="AQ11" s="200">
        <f>All!T430</f>
        <v>71</v>
      </c>
      <c r="AR11" s="200">
        <f>All!U430</f>
        <v>33</v>
      </c>
      <c r="AS11" s="200">
        <f>All!V430</f>
        <v>19</v>
      </c>
      <c r="AT11" s="200">
        <f>All!W430</f>
        <v>24</v>
      </c>
      <c r="AU11" s="233">
        <f>All!X430</f>
        <v>20</v>
      </c>
      <c r="AV11" s="233">
        <f>All!Y430</f>
        <v>34</v>
      </c>
      <c r="AW11" s="233">
        <f>All!Z430</f>
        <v>38</v>
      </c>
      <c r="AX11" s="233">
        <f>All!AA430</f>
        <v>53</v>
      </c>
      <c r="AY11" s="233">
        <f>All!AB430</f>
        <v>32</v>
      </c>
      <c r="AZ11" s="234">
        <f t="shared" si="36"/>
        <v>418</v>
      </c>
      <c r="BA11" s="234">
        <f t="shared" si="37"/>
        <v>177</v>
      </c>
      <c r="BB11" s="234">
        <f t="shared" si="38"/>
        <v>595</v>
      </c>
      <c r="BC11" s="200">
        <f>All!AC430</f>
        <v>48</v>
      </c>
      <c r="BD11" s="200">
        <f>All!AD430</f>
        <v>17</v>
      </c>
      <c r="BF11" t="str">
        <f t="shared" si="39"/>
        <v>FES</v>
      </c>
      <c r="BG11" s="177">
        <f>All!H483</f>
        <v>18</v>
      </c>
      <c r="BH11" s="177">
        <f>All!I483</f>
        <v>6</v>
      </c>
      <c r="BI11" s="177">
        <f>All!J483</f>
        <v>16</v>
      </c>
      <c r="BJ11" s="177">
        <f>All!K483</f>
        <v>8</v>
      </c>
      <c r="BK11" s="177">
        <f>All!L483</f>
        <v>7</v>
      </c>
      <c r="BL11" s="177">
        <f>All!M483</f>
        <v>19</v>
      </c>
      <c r="BM11" s="177">
        <f>All!N483</f>
        <v>13</v>
      </c>
      <c r="BN11" s="177">
        <f>All!O483</f>
        <v>8</v>
      </c>
      <c r="BO11" s="177">
        <f>All!P483</f>
        <v>9</v>
      </c>
      <c r="BP11" s="177">
        <f>All!Q483</f>
        <v>13</v>
      </c>
      <c r="BQ11" s="177">
        <f>All!R483</f>
        <v>8</v>
      </c>
      <c r="BR11" s="177">
        <f>All!S483</f>
        <v>6</v>
      </c>
      <c r="BS11" s="177">
        <f>All!T483</f>
        <v>15</v>
      </c>
      <c r="BT11" s="177">
        <f>All!U483</f>
        <v>7</v>
      </c>
      <c r="BU11" s="177">
        <f>All!V483</f>
        <v>3</v>
      </c>
      <c r="BV11" s="177">
        <f>All!W483</f>
        <v>5</v>
      </c>
      <c r="BW11" s="220">
        <f>All!X483</f>
        <v>4</v>
      </c>
      <c r="BX11" s="220">
        <f>All!Y483</f>
        <v>5</v>
      </c>
      <c r="BY11" s="220">
        <f>All!Z483</f>
        <v>9</v>
      </c>
      <c r="BZ11" s="220">
        <f>All!AA483</f>
        <v>10</v>
      </c>
      <c r="CA11" s="220">
        <f>All!AB483</f>
        <v>5</v>
      </c>
      <c r="CB11" s="229">
        <f t="shared" si="40"/>
        <v>161</v>
      </c>
      <c r="CC11" s="229">
        <f t="shared" si="41"/>
        <v>33</v>
      </c>
      <c r="CD11" s="229">
        <f t="shared" si="42"/>
        <v>194</v>
      </c>
      <c r="CE11" s="177">
        <f>All!AC483</f>
        <v>13</v>
      </c>
      <c r="CF11" s="177">
        <f>All!AD483</f>
        <v>5</v>
      </c>
      <c r="CH11" s="262" t="str">
        <v>CSR</v>
      </c>
      <c r="CI11" s="261">
        <v>36</v>
      </c>
      <c r="CJ11" s="261">
        <v>29</v>
      </c>
      <c r="CK11" s="263">
        <v>20</v>
      </c>
      <c r="CM11" s="262" t="str">
        <f t="shared" si="19"/>
        <v>FES</v>
      </c>
      <c r="CN11" s="271">
        <f>COUNTIFS(All!AL3:AL412,"=FES")</f>
        <v>125</v>
      </c>
      <c r="CO11" s="271">
        <f>COUNTIFS(All!AL3:AL412,"=FES",All!G3:G412,"&gt;1")</f>
        <v>80</v>
      </c>
      <c r="CP11" s="276">
        <f>COUNTIFS(All!AL3:AL412,"=FES",All!G3:G412,"&gt;2")</f>
        <v>32</v>
      </c>
      <c r="CQ11" s="278">
        <v>1</v>
      </c>
      <c r="CR11" s="278">
        <v>1</v>
      </c>
      <c r="CS11" s="278">
        <v>1</v>
      </c>
      <c r="CT11" s="291">
        <f>All!AC430</f>
        <v>48</v>
      </c>
      <c r="CV11" s="326">
        <f t="shared" si="20"/>
        <v>0.30712530712530711</v>
      </c>
      <c r="CW11" s="326">
        <f t="shared" si="21"/>
        <v>0.59259259259259256</v>
      </c>
      <c r="CX11" s="326">
        <f t="shared" si="22"/>
        <v>0.68085106382978722</v>
      </c>
    </row>
    <row r="12" spans="1:102">
      <c r="A12" s="202" t="str">
        <f>All!C456</f>
        <v>Genetics</v>
      </c>
      <c r="B12" s="200">
        <f>All!H456</f>
        <v>0</v>
      </c>
      <c r="C12" s="200">
        <f>All!I456</f>
        <v>0</v>
      </c>
      <c r="D12" s="200">
        <f>All!J456</f>
        <v>0</v>
      </c>
      <c r="E12" s="200">
        <f>All!K456</f>
        <v>0</v>
      </c>
      <c r="F12" s="200">
        <f>All!L456</f>
        <v>0</v>
      </c>
      <c r="G12" s="200">
        <f>All!M456</f>
        <v>0</v>
      </c>
      <c r="H12" s="200">
        <f>All!N456</f>
        <v>0</v>
      </c>
      <c r="I12" s="200">
        <f>All!O456</f>
        <v>0</v>
      </c>
      <c r="J12" s="200">
        <f>All!P456</f>
        <v>0</v>
      </c>
      <c r="K12" s="200">
        <f>All!Q456</f>
        <v>0</v>
      </c>
      <c r="L12" s="200">
        <f>All!R456</f>
        <v>0</v>
      </c>
      <c r="M12" s="200">
        <f>All!S456</f>
        <v>0</v>
      </c>
      <c r="N12" s="200">
        <f>All!T456</f>
        <v>0</v>
      </c>
      <c r="O12" s="200">
        <f>All!U456</f>
        <v>0</v>
      </c>
      <c r="P12" s="200">
        <f>All!V456</f>
        <v>0</v>
      </c>
      <c r="Q12" s="200">
        <f>All!W456</f>
        <v>0</v>
      </c>
      <c r="R12" s="209">
        <f>All!X456</f>
        <v>0</v>
      </c>
      <c r="S12" s="209">
        <f>All!Y456</f>
        <v>0</v>
      </c>
      <c r="T12" s="209">
        <f>All!Z456</f>
        <v>0</v>
      </c>
      <c r="U12" s="209">
        <f>All!AA456</f>
        <v>0</v>
      </c>
      <c r="V12" s="209">
        <f>All!AB456</f>
        <v>0</v>
      </c>
      <c r="W12" s="211">
        <f t="shared" si="32"/>
        <v>0</v>
      </c>
      <c r="X12" s="207">
        <f t="shared" si="33"/>
        <v>0</v>
      </c>
      <c r="Y12" s="207">
        <f t="shared" si="34"/>
        <v>0</v>
      </c>
      <c r="Z12" s="200">
        <f>All!AC456</f>
        <v>0</v>
      </c>
      <c r="AA12" s="200">
        <f>All!AD456</f>
        <v>0</v>
      </c>
      <c r="AD12" t="str">
        <f t="shared" si="35"/>
        <v>Genetics</v>
      </c>
      <c r="AE12" s="200">
        <f>All!H431</f>
        <v>0</v>
      </c>
      <c r="AF12" s="200">
        <f>All!I431</f>
        <v>0</v>
      </c>
      <c r="AG12" s="200">
        <f>All!J431</f>
        <v>0</v>
      </c>
      <c r="AH12" s="200">
        <f>All!K431</f>
        <v>0</v>
      </c>
      <c r="AI12" s="200">
        <f>All!L431</f>
        <v>0</v>
      </c>
      <c r="AJ12" s="200">
        <f>All!M431</f>
        <v>0</v>
      </c>
      <c r="AK12" s="200">
        <f>All!N431</f>
        <v>0</v>
      </c>
      <c r="AL12" s="200">
        <f>All!O431</f>
        <v>1</v>
      </c>
      <c r="AM12" s="200">
        <f>All!P431</f>
        <v>0</v>
      </c>
      <c r="AN12" s="200">
        <f>All!Q431</f>
        <v>0</v>
      </c>
      <c r="AO12" s="200">
        <f>All!R431</f>
        <v>0</v>
      </c>
      <c r="AP12" s="200">
        <f>All!S431</f>
        <v>0</v>
      </c>
      <c r="AQ12" s="200">
        <f>All!T431</f>
        <v>0</v>
      </c>
      <c r="AR12" s="200">
        <f>All!U431</f>
        <v>0</v>
      </c>
      <c r="AS12" s="200">
        <f>All!V431</f>
        <v>0</v>
      </c>
      <c r="AT12" s="200">
        <f>All!W431</f>
        <v>0</v>
      </c>
      <c r="AU12" s="233">
        <f>All!X431</f>
        <v>0</v>
      </c>
      <c r="AV12" s="233">
        <f>All!Y431</f>
        <v>0</v>
      </c>
      <c r="AW12" s="233">
        <f>All!Z431</f>
        <v>0</v>
      </c>
      <c r="AX12" s="233">
        <f>All!AA431</f>
        <v>0</v>
      </c>
      <c r="AY12" s="233">
        <f>All!AB431</f>
        <v>0</v>
      </c>
      <c r="AZ12" s="234">
        <f t="shared" si="36"/>
        <v>1</v>
      </c>
      <c r="BA12" s="234">
        <f t="shared" si="37"/>
        <v>0</v>
      </c>
      <c r="BB12" s="234">
        <f t="shared" si="38"/>
        <v>1</v>
      </c>
      <c r="BC12" s="200">
        <f>All!AC431</f>
        <v>0</v>
      </c>
      <c r="BD12" s="200">
        <f>All!AD431</f>
        <v>1</v>
      </c>
      <c r="BF12" t="str">
        <f t="shared" si="39"/>
        <v>Genetics</v>
      </c>
      <c r="BG12" s="177">
        <f>All!H484</f>
        <v>0</v>
      </c>
      <c r="BH12" s="177">
        <f>All!I484</f>
        <v>0</v>
      </c>
      <c r="BI12" s="177">
        <f>All!J484</f>
        <v>0</v>
      </c>
      <c r="BJ12" s="177">
        <f>All!K484</f>
        <v>0</v>
      </c>
      <c r="BK12" s="177">
        <f>All!L484</f>
        <v>0</v>
      </c>
      <c r="BL12" s="177">
        <f>All!M484</f>
        <v>0</v>
      </c>
      <c r="BM12" s="177">
        <f>All!N484</f>
        <v>0</v>
      </c>
      <c r="BN12" s="177">
        <f>All!O484</f>
        <v>0</v>
      </c>
      <c r="BO12" s="177">
        <f>All!P484</f>
        <v>0</v>
      </c>
      <c r="BP12" s="177">
        <f>All!Q484</f>
        <v>0</v>
      </c>
      <c r="BQ12" s="177">
        <f>All!R484</f>
        <v>0</v>
      </c>
      <c r="BR12" s="177">
        <f>All!S484</f>
        <v>0</v>
      </c>
      <c r="BS12" s="177">
        <f>All!T484</f>
        <v>0</v>
      </c>
      <c r="BT12" s="177">
        <f>All!U484</f>
        <v>0</v>
      </c>
      <c r="BU12" s="177">
        <f>All!V484</f>
        <v>0</v>
      </c>
      <c r="BV12" s="177">
        <f>All!W484</f>
        <v>0</v>
      </c>
      <c r="BW12" s="220">
        <f>All!X484</f>
        <v>0</v>
      </c>
      <c r="BX12" s="220">
        <f>All!Y484</f>
        <v>0</v>
      </c>
      <c r="BY12" s="220">
        <f>All!Z484</f>
        <v>0</v>
      </c>
      <c r="BZ12" s="220">
        <f>All!AA484</f>
        <v>0</v>
      </c>
      <c r="CA12" s="220">
        <f>All!AB484</f>
        <v>0</v>
      </c>
      <c r="CB12" s="229">
        <f t="shared" si="40"/>
        <v>0</v>
      </c>
      <c r="CC12" s="229">
        <f t="shared" si="41"/>
        <v>0</v>
      </c>
      <c r="CD12" s="229">
        <f t="shared" si="42"/>
        <v>0</v>
      </c>
      <c r="CE12" s="177">
        <f>All!AC484</f>
        <v>0</v>
      </c>
      <c r="CF12" s="177">
        <f>All!AD484</f>
        <v>0</v>
      </c>
      <c r="CH12" s="262" t="str">
        <v>Energy</v>
      </c>
      <c r="CI12" s="261">
        <v>54</v>
      </c>
      <c r="CJ12" s="261">
        <v>33</v>
      </c>
      <c r="CK12" s="263">
        <v>13</v>
      </c>
      <c r="CM12" s="262" t="str">
        <f t="shared" si="19"/>
        <v>Genetics</v>
      </c>
      <c r="CN12" s="271">
        <f>COUNTIFS(All!AL3:AL412,"=Genetics")</f>
        <v>1</v>
      </c>
      <c r="CO12" s="271">
        <f>COUNTIFS(All!AL3:AL412,"=Genetics",All!G3:G412,"&gt;1")</f>
        <v>0</v>
      </c>
      <c r="CP12" s="276">
        <f>COUNTIFS(All!AL3:AL412,"=Genetics",All!G3:G412,"&gt;2")</f>
        <v>0</v>
      </c>
      <c r="CQ12" s="278"/>
      <c r="CR12" s="278"/>
      <c r="CS12" s="278"/>
      <c r="CT12" s="291">
        <f>All!AC431</f>
        <v>0</v>
      </c>
      <c r="CV12" s="326">
        <f t="shared" si="20"/>
        <v>2.4570024570024569E-3</v>
      </c>
      <c r="CW12" s="326">
        <f t="shared" si="21"/>
        <v>0</v>
      </c>
      <c r="CX12" s="326">
        <f t="shared" si="22"/>
        <v>0</v>
      </c>
    </row>
    <row r="13" spans="1:102">
      <c r="A13" s="202" t="str">
        <f>All!C457</f>
        <v>Geology &amp; geophysics</v>
      </c>
      <c r="B13" s="200">
        <f>All!H457</f>
        <v>0</v>
      </c>
      <c r="C13" s="200">
        <f>All!I457</f>
        <v>0</v>
      </c>
      <c r="D13" s="200">
        <f>All!J457</f>
        <v>0</v>
      </c>
      <c r="E13" s="200">
        <f>All!K457</f>
        <v>1</v>
      </c>
      <c r="F13" s="200">
        <f>All!L457</f>
        <v>0</v>
      </c>
      <c r="G13" s="200">
        <f>All!M457</f>
        <v>1</v>
      </c>
      <c r="H13" s="200">
        <f>All!N457</f>
        <v>0</v>
      </c>
      <c r="I13" s="200">
        <f>All!O457</f>
        <v>0</v>
      </c>
      <c r="J13" s="200">
        <f>All!P457</f>
        <v>0</v>
      </c>
      <c r="K13" s="200">
        <f>All!Q457</f>
        <v>0</v>
      </c>
      <c r="L13" s="200">
        <f>All!R457</f>
        <v>2</v>
      </c>
      <c r="M13" s="200">
        <f>All!S457</f>
        <v>0</v>
      </c>
      <c r="N13" s="200">
        <f>All!T457</f>
        <v>1</v>
      </c>
      <c r="O13" s="200">
        <f>All!U457</f>
        <v>0</v>
      </c>
      <c r="P13" s="200">
        <f>All!V457</f>
        <v>0</v>
      </c>
      <c r="Q13" s="200">
        <f>All!W457</f>
        <v>0</v>
      </c>
      <c r="R13" s="209">
        <f>All!X457</f>
        <v>0</v>
      </c>
      <c r="S13" s="209">
        <f>All!Y457</f>
        <v>1</v>
      </c>
      <c r="T13" s="209">
        <f>All!Z457</f>
        <v>1</v>
      </c>
      <c r="U13" s="209">
        <f>All!AA457</f>
        <v>1</v>
      </c>
      <c r="V13" s="209">
        <f>All!AB457</f>
        <v>1</v>
      </c>
      <c r="W13" s="211">
        <f t="shared" si="32"/>
        <v>5</v>
      </c>
      <c r="X13" s="207">
        <f t="shared" si="33"/>
        <v>4</v>
      </c>
      <c r="Y13" s="207">
        <f t="shared" si="34"/>
        <v>9</v>
      </c>
      <c r="Z13" s="200">
        <f>All!AC457</f>
        <v>0</v>
      </c>
      <c r="AA13" s="200">
        <f>All!AD457</f>
        <v>0</v>
      </c>
      <c r="AD13" t="str">
        <f t="shared" si="35"/>
        <v>Geology &amp; geophysics</v>
      </c>
      <c r="AE13" s="200">
        <f>All!H432</f>
        <v>0</v>
      </c>
      <c r="AF13" s="200">
        <f>All!I432</f>
        <v>0</v>
      </c>
      <c r="AG13" s="200">
        <f>All!J432</f>
        <v>0</v>
      </c>
      <c r="AH13" s="200">
        <f>All!K432</f>
        <v>10</v>
      </c>
      <c r="AI13" s="200">
        <f>All!L432</f>
        <v>0</v>
      </c>
      <c r="AJ13" s="200">
        <f>All!M432</f>
        <v>1</v>
      </c>
      <c r="AK13" s="200">
        <f>All!N432</f>
        <v>0</v>
      </c>
      <c r="AL13" s="200">
        <f>All!O432</f>
        <v>0</v>
      </c>
      <c r="AM13" s="200">
        <f>All!P432</f>
        <v>1</v>
      </c>
      <c r="AN13" s="200">
        <f>All!Q432</f>
        <v>0</v>
      </c>
      <c r="AO13" s="200">
        <f>All!R432</f>
        <v>3</v>
      </c>
      <c r="AP13" s="200">
        <f>All!S432</f>
        <v>0</v>
      </c>
      <c r="AQ13" s="200">
        <f>All!T432</f>
        <v>5</v>
      </c>
      <c r="AR13" s="200">
        <f>All!U432</f>
        <v>1</v>
      </c>
      <c r="AS13" s="200">
        <f>All!V432</f>
        <v>2</v>
      </c>
      <c r="AT13" s="200">
        <f>All!W432</f>
        <v>4</v>
      </c>
      <c r="AU13" s="233">
        <f>All!X432</f>
        <v>7</v>
      </c>
      <c r="AV13" s="233">
        <f>All!Y432</f>
        <v>3</v>
      </c>
      <c r="AW13" s="233">
        <f>All!Z432</f>
        <v>7</v>
      </c>
      <c r="AX13" s="233">
        <f>All!AA432</f>
        <v>5</v>
      </c>
      <c r="AY13" s="233">
        <f>All!AB432</f>
        <v>2</v>
      </c>
      <c r="AZ13" s="234">
        <f t="shared" si="36"/>
        <v>27</v>
      </c>
      <c r="BA13" s="234">
        <f t="shared" si="37"/>
        <v>24</v>
      </c>
      <c r="BB13" s="234">
        <f t="shared" si="38"/>
        <v>51</v>
      </c>
      <c r="BC13" s="200">
        <f>All!AC432</f>
        <v>0</v>
      </c>
      <c r="BD13" s="200">
        <f>All!AD432</f>
        <v>2</v>
      </c>
      <c r="BF13" t="str">
        <f t="shared" si="39"/>
        <v>Geology &amp; geophysics</v>
      </c>
      <c r="BG13" s="177">
        <f>All!H485</f>
        <v>0</v>
      </c>
      <c r="BH13" s="177">
        <f>All!I485</f>
        <v>0</v>
      </c>
      <c r="BI13" s="177">
        <f>All!J485</f>
        <v>0</v>
      </c>
      <c r="BJ13" s="177">
        <f>All!K485</f>
        <v>0</v>
      </c>
      <c r="BK13" s="177">
        <f>All!L485</f>
        <v>0</v>
      </c>
      <c r="BL13" s="177">
        <f>All!M485</f>
        <v>0</v>
      </c>
      <c r="BM13" s="177">
        <f>All!N485</f>
        <v>0</v>
      </c>
      <c r="BN13" s="177">
        <f>All!O485</f>
        <v>0</v>
      </c>
      <c r="BO13" s="177">
        <f>All!P485</f>
        <v>0</v>
      </c>
      <c r="BP13" s="177">
        <f>All!Q485</f>
        <v>0</v>
      </c>
      <c r="BQ13" s="177">
        <f>All!R485</f>
        <v>0</v>
      </c>
      <c r="BR13" s="177">
        <f>All!S485</f>
        <v>0</v>
      </c>
      <c r="BS13" s="177">
        <f>All!T485</f>
        <v>0</v>
      </c>
      <c r="BT13" s="177">
        <f>All!U485</f>
        <v>0</v>
      </c>
      <c r="BU13" s="177">
        <f>All!V485</f>
        <v>0</v>
      </c>
      <c r="BV13" s="177">
        <f>All!W485</f>
        <v>0</v>
      </c>
      <c r="BW13" s="220">
        <f>All!X485</f>
        <v>0</v>
      </c>
      <c r="BX13" s="220">
        <f>All!Y485</f>
        <v>0</v>
      </c>
      <c r="BY13" s="220">
        <f>All!Z485</f>
        <v>0</v>
      </c>
      <c r="BZ13" s="220">
        <f>All!AA485</f>
        <v>0</v>
      </c>
      <c r="CA13" s="220">
        <f>All!AB485</f>
        <v>0</v>
      </c>
      <c r="CB13" s="229">
        <f t="shared" si="40"/>
        <v>0</v>
      </c>
      <c r="CC13" s="229">
        <f t="shared" si="41"/>
        <v>0</v>
      </c>
      <c r="CD13" s="229">
        <f t="shared" si="42"/>
        <v>0</v>
      </c>
      <c r="CE13" s="177">
        <f>All!AC485</f>
        <v>0</v>
      </c>
      <c r="CF13" s="177">
        <f>All!AD485</f>
        <v>0</v>
      </c>
      <c r="CH13" s="262" t="str">
        <v>Industrial Ecology</v>
      </c>
      <c r="CI13" s="261">
        <v>26</v>
      </c>
      <c r="CJ13" s="261">
        <v>15</v>
      </c>
      <c r="CK13" s="263">
        <v>7</v>
      </c>
      <c r="CM13" s="262" t="str">
        <f t="shared" si="19"/>
        <v>Geology &amp; geophysics</v>
      </c>
      <c r="CN13" s="271">
        <f>COUNTIFS(All!AL3:AL412,"=Geology &amp; geophysics")</f>
        <v>13</v>
      </c>
      <c r="CO13" s="271">
        <f>COUNTIFS(All!AL3:AL412,"=Geology &amp; geophysics",All!G3:G412,"&gt;1")</f>
        <v>2</v>
      </c>
      <c r="CP13" s="276">
        <f>COUNTIFS(All!AL3:AL412,"=Geology &amp; geophysics",All!G3:G412,"&gt;2")</f>
        <v>0</v>
      </c>
      <c r="CQ13" s="278"/>
      <c r="CR13" s="278"/>
      <c r="CS13" s="278"/>
      <c r="CT13" s="291">
        <f>All!AC432</f>
        <v>0</v>
      </c>
      <c r="CV13" s="326">
        <f t="shared" si="20"/>
        <v>3.1941031941031942E-2</v>
      </c>
      <c r="CW13" s="326">
        <f t="shared" si="21"/>
        <v>1.4814814814814815E-2</v>
      </c>
      <c r="CX13" s="326">
        <f t="shared" si="22"/>
        <v>0</v>
      </c>
    </row>
    <row r="14" spans="1:102">
      <c r="A14" s="202" t="str">
        <f>All!C458</f>
        <v>History</v>
      </c>
      <c r="B14" s="200">
        <f>All!H458</f>
        <v>0</v>
      </c>
      <c r="C14" s="200">
        <f>All!I458</f>
        <v>0</v>
      </c>
      <c r="D14" s="200">
        <f>All!J458</f>
        <v>0</v>
      </c>
      <c r="E14" s="200">
        <f>All!K458</f>
        <v>1</v>
      </c>
      <c r="F14" s="200">
        <f>All!L458</f>
        <v>1</v>
      </c>
      <c r="G14" s="200">
        <f>All!M458</f>
        <v>1</v>
      </c>
      <c r="H14" s="200">
        <f>All!N458</f>
        <v>0</v>
      </c>
      <c r="I14" s="200">
        <f>All!O458</f>
        <v>0</v>
      </c>
      <c r="J14" s="200">
        <f>All!P458</f>
        <v>0</v>
      </c>
      <c r="K14" s="200">
        <f>All!Q458</f>
        <v>0</v>
      </c>
      <c r="L14" s="200">
        <f>All!R458</f>
        <v>0</v>
      </c>
      <c r="M14" s="200">
        <f>All!S458</f>
        <v>0</v>
      </c>
      <c r="N14" s="200">
        <f>All!T458</f>
        <v>1</v>
      </c>
      <c r="O14" s="200">
        <f>All!U458</f>
        <v>1</v>
      </c>
      <c r="P14" s="200">
        <f>All!V458</f>
        <v>0</v>
      </c>
      <c r="Q14" s="200">
        <f>All!W458</f>
        <v>0</v>
      </c>
      <c r="R14" s="209">
        <f>All!X458</f>
        <v>0</v>
      </c>
      <c r="S14" s="209">
        <f>All!Y458</f>
        <v>1</v>
      </c>
      <c r="T14" s="209">
        <f>All!Z458</f>
        <v>0</v>
      </c>
      <c r="U14" s="209">
        <f>All!AA458</f>
        <v>1</v>
      </c>
      <c r="V14" s="209">
        <f>All!AB458</f>
        <v>0</v>
      </c>
      <c r="W14" s="211">
        <f t="shared" ref="W14" si="43">SUM(B14:Q14)</f>
        <v>5</v>
      </c>
      <c r="X14" s="207">
        <f t="shared" ref="X14" si="44">SUM(R14:V14)</f>
        <v>2</v>
      </c>
      <c r="Y14" s="207">
        <f t="shared" ref="Y14" si="45">X14+W14</f>
        <v>7</v>
      </c>
      <c r="Z14" s="200">
        <f>All!AC458</f>
        <v>0</v>
      </c>
      <c r="AA14" s="200">
        <f>All!AD458</f>
        <v>0</v>
      </c>
      <c r="AD14" t="str">
        <f t="shared" si="35"/>
        <v>History</v>
      </c>
      <c r="AE14" s="200">
        <f>All!H433</f>
        <v>0</v>
      </c>
      <c r="AF14" s="200">
        <f>All!I433</f>
        <v>0</v>
      </c>
      <c r="AG14" s="200">
        <f>All!J433</f>
        <v>0</v>
      </c>
      <c r="AH14" s="200">
        <f>All!K433</f>
        <v>1</v>
      </c>
      <c r="AI14" s="200">
        <f>All!L433</f>
        <v>1</v>
      </c>
      <c r="AJ14" s="200">
        <f>All!M433</f>
        <v>1</v>
      </c>
      <c r="AK14" s="200">
        <f>All!N433</f>
        <v>0</v>
      </c>
      <c r="AL14" s="200">
        <f>All!O433</f>
        <v>0</v>
      </c>
      <c r="AM14" s="200">
        <f>All!P433</f>
        <v>0</v>
      </c>
      <c r="AN14" s="200">
        <f>All!Q433</f>
        <v>0</v>
      </c>
      <c r="AO14" s="200">
        <f>All!R433</f>
        <v>0</v>
      </c>
      <c r="AP14" s="200">
        <f>All!S433</f>
        <v>0</v>
      </c>
      <c r="AQ14" s="200">
        <f>All!T433</f>
        <v>1</v>
      </c>
      <c r="AR14" s="200">
        <f>All!U433</f>
        <v>2</v>
      </c>
      <c r="AS14" s="200">
        <f>All!V433</f>
        <v>0</v>
      </c>
      <c r="AT14" s="200">
        <f>All!W433</f>
        <v>0</v>
      </c>
      <c r="AU14" s="233">
        <f>All!X433</f>
        <v>0</v>
      </c>
      <c r="AV14" s="233">
        <f>All!Y433</f>
        <v>2</v>
      </c>
      <c r="AW14" s="233">
        <f>All!Z433</f>
        <v>1</v>
      </c>
      <c r="AX14" s="233">
        <f>All!AA433</f>
        <v>1</v>
      </c>
      <c r="AY14" s="233">
        <f>All!AB433</f>
        <v>0</v>
      </c>
      <c r="AZ14" s="234">
        <f t="shared" ref="AZ14" si="46">SUM(AE14:AT14)</f>
        <v>6</v>
      </c>
      <c r="BA14" s="234">
        <f t="shared" ref="BA14" si="47">SUM(AU14:AY14)</f>
        <v>4</v>
      </c>
      <c r="BB14" s="234">
        <f t="shared" ref="BB14" si="48">BA14+AZ14</f>
        <v>10</v>
      </c>
      <c r="BC14" s="200">
        <f>All!AC433</f>
        <v>0</v>
      </c>
      <c r="BD14" s="200">
        <f>All!AD433</f>
        <v>0</v>
      </c>
      <c r="BF14" t="str">
        <f t="shared" ref="BF14:BF23" si="49">A14</f>
        <v>History</v>
      </c>
      <c r="BG14" s="177">
        <f>All!H486</f>
        <v>0</v>
      </c>
      <c r="BH14" s="177">
        <f>All!I486</f>
        <v>0</v>
      </c>
      <c r="BI14" s="177">
        <f>All!J486</f>
        <v>0</v>
      </c>
      <c r="BJ14" s="177">
        <f>All!K486</f>
        <v>0</v>
      </c>
      <c r="BK14" s="177">
        <f>All!L486</f>
        <v>0</v>
      </c>
      <c r="BL14" s="177">
        <f>All!M486</f>
        <v>0</v>
      </c>
      <c r="BM14" s="177">
        <f>All!N486</f>
        <v>0</v>
      </c>
      <c r="BN14" s="177">
        <f>All!O486</f>
        <v>0</v>
      </c>
      <c r="BO14" s="177">
        <f>All!P486</f>
        <v>0</v>
      </c>
      <c r="BP14" s="177">
        <f>All!Q486</f>
        <v>0</v>
      </c>
      <c r="BQ14" s="177">
        <f>All!R486</f>
        <v>0</v>
      </c>
      <c r="BR14" s="177">
        <f>All!S486</f>
        <v>0</v>
      </c>
      <c r="BS14" s="177">
        <f>All!T486</f>
        <v>0</v>
      </c>
      <c r="BT14" s="177">
        <f>All!U486</f>
        <v>0</v>
      </c>
      <c r="BU14" s="177">
        <f>All!V486</f>
        <v>0</v>
      </c>
      <c r="BV14" s="177">
        <f>All!W486</f>
        <v>0</v>
      </c>
      <c r="BW14" s="220">
        <f>All!X486</f>
        <v>0</v>
      </c>
      <c r="BX14" s="220">
        <f>All!Y486</f>
        <v>0</v>
      </c>
      <c r="BY14" s="220">
        <f>All!Z486</f>
        <v>0</v>
      </c>
      <c r="BZ14" s="220">
        <f>All!AA486</f>
        <v>0</v>
      </c>
      <c r="CA14" s="220">
        <f>All!AB486</f>
        <v>0</v>
      </c>
      <c r="CB14" s="229">
        <f t="shared" ref="CB14" si="50">SUM(BG14:BV14)</f>
        <v>0</v>
      </c>
      <c r="CC14" s="229">
        <f t="shared" ref="CC14" si="51">SUM(BW14:CA14)</f>
        <v>0</v>
      </c>
      <c r="CD14" s="229">
        <f t="shared" ref="CD14" si="52">CC14+CB14</f>
        <v>0</v>
      </c>
      <c r="CE14" s="177">
        <f>All!AC486</f>
        <v>0</v>
      </c>
      <c r="CF14" s="177">
        <f>All!AD486</f>
        <v>0</v>
      </c>
      <c r="CH14" s="262" t="str">
        <v>Natural Res Managmnt</v>
      </c>
      <c r="CI14" s="261">
        <v>129</v>
      </c>
      <c r="CJ14" s="261">
        <v>61</v>
      </c>
      <c r="CK14" s="263">
        <v>20</v>
      </c>
      <c r="CM14" s="262" t="str">
        <f t="shared" si="19"/>
        <v>History</v>
      </c>
      <c r="CN14" s="271">
        <f>COUNTIFS(All!AL3:AL412,"=History")</f>
        <v>2</v>
      </c>
      <c r="CO14" s="271">
        <f>COUNTIFS(All!AL3:AL412,"=History",All!G3:G412,"&gt;1")</f>
        <v>1</v>
      </c>
      <c r="CP14" s="276">
        <f>COUNTIFS(All!AL3:AL412,"=History",All!G3:G412,"&gt;2")</f>
        <v>0</v>
      </c>
      <c r="CQ14" s="278"/>
      <c r="CR14" s="278"/>
      <c r="CS14" s="278"/>
      <c r="CT14" s="291">
        <f>All!AC433</f>
        <v>0</v>
      </c>
      <c r="CV14" s="326">
        <f t="shared" si="20"/>
        <v>4.9140049140049139E-3</v>
      </c>
      <c r="CW14" s="326">
        <f t="shared" si="21"/>
        <v>7.4074074074074077E-3</v>
      </c>
      <c r="CX14" s="326">
        <f t="shared" si="22"/>
        <v>0</v>
      </c>
    </row>
    <row r="15" spans="1:102">
      <c r="A15" s="202" t="str">
        <f>All!C459</f>
        <v>International relations</v>
      </c>
      <c r="B15" s="200">
        <f>All!H459</f>
        <v>0</v>
      </c>
      <c r="C15" s="200">
        <f>All!I459</f>
        <v>0</v>
      </c>
      <c r="D15" s="200">
        <f>All!J459</f>
        <v>0</v>
      </c>
      <c r="E15" s="200">
        <f>All!K459</f>
        <v>0</v>
      </c>
      <c r="F15" s="200">
        <f>All!L459</f>
        <v>0</v>
      </c>
      <c r="G15" s="200">
        <f>All!M459</f>
        <v>0</v>
      </c>
      <c r="H15" s="200">
        <f>All!N459</f>
        <v>0</v>
      </c>
      <c r="I15" s="200">
        <f>All!O459</f>
        <v>0</v>
      </c>
      <c r="J15" s="200">
        <f>All!P459</f>
        <v>0</v>
      </c>
      <c r="K15" s="200">
        <f>All!Q459</f>
        <v>0</v>
      </c>
      <c r="L15" s="200">
        <f>All!R459</f>
        <v>0</v>
      </c>
      <c r="M15" s="200">
        <f>All!S459</f>
        <v>0</v>
      </c>
      <c r="N15" s="200">
        <f>All!T459</f>
        <v>0</v>
      </c>
      <c r="O15" s="200">
        <f>All!U459</f>
        <v>0</v>
      </c>
      <c r="P15" s="200">
        <f>All!V459</f>
        <v>0</v>
      </c>
      <c r="Q15" s="200">
        <f>All!W459</f>
        <v>0</v>
      </c>
      <c r="R15" s="209">
        <f>All!X459</f>
        <v>0</v>
      </c>
      <c r="S15" s="209">
        <f>All!Y459</f>
        <v>0</v>
      </c>
      <c r="T15" s="209">
        <f>All!Z459</f>
        <v>0</v>
      </c>
      <c r="U15" s="209">
        <f>All!AA459</f>
        <v>0</v>
      </c>
      <c r="V15" s="209">
        <f>All!AB459</f>
        <v>0</v>
      </c>
      <c r="W15" s="211">
        <f t="shared" ref="W15:W23" si="53">SUM(B15:Q15)</f>
        <v>0</v>
      </c>
      <c r="X15" s="207">
        <f t="shared" ref="X15:X23" si="54">SUM(R15:V15)</f>
        <v>0</v>
      </c>
      <c r="Y15" s="207">
        <f t="shared" ref="Y15:Y23" si="55">X15+W15</f>
        <v>0</v>
      </c>
      <c r="Z15" s="200">
        <f>All!AC459</f>
        <v>0</v>
      </c>
      <c r="AA15" s="200">
        <f>All!AD459</f>
        <v>0</v>
      </c>
      <c r="AD15" t="str">
        <f t="shared" ref="AD15:AD23" si="56">A15</f>
        <v>International relations</v>
      </c>
      <c r="AE15" s="200">
        <f>All!H434</f>
        <v>3</v>
      </c>
      <c r="AF15" s="200">
        <f>All!I434</f>
        <v>2</v>
      </c>
      <c r="AG15" s="200">
        <f>All!J434</f>
        <v>1</v>
      </c>
      <c r="AH15" s="200">
        <f>All!K434</f>
        <v>1</v>
      </c>
      <c r="AI15" s="200">
        <f>All!L434</f>
        <v>3</v>
      </c>
      <c r="AJ15" s="200">
        <f>All!M434</f>
        <v>5</v>
      </c>
      <c r="AK15" s="200">
        <f>All!N434</f>
        <v>2</v>
      </c>
      <c r="AL15" s="200">
        <f>All!O434</f>
        <v>1</v>
      </c>
      <c r="AM15" s="200">
        <f>All!P434</f>
        <v>0</v>
      </c>
      <c r="AN15" s="200">
        <f>All!Q434</f>
        <v>0</v>
      </c>
      <c r="AO15" s="200">
        <f>All!R434</f>
        <v>1</v>
      </c>
      <c r="AP15" s="200">
        <f>All!S434</f>
        <v>0</v>
      </c>
      <c r="AQ15" s="200">
        <f>All!T434</f>
        <v>2</v>
      </c>
      <c r="AR15" s="200">
        <f>All!U434</f>
        <v>8</v>
      </c>
      <c r="AS15" s="200">
        <f>All!V434</f>
        <v>0</v>
      </c>
      <c r="AT15" s="200">
        <f>All!W434</f>
        <v>1</v>
      </c>
      <c r="AU15" s="233">
        <f>All!X434</f>
        <v>0</v>
      </c>
      <c r="AV15" s="233">
        <f>All!Y434</f>
        <v>0</v>
      </c>
      <c r="AW15" s="233">
        <f>All!Z434</f>
        <v>1</v>
      </c>
      <c r="AX15" s="233">
        <f>All!AA434</f>
        <v>1</v>
      </c>
      <c r="AY15" s="233">
        <f>All!AB434</f>
        <v>0</v>
      </c>
      <c r="AZ15" s="234">
        <f t="shared" ref="AZ15:AZ23" si="57">SUM(AE15:AT15)</f>
        <v>30</v>
      </c>
      <c r="BA15" s="234">
        <f t="shared" ref="BA15:BA23" si="58">SUM(AU15:AY15)</f>
        <v>2</v>
      </c>
      <c r="BB15" s="234">
        <f t="shared" ref="BB15:BB23" si="59">BA15+AZ15</f>
        <v>32</v>
      </c>
      <c r="BC15" s="200">
        <f>All!AC434</f>
        <v>1</v>
      </c>
      <c r="BD15" s="200">
        <f>All!AD434</f>
        <v>2</v>
      </c>
      <c r="BF15" t="str">
        <f t="shared" si="49"/>
        <v>International relations</v>
      </c>
      <c r="BG15" s="177">
        <f>All!H487</f>
        <v>0</v>
      </c>
      <c r="BH15" s="177">
        <f>All!I487</f>
        <v>0</v>
      </c>
      <c r="BI15" s="177">
        <f>All!J487</f>
        <v>0</v>
      </c>
      <c r="BJ15" s="177">
        <f>All!K487</f>
        <v>0</v>
      </c>
      <c r="BK15" s="177">
        <f>All!L487</f>
        <v>0</v>
      </c>
      <c r="BL15" s="177">
        <f>All!M487</f>
        <v>0</v>
      </c>
      <c r="BM15" s="177">
        <f>All!N487</f>
        <v>0</v>
      </c>
      <c r="BN15" s="177">
        <f>All!O487</f>
        <v>0</v>
      </c>
      <c r="BO15" s="177">
        <f>All!P487</f>
        <v>0</v>
      </c>
      <c r="BP15" s="177">
        <f>All!Q487</f>
        <v>0</v>
      </c>
      <c r="BQ15" s="177">
        <f>All!R487</f>
        <v>0</v>
      </c>
      <c r="BR15" s="177">
        <f>All!S487</f>
        <v>0</v>
      </c>
      <c r="BS15" s="177">
        <f>All!T487</f>
        <v>0</v>
      </c>
      <c r="BT15" s="177">
        <f>All!U487</f>
        <v>0</v>
      </c>
      <c r="BU15" s="177">
        <f>All!V487</f>
        <v>0</v>
      </c>
      <c r="BV15" s="177">
        <f>All!W487</f>
        <v>0</v>
      </c>
      <c r="BW15" s="220">
        <f>All!X487</f>
        <v>0</v>
      </c>
      <c r="BX15" s="220">
        <f>All!Y487</f>
        <v>0</v>
      </c>
      <c r="BY15" s="220">
        <f>All!Z487</f>
        <v>0</v>
      </c>
      <c r="BZ15" s="220">
        <f>All!AA487</f>
        <v>0</v>
      </c>
      <c r="CA15" s="220">
        <f>All!AB487</f>
        <v>0</v>
      </c>
      <c r="CB15" s="229">
        <f t="shared" ref="CB15:CB23" si="60">SUM(BG15:BV15)</f>
        <v>0</v>
      </c>
      <c r="CC15" s="229">
        <f t="shared" ref="CC15:CC23" si="61">SUM(BW15:CA15)</f>
        <v>0</v>
      </c>
      <c r="CD15" s="229">
        <f t="shared" ref="CD15:CD23" si="62">CC15+CB15</f>
        <v>0</v>
      </c>
      <c r="CE15" s="177">
        <f>All!AC487</f>
        <v>0</v>
      </c>
      <c r="CF15" s="177">
        <f>All!AD487</f>
        <v>0</v>
      </c>
      <c r="CH15" s="262" t="str">
        <v>Internat Development</v>
      </c>
      <c r="CI15" s="261">
        <v>118</v>
      </c>
      <c r="CJ15" s="261">
        <v>40</v>
      </c>
      <c r="CK15" s="263">
        <v>13</v>
      </c>
      <c r="CM15" s="262" t="str">
        <f t="shared" ref="CM15:CM23" si="63">A15</f>
        <v>International relations</v>
      </c>
      <c r="CN15" s="271">
        <f>COUNTIFS(All!AL3:AL412,"=International relations")</f>
        <v>8</v>
      </c>
      <c r="CO15" s="271">
        <f>COUNTIFS(All!AL3:AL412,"=International relations",All!G3:G412,"&gt;1")</f>
        <v>0</v>
      </c>
      <c r="CP15" s="276">
        <f>COUNTIFS(All!AL3:AL412,"=International relations",All!G3:G412,"&gt;2")</f>
        <v>0</v>
      </c>
      <c r="CQ15" s="278"/>
      <c r="CR15" s="278"/>
      <c r="CS15" s="278"/>
      <c r="CT15" s="291">
        <f>All!AC434</f>
        <v>1</v>
      </c>
      <c r="CV15" s="326">
        <f t="shared" si="20"/>
        <v>1.9656019656019656E-2</v>
      </c>
      <c r="CW15" s="326">
        <f t="shared" si="21"/>
        <v>0</v>
      </c>
      <c r="CX15" s="326">
        <f t="shared" si="22"/>
        <v>0</v>
      </c>
    </row>
    <row r="16" spans="1:102">
      <c r="A16" s="202" t="str">
        <f>All!C460</f>
        <v>Law</v>
      </c>
      <c r="B16" s="200">
        <f>All!H460</f>
        <v>1</v>
      </c>
      <c r="C16" s="200">
        <f>All!I460</f>
        <v>0</v>
      </c>
      <c r="D16" s="200">
        <f>All!J460</f>
        <v>3</v>
      </c>
      <c r="E16" s="200">
        <f>All!K460</f>
        <v>2</v>
      </c>
      <c r="F16" s="200">
        <f>All!L460</f>
        <v>1</v>
      </c>
      <c r="G16" s="200">
        <f>All!M460</f>
        <v>4</v>
      </c>
      <c r="H16" s="200">
        <f>All!N460</f>
        <v>2</v>
      </c>
      <c r="I16" s="200">
        <f>All!O460</f>
        <v>0</v>
      </c>
      <c r="J16" s="200">
        <f>All!P460</f>
        <v>2</v>
      </c>
      <c r="K16" s="200">
        <f>All!Q460</f>
        <v>1</v>
      </c>
      <c r="L16" s="200">
        <f>All!R460</f>
        <v>2</v>
      </c>
      <c r="M16" s="200">
        <f>All!S460</f>
        <v>0</v>
      </c>
      <c r="N16" s="200">
        <f>All!T460</f>
        <v>0</v>
      </c>
      <c r="O16" s="200">
        <f>All!U460</f>
        <v>2</v>
      </c>
      <c r="P16" s="200">
        <f>All!V460</f>
        <v>0</v>
      </c>
      <c r="Q16" s="200">
        <f>All!W460</f>
        <v>2</v>
      </c>
      <c r="R16" s="209">
        <f>All!X460</f>
        <v>1</v>
      </c>
      <c r="S16" s="209">
        <f>All!Y460</f>
        <v>0</v>
      </c>
      <c r="T16" s="209">
        <f>All!Z460</f>
        <v>0</v>
      </c>
      <c r="U16" s="209">
        <f>All!AA460</f>
        <v>0</v>
      </c>
      <c r="V16" s="209">
        <f>All!AB460</f>
        <v>0</v>
      </c>
      <c r="W16" s="211">
        <f t="shared" si="53"/>
        <v>22</v>
      </c>
      <c r="X16" s="207">
        <f t="shared" si="54"/>
        <v>1</v>
      </c>
      <c r="Y16" s="207">
        <f t="shared" si="55"/>
        <v>23</v>
      </c>
      <c r="Z16" s="200">
        <f>All!AC460</f>
        <v>0</v>
      </c>
      <c r="AA16" s="200">
        <f>All!AD460</f>
        <v>1</v>
      </c>
      <c r="AD16" t="str">
        <f t="shared" si="56"/>
        <v>Law</v>
      </c>
      <c r="AE16" s="200">
        <f>All!H435</f>
        <v>1</v>
      </c>
      <c r="AF16" s="200">
        <f>All!I435</f>
        <v>0</v>
      </c>
      <c r="AG16" s="200">
        <f>All!J435</f>
        <v>3</v>
      </c>
      <c r="AH16" s="200">
        <f>All!K435</f>
        <v>2</v>
      </c>
      <c r="AI16" s="200">
        <f>All!L435</f>
        <v>2</v>
      </c>
      <c r="AJ16" s="200">
        <f>All!M435</f>
        <v>7</v>
      </c>
      <c r="AK16" s="200">
        <f>All!N435</f>
        <v>3</v>
      </c>
      <c r="AL16" s="200">
        <f>All!O435</f>
        <v>0</v>
      </c>
      <c r="AM16" s="200">
        <f>All!P435</f>
        <v>3</v>
      </c>
      <c r="AN16" s="200">
        <f>All!Q435</f>
        <v>2</v>
      </c>
      <c r="AO16" s="200">
        <f>All!R435</f>
        <v>2</v>
      </c>
      <c r="AP16" s="200">
        <f>All!S435</f>
        <v>0</v>
      </c>
      <c r="AQ16" s="200">
        <f>All!T435</f>
        <v>0</v>
      </c>
      <c r="AR16" s="200">
        <f>All!U435</f>
        <v>4</v>
      </c>
      <c r="AS16" s="200">
        <f>All!V435</f>
        <v>0</v>
      </c>
      <c r="AT16" s="200">
        <f>All!W435</f>
        <v>2</v>
      </c>
      <c r="AU16" s="233">
        <f>All!X435</f>
        <v>1</v>
      </c>
      <c r="AV16" s="233">
        <f>All!Y435</f>
        <v>0</v>
      </c>
      <c r="AW16" s="233">
        <f>All!Z435</f>
        <v>0</v>
      </c>
      <c r="AX16" s="233">
        <f>All!AA435</f>
        <v>0</v>
      </c>
      <c r="AY16" s="233">
        <f>All!AB435</f>
        <v>0</v>
      </c>
      <c r="AZ16" s="234">
        <f t="shared" si="57"/>
        <v>31</v>
      </c>
      <c r="BA16" s="234">
        <f t="shared" si="58"/>
        <v>1</v>
      </c>
      <c r="BB16" s="234">
        <f t="shared" si="59"/>
        <v>32</v>
      </c>
      <c r="BC16" s="200">
        <f>All!AC435</f>
        <v>1</v>
      </c>
      <c r="BD16" s="200">
        <f>All!AD435</f>
        <v>1</v>
      </c>
      <c r="BF16" t="str">
        <f t="shared" si="49"/>
        <v>Law</v>
      </c>
      <c r="BG16" s="177">
        <f>All!H488</f>
        <v>0</v>
      </c>
      <c r="BH16" s="177">
        <f>All!I488</f>
        <v>0</v>
      </c>
      <c r="BI16" s="177">
        <f>All!J488</f>
        <v>0</v>
      </c>
      <c r="BJ16" s="177">
        <f>All!K488</f>
        <v>0</v>
      </c>
      <c r="BK16" s="177">
        <f>All!L488</f>
        <v>0</v>
      </c>
      <c r="BL16" s="177">
        <f>All!M488</f>
        <v>0</v>
      </c>
      <c r="BM16" s="177">
        <f>All!N488</f>
        <v>0</v>
      </c>
      <c r="BN16" s="177">
        <f>All!O488</f>
        <v>0</v>
      </c>
      <c r="BO16" s="177">
        <f>All!P488</f>
        <v>0</v>
      </c>
      <c r="BP16" s="177">
        <f>All!Q488</f>
        <v>0</v>
      </c>
      <c r="BQ16" s="177">
        <f>All!R488</f>
        <v>0</v>
      </c>
      <c r="BR16" s="177">
        <f>All!S488</f>
        <v>0</v>
      </c>
      <c r="BS16" s="177">
        <f>All!T488</f>
        <v>0</v>
      </c>
      <c r="BT16" s="177">
        <f>All!U488</f>
        <v>0</v>
      </c>
      <c r="BU16" s="177">
        <f>All!V488</f>
        <v>0</v>
      </c>
      <c r="BV16" s="177">
        <f>All!W488</f>
        <v>0</v>
      </c>
      <c r="BW16" s="220">
        <f>All!X488</f>
        <v>0</v>
      </c>
      <c r="BX16" s="220">
        <f>All!Y488</f>
        <v>0</v>
      </c>
      <c r="BY16" s="220">
        <f>All!Z488</f>
        <v>0</v>
      </c>
      <c r="BZ16" s="220">
        <f>All!AA488</f>
        <v>0</v>
      </c>
      <c r="CA16" s="220">
        <f>All!AB488</f>
        <v>0</v>
      </c>
      <c r="CB16" s="229">
        <f t="shared" si="60"/>
        <v>0</v>
      </c>
      <c r="CC16" s="229">
        <f t="shared" si="61"/>
        <v>0</v>
      </c>
      <c r="CD16" s="229">
        <f t="shared" si="62"/>
        <v>0</v>
      </c>
      <c r="CE16" s="177">
        <f>All!AC488</f>
        <v>0</v>
      </c>
      <c r="CF16" s="177">
        <f>All!AD488</f>
        <v>0</v>
      </c>
      <c r="CH16" s="262" t="str">
        <v>Envir Chemistry</v>
      </c>
      <c r="CI16" s="261">
        <v>38</v>
      </c>
      <c r="CJ16" s="261">
        <v>20</v>
      </c>
      <c r="CK16" s="263">
        <v>4</v>
      </c>
      <c r="CM16" s="262" t="str">
        <f t="shared" si="63"/>
        <v>Law</v>
      </c>
      <c r="CN16" s="271">
        <f>COUNTIFS(All!AL3:AL412,"=Law")</f>
        <v>9</v>
      </c>
      <c r="CO16" s="271">
        <f>COUNTIFS(All!AL3:AL412,"=Law",All!G3:G412,"&gt;1")</f>
        <v>4</v>
      </c>
      <c r="CP16" s="276">
        <f>COUNTIFS(All!AL3:AL412,"=Law",All!G3:G412,"&gt;2")</f>
        <v>0</v>
      </c>
      <c r="CQ16" s="278"/>
      <c r="CR16" s="278"/>
      <c r="CS16" s="278"/>
      <c r="CT16" s="291">
        <f>All!AC435</f>
        <v>1</v>
      </c>
      <c r="CV16" s="326">
        <f t="shared" si="20"/>
        <v>2.2113022113022112E-2</v>
      </c>
      <c r="CW16" s="326">
        <f t="shared" si="21"/>
        <v>2.9629629629629631E-2</v>
      </c>
      <c r="CX16" s="326">
        <f t="shared" si="22"/>
        <v>0</v>
      </c>
    </row>
    <row r="17" spans="1:102">
      <c r="A17" s="202" t="str">
        <f>All!C461</f>
        <v>Political science</v>
      </c>
      <c r="B17" s="200">
        <f>All!H461</f>
        <v>1</v>
      </c>
      <c r="C17" s="200">
        <f>All!I461</f>
        <v>1</v>
      </c>
      <c r="D17" s="200">
        <f>All!J461</f>
        <v>0</v>
      </c>
      <c r="E17" s="200">
        <f>All!K461</f>
        <v>0</v>
      </c>
      <c r="F17" s="200">
        <f>All!L461</f>
        <v>0</v>
      </c>
      <c r="G17" s="200">
        <f>All!M461</f>
        <v>0</v>
      </c>
      <c r="H17" s="200">
        <f>All!N461</f>
        <v>0</v>
      </c>
      <c r="I17" s="200">
        <f>All!O461</f>
        <v>0</v>
      </c>
      <c r="J17" s="200">
        <f>All!P461</f>
        <v>0</v>
      </c>
      <c r="K17" s="200">
        <f>All!Q461</f>
        <v>1</v>
      </c>
      <c r="L17" s="200">
        <f>All!R461</f>
        <v>0</v>
      </c>
      <c r="M17" s="200">
        <f>All!S461</f>
        <v>0</v>
      </c>
      <c r="N17" s="200">
        <f>All!T461</f>
        <v>0</v>
      </c>
      <c r="O17" s="200">
        <f>All!U461</f>
        <v>1</v>
      </c>
      <c r="P17" s="200">
        <f>All!V461</f>
        <v>0</v>
      </c>
      <c r="Q17" s="200">
        <f>All!W461</f>
        <v>0</v>
      </c>
      <c r="R17" s="209">
        <f>All!X461</f>
        <v>0</v>
      </c>
      <c r="S17" s="209">
        <f>All!Y461</f>
        <v>0</v>
      </c>
      <c r="T17" s="209">
        <f>All!Z461</f>
        <v>0</v>
      </c>
      <c r="U17" s="209">
        <f>All!AA461</f>
        <v>0</v>
      </c>
      <c r="V17" s="209">
        <f>All!AB461</f>
        <v>0</v>
      </c>
      <c r="W17" s="211">
        <f t="shared" si="53"/>
        <v>4</v>
      </c>
      <c r="X17" s="207">
        <f t="shared" si="54"/>
        <v>0</v>
      </c>
      <c r="Y17" s="207">
        <f t="shared" si="55"/>
        <v>4</v>
      </c>
      <c r="Z17" s="200">
        <f>All!AC461</f>
        <v>0</v>
      </c>
      <c r="AA17" s="200">
        <f>All!AD461</f>
        <v>0</v>
      </c>
      <c r="AD17" t="str">
        <f t="shared" si="56"/>
        <v>Political science</v>
      </c>
      <c r="AE17" s="200">
        <f>All!H436</f>
        <v>1</v>
      </c>
      <c r="AF17" s="200">
        <f>All!I436</f>
        <v>2</v>
      </c>
      <c r="AG17" s="200">
        <f>All!J436</f>
        <v>0</v>
      </c>
      <c r="AH17" s="200">
        <f>All!K436</f>
        <v>0</v>
      </c>
      <c r="AI17" s="200">
        <f>All!L436</f>
        <v>6</v>
      </c>
      <c r="AJ17" s="200">
        <f>All!M436</f>
        <v>7</v>
      </c>
      <c r="AK17" s="200">
        <f>All!N436</f>
        <v>1</v>
      </c>
      <c r="AL17" s="200">
        <f>All!O436</f>
        <v>0</v>
      </c>
      <c r="AM17" s="200">
        <f>All!P436</f>
        <v>0</v>
      </c>
      <c r="AN17" s="200">
        <f>All!Q436</f>
        <v>1</v>
      </c>
      <c r="AO17" s="200">
        <f>All!R436</f>
        <v>0</v>
      </c>
      <c r="AP17" s="200">
        <f>All!S436</f>
        <v>0</v>
      </c>
      <c r="AQ17" s="200">
        <f>All!T436</f>
        <v>0</v>
      </c>
      <c r="AR17" s="200">
        <f>All!U436</f>
        <v>12</v>
      </c>
      <c r="AS17" s="200">
        <f>All!V436</f>
        <v>0</v>
      </c>
      <c r="AT17" s="200">
        <f>All!W436</f>
        <v>0</v>
      </c>
      <c r="AU17" s="233">
        <f>All!X436</f>
        <v>0</v>
      </c>
      <c r="AV17" s="233">
        <f>All!Y436</f>
        <v>0</v>
      </c>
      <c r="AW17" s="233">
        <f>All!Z436</f>
        <v>0</v>
      </c>
      <c r="AX17" s="233">
        <f>All!AA436</f>
        <v>0</v>
      </c>
      <c r="AY17" s="233">
        <f>All!AB436</f>
        <v>0</v>
      </c>
      <c r="AZ17" s="234">
        <f t="shared" si="57"/>
        <v>30</v>
      </c>
      <c r="BA17" s="234">
        <f t="shared" si="58"/>
        <v>0</v>
      </c>
      <c r="BB17" s="234">
        <f t="shared" si="59"/>
        <v>30</v>
      </c>
      <c r="BC17" s="200">
        <f>All!AC436</f>
        <v>0</v>
      </c>
      <c r="BD17" s="200">
        <f>All!AD436</f>
        <v>1</v>
      </c>
      <c r="BF17" t="str">
        <f t="shared" si="49"/>
        <v>Political science</v>
      </c>
      <c r="BG17" s="177">
        <f>All!H489</f>
        <v>0</v>
      </c>
      <c r="BH17" s="177">
        <f>All!I489</f>
        <v>0</v>
      </c>
      <c r="BI17" s="177">
        <f>All!J489</f>
        <v>0</v>
      </c>
      <c r="BJ17" s="177">
        <f>All!K489</f>
        <v>0</v>
      </c>
      <c r="BK17" s="177">
        <f>All!L489</f>
        <v>0</v>
      </c>
      <c r="BL17" s="177">
        <f>All!M489</f>
        <v>0</v>
      </c>
      <c r="BM17" s="177">
        <f>All!N489</f>
        <v>0</v>
      </c>
      <c r="BN17" s="177">
        <f>All!O489</f>
        <v>0</v>
      </c>
      <c r="BO17" s="177">
        <f>All!P489</f>
        <v>0</v>
      </c>
      <c r="BP17" s="177">
        <f>All!Q489</f>
        <v>0</v>
      </c>
      <c r="BQ17" s="177">
        <f>All!R489</f>
        <v>0</v>
      </c>
      <c r="BR17" s="177">
        <f>All!S489</f>
        <v>0</v>
      </c>
      <c r="BS17" s="177">
        <f>All!T489</f>
        <v>0</v>
      </c>
      <c r="BT17" s="177">
        <f>All!U489</f>
        <v>0</v>
      </c>
      <c r="BU17" s="177">
        <f>All!V489</f>
        <v>0</v>
      </c>
      <c r="BV17" s="177">
        <f>All!W489</f>
        <v>0</v>
      </c>
      <c r="BW17" s="220">
        <f>All!X489</f>
        <v>0</v>
      </c>
      <c r="BX17" s="220">
        <f>All!Y489</f>
        <v>0</v>
      </c>
      <c r="BY17" s="220">
        <f>All!Z489</f>
        <v>0</v>
      </c>
      <c r="BZ17" s="220">
        <f>All!AA489</f>
        <v>0</v>
      </c>
      <c r="CA17" s="220">
        <f>All!AB489</f>
        <v>0</v>
      </c>
      <c r="CB17" s="229">
        <f t="shared" si="60"/>
        <v>0</v>
      </c>
      <c r="CC17" s="229">
        <f t="shared" si="61"/>
        <v>0</v>
      </c>
      <c r="CD17" s="229">
        <f t="shared" si="62"/>
        <v>0</v>
      </c>
      <c r="CE17" s="177">
        <f>All!AC489</f>
        <v>0</v>
      </c>
      <c r="CF17" s="177">
        <f>All!AD489</f>
        <v>0</v>
      </c>
      <c r="CH17" s="262" t="str">
        <v>Pollution</v>
      </c>
      <c r="CI17" s="261">
        <v>57</v>
      </c>
      <c r="CJ17" s="261">
        <v>34</v>
      </c>
      <c r="CK17" s="263">
        <v>9</v>
      </c>
      <c r="CM17" s="262" t="str">
        <f t="shared" si="63"/>
        <v>Political science</v>
      </c>
      <c r="CN17" s="271">
        <f>COUNTIFS(All!AL3:AL412,"=Political science")</f>
        <v>16</v>
      </c>
      <c r="CO17" s="271">
        <f>COUNTIFS(All!AL3:AL412,"=Political science",All!G3:G412,"&gt;1")</f>
        <v>1</v>
      </c>
      <c r="CP17" s="276">
        <f>COUNTIFS(All!AL3:AL412,"=Political science",All!G3:G412,"&gt;2")</f>
        <v>0</v>
      </c>
      <c r="CQ17" s="278"/>
      <c r="CR17" s="278"/>
      <c r="CS17" s="278"/>
      <c r="CT17" s="291">
        <f>All!AC436</f>
        <v>0</v>
      </c>
      <c r="CV17" s="326">
        <f t="shared" si="20"/>
        <v>3.9312039312039311E-2</v>
      </c>
      <c r="CW17" s="326">
        <f t="shared" si="21"/>
        <v>7.4074074074074077E-3</v>
      </c>
      <c r="CX17" s="326">
        <f t="shared" si="22"/>
        <v>0</v>
      </c>
    </row>
    <row r="18" spans="1:102">
      <c r="A18" s="202" t="str">
        <f>All!C462</f>
        <v>Psychology</v>
      </c>
      <c r="B18" s="200">
        <f>All!H462</f>
        <v>0</v>
      </c>
      <c r="C18" s="200">
        <f>All!I462</f>
        <v>0</v>
      </c>
      <c r="D18" s="200">
        <f>All!J462</f>
        <v>0</v>
      </c>
      <c r="E18" s="200">
        <f>All!K462</f>
        <v>0</v>
      </c>
      <c r="F18" s="200">
        <f>All!L462</f>
        <v>0</v>
      </c>
      <c r="G18" s="200">
        <f>All!M462</f>
        <v>0</v>
      </c>
      <c r="H18" s="200">
        <f>All!N462</f>
        <v>0</v>
      </c>
      <c r="I18" s="200">
        <f>All!O462</f>
        <v>0</v>
      </c>
      <c r="J18" s="200">
        <f>All!P462</f>
        <v>0</v>
      </c>
      <c r="K18" s="200">
        <f>All!Q462</f>
        <v>0</v>
      </c>
      <c r="L18" s="200">
        <f>All!R462</f>
        <v>0</v>
      </c>
      <c r="M18" s="200">
        <f>All!S462</f>
        <v>0</v>
      </c>
      <c r="N18" s="200">
        <f>All!T462</f>
        <v>0</v>
      </c>
      <c r="O18" s="200">
        <f>All!U462</f>
        <v>0</v>
      </c>
      <c r="P18" s="200">
        <f>All!V462</f>
        <v>0</v>
      </c>
      <c r="Q18" s="200">
        <f>All!W462</f>
        <v>0</v>
      </c>
      <c r="R18" s="209">
        <f>All!X462</f>
        <v>0</v>
      </c>
      <c r="S18" s="209">
        <f>All!Y462</f>
        <v>0</v>
      </c>
      <c r="T18" s="209">
        <f>All!Z462</f>
        <v>0</v>
      </c>
      <c r="U18" s="209">
        <f>All!AA462</f>
        <v>0</v>
      </c>
      <c r="V18" s="209">
        <f>All!AB462</f>
        <v>0</v>
      </c>
      <c r="W18" s="211">
        <f t="shared" si="53"/>
        <v>0</v>
      </c>
      <c r="X18" s="207">
        <f t="shared" si="54"/>
        <v>0</v>
      </c>
      <c r="Y18" s="207">
        <f t="shared" si="55"/>
        <v>0</v>
      </c>
      <c r="Z18" s="200">
        <f>All!AC462</f>
        <v>0</v>
      </c>
      <c r="AA18" s="200">
        <f>All!AD462</f>
        <v>0</v>
      </c>
      <c r="AD18" t="str">
        <f t="shared" si="56"/>
        <v>Psychology</v>
      </c>
      <c r="AE18" s="200">
        <f>All!H437</f>
        <v>0</v>
      </c>
      <c r="AF18" s="200">
        <f>All!I437</f>
        <v>0</v>
      </c>
      <c r="AG18" s="200">
        <f>All!J437</f>
        <v>0</v>
      </c>
      <c r="AH18" s="200">
        <f>All!K437</f>
        <v>0</v>
      </c>
      <c r="AI18" s="200">
        <f>All!L437</f>
        <v>0</v>
      </c>
      <c r="AJ18" s="200">
        <f>All!M437</f>
        <v>3</v>
      </c>
      <c r="AK18" s="200">
        <f>All!N437</f>
        <v>0</v>
      </c>
      <c r="AL18" s="200">
        <f>All!O437</f>
        <v>0</v>
      </c>
      <c r="AM18" s="200">
        <f>All!P437</f>
        <v>0</v>
      </c>
      <c r="AN18" s="200">
        <f>All!Q437</f>
        <v>0</v>
      </c>
      <c r="AO18" s="200">
        <f>All!R437</f>
        <v>0</v>
      </c>
      <c r="AP18" s="200">
        <f>All!S437</f>
        <v>0</v>
      </c>
      <c r="AQ18" s="200">
        <f>All!T437</f>
        <v>3</v>
      </c>
      <c r="AR18" s="200">
        <f>All!U437</f>
        <v>2</v>
      </c>
      <c r="AS18" s="200">
        <f>All!V437</f>
        <v>0</v>
      </c>
      <c r="AT18" s="200">
        <f>All!W437</f>
        <v>0</v>
      </c>
      <c r="AU18" s="233">
        <f>All!X437</f>
        <v>0</v>
      </c>
      <c r="AV18" s="233">
        <f>All!Y437</f>
        <v>3</v>
      </c>
      <c r="AW18" s="233">
        <f>All!Z437</f>
        <v>0</v>
      </c>
      <c r="AX18" s="233">
        <f>All!AA437</f>
        <v>3</v>
      </c>
      <c r="AY18" s="233">
        <f>All!AB437</f>
        <v>0</v>
      </c>
      <c r="AZ18" s="234">
        <f t="shared" si="57"/>
        <v>8</v>
      </c>
      <c r="BA18" s="234">
        <f t="shared" si="58"/>
        <v>6</v>
      </c>
      <c r="BB18" s="234">
        <f t="shared" si="59"/>
        <v>14</v>
      </c>
      <c r="BC18" s="200">
        <f>All!AC437</f>
        <v>0</v>
      </c>
      <c r="BD18" s="200">
        <f>All!AD437</f>
        <v>0</v>
      </c>
      <c r="BF18" t="str">
        <f t="shared" si="49"/>
        <v>Psychology</v>
      </c>
      <c r="BG18" s="177">
        <f>All!H490</f>
        <v>0</v>
      </c>
      <c r="BH18" s="177">
        <f>All!I490</f>
        <v>0</v>
      </c>
      <c r="BI18" s="177">
        <f>All!J490</f>
        <v>0</v>
      </c>
      <c r="BJ18" s="177">
        <f>All!K490</f>
        <v>0</v>
      </c>
      <c r="BK18" s="177">
        <f>All!L490</f>
        <v>0</v>
      </c>
      <c r="BL18" s="177">
        <f>All!M490</f>
        <v>0</v>
      </c>
      <c r="BM18" s="177">
        <f>All!N490</f>
        <v>0</v>
      </c>
      <c r="BN18" s="177">
        <f>All!O490</f>
        <v>0</v>
      </c>
      <c r="BO18" s="177">
        <f>All!P490</f>
        <v>0</v>
      </c>
      <c r="BP18" s="177">
        <f>All!Q490</f>
        <v>0</v>
      </c>
      <c r="BQ18" s="177">
        <f>All!R490</f>
        <v>0</v>
      </c>
      <c r="BR18" s="177">
        <f>All!S490</f>
        <v>0</v>
      </c>
      <c r="BS18" s="177">
        <f>All!T490</f>
        <v>0</v>
      </c>
      <c r="BT18" s="177">
        <f>All!U490</f>
        <v>0</v>
      </c>
      <c r="BU18" s="177">
        <f>All!V490</f>
        <v>0</v>
      </c>
      <c r="BV18" s="177">
        <f>All!W490</f>
        <v>0</v>
      </c>
      <c r="BW18" s="220">
        <f>All!X490</f>
        <v>0</v>
      </c>
      <c r="BX18" s="220">
        <f>All!Y490</f>
        <v>0</v>
      </c>
      <c r="BY18" s="220">
        <f>All!Z490</f>
        <v>0</v>
      </c>
      <c r="BZ18" s="220">
        <f>All!AA490</f>
        <v>0</v>
      </c>
      <c r="CA18" s="220">
        <f>All!AB490</f>
        <v>0</v>
      </c>
      <c r="CB18" s="229">
        <f t="shared" si="60"/>
        <v>0</v>
      </c>
      <c r="CC18" s="229">
        <f t="shared" si="61"/>
        <v>0</v>
      </c>
      <c r="CD18" s="229">
        <f t="shared" si="62"/>
        <v>0</v>
      </c>
      <c r="CE18" s="177">
        <f>All!AC490</f>
        <v>0</v>
      </c>
      <c r="CF18" s="177">
        <f>All!AD490</f>
        <v>0</v>
      </c>
      <c r="CH18" s="262" t="str">
        <v>Air</v>
      </c>
      <c r="CI18" s="261">
        <v>49</v>
      </c>
      <c r="CJ18" s="261">
        <v>30</v>
      </c>
      <c r="CK18" s="263">
        <v>8</v>
      </c>
      <c r="CM18" s="262" t="str">
        <f t="shared" si="63"/>
        <v>Psychology</v>
      </c>
      <c r="CN18" s="271">
        <f>COUNTIFS(All!AL3:AL412,"=Psychology")</f>
        <v>4</v>
      </c>
      <c r="CO18" s="271">
        <f>COUNTIFS(All!AL3:AL412,"=Psychology",All!G3:G412,"&gt;1")</f>
        <v>0</v>
      </c>
      <c r="CP18" s="276">
        <f>COUNTIFS(All!AL3:AL412,"=Psychology",All!G3:G412,"&gt;2")</f>
        <v>0</v>
      </c>
      <c r="CQ18" s="278"/>
      <c r="CR18" s="278"/>
      <c r="CS18" s="278"/>
      <c r="CT18" s="291">
        <f>All!AC437</f>
        <v>0</v>
      </c>
      <c r="CV18" s="326">
        <f t="shared" si="20"/>
        <v>9.8280098280098278E-3</v>
      </c>
      <c r="CW18" s="326">
        <f t="shared" si="21"/>
        <v>0</v>
      </c>
      <c r="CX18" s="326">
        <f t="shared" si="22"/>
        <v>0</v>
      </c>
    </row>
    <row r="19" spans="1:102">
      <c r="A19" s="202" t="str">
        <f>All!C463</f>
        <v>Public health</v>
      </c>
      <c r="B19" s="200">
        <f>All!H463</f>
        <v>0</v>
      </c>
      <c r="C19" s="200">
        <f>All!I463</f>
        <v>0</v>
      </c>
      <c r="D19" s="200">
        <f>All!J463</f>
        <v>0</v>
      </c>
      <c r="E19" s="200">
        <f>All!K463</f>
        <v>2</v>
      </c>
      <c r="F19" s="200">
        <f>All!L463</f>
        <v>1</v>
      </c>
      <c r="G19" s="200">
        <f>All!M463</f>
        <v>1</v>
      </c>
      <c r="H19" s="200">
        <f>All!N463</f>
        <v>0</v>
      </c>
      <c r="I19" s="200">
        <f>All!O463</f>
        <v>3</v>
      </c>
      <c r="J19" s="200">
        <f>All!P463</f>
        <v>0</v>
      </c>
      <c r="K19" s="200">
        <f>All!Q463</f>
        <v>0</v>
      </c>
      <c r="L19" s="200">
        <f>All!R463</f>
        <v>1</v>
      </c>
      <c r="M19" s="200">
        <f>All!S463</f>
        <v>0</v>
      </c>
      <c r="N19" s="200">
        <f>All!T463</f>
        <v>1</v>
      </c>
      <c r="O19" s="200">
        <f>All!U463</f>
        <v>0</v>
      </c>
      <c r="P19" s="200">
        <f>All!V463</f>
        <v>2</v>
      </c>
      <c r="Q19" s="200">
        <f>All!W463</f>
        <v>3</v>
      </c>
      <c r="R19" s="209">
        <f>All!X463</f>
        <v>2</v>
      </c>
      <c r="S19" s="209">
        <f>All!Y463</f>
        <v>0</v>
      </c>
      <c r="T19" s="209">
        <f>All!Z463</f>
        <v>2</v>
      </c>
      <c r="U19" s="209">
        <f>All!AA463</f>
        <v>0</v>
      </c>
      <c r="V19" s="209">
        <f>All!AB463</f>
        <v>0</v>
      </c>
      <c r="W19" s="211">
        <f t="shared" si="53"/>
        <v>14</v>
      </c>
      <c r="X19" s="207">
        <f t="shared" si="54"/>
        <v>4</v>
      </c>
      <c r="Y19" s="207">
        <f t="shared" si="55"/>
        <v>18</v>
      </c>
      <c r="Z19" s="200">
        <f>All!AC463</f>
        <v>1</v>
      </c>
      <c r="AA19" s="200">
        <f>All!AD463</f>
        <v>0</v>
      </c>
      <c r="AD19" t="str">
        <f t="shared" si="56"/>
        <v>Public health</v>
      </c>
      <c r="AE19" s="200">
        <f>All!H438</f>
        <v>0</v>
      </c>
      <c r="AF19" s="200">
        <f>All!I438</f>
        <v>0</v>
      </c>
      <c r="AG19" s="200">
        <f>All!J438</f>
        <v>0</v>
      </c>
      <c r="AH19" s="200">
        <f>All!K438</f>
        <v>2</v>
      </c>
      <c r="AI19" s="200">
        <f>All!L438</f>
        <v>1</v>
      </c>
      <c r="AJ19" s="200">
        <f>All!M438</f>
        <v>4</v>
      </c>
      <c r="AK19" s="200">
        <f>All!N438</f>
        <v>0</v>
      </c>
      <c r="AL19" s="200">
        <f>All!O438</f>
        <v>14</v>
      </c>
      <c r="AM19" s="200">
        <f>All!P438</f>
        <v>1</v>
      </c>
      <c r="AN19" s="200">
        <f>All!Q438</f>
        <v>1</v>
      </c>
      <c r="AO19" s="200">
        <f>All!R438</f>
        <v>1</v>
      </c>
      <c r="AP19" s="200">
        <f>All!S438</f>
        <v>1</v>
      </c>
      <c r="AQ19" s="200">
        <f>All!T438</f>
        <v>3</v>
      </c>
      <c r="AR19" s="200">
        <f>All!U438</f>
        <v>2</v>
      </c>
      <c r="AS19" s="200">
        <f>All!V438</f>
        <v>6</v>
      </c>
      <c r="AT19" s="200">
        <f>All!W438</f>
        <v>6</v>
      </c>
      <c r="AU19" s="233">
        <f>All!X438</f>
        <v>3</v>
      </c>
      <c r="AV19" s="233">
        <f>All!Y438</f>
        <v>2</v>
      </c>
      <c r="AW19" s="233">
        <f>All!Z438</f>
        <v>3</v>
      </c>
      <c r="AX19" s="233">
        <f>All!AA438</f>
        <v>0</v>
      </c>
      <c r="AY19" s="233">
        <f>All!AB438</f>
        <v>0</v>
      </c>
      <c r="AZ19" s="234">
        <f t="shared" si="57"/>
        <v>42</v>
      </c>
      <c r="BA19" s="234">
        <f t="shared" si="58"/>
        <v>8</v>
      </c>
      <c r="BB19" s="234">
        <f t="shared" si="59"/>
        <v>50</v>
      </c>
      <c r="BC19" s="200">
        <f>All!AC438</f>
        <v>2</v>
      </c>
      <c r="BD19" s="200">
        <f>All!AD438</f>
        <v>3</v>
      </c>
      <c r="BF19" t="str">
        <f t="shared" si="49"/>
        <v>Public health</v>
      </c>
      <c r="BG19" s="177">
        <f>All!H491</f>
        <v>0</v>
      </c>
      <c r="BH19" s="177">
        <f>All!I491</f>
        <v>0</v>
      </c>
      <c r="BI19" s="177">
        <f>All!J491</f>
        <v>0</v>
      </c>
      <c r="BJ19" s="177">
        <f>All!K491</f>
        <v>0</v>
      </c>
      <c r="BK19" s="177">
        <f>All!L491</f>
        <v>0</v>
      </c>
      <c r="BL19" s="177">
        <f>All!M491</f>
        <v>0</v>
      </c>
      <c r="BM19" s="177">
        <f>All!N491</f>
        <v>0</v>
      </c>
      <c r="BN19" s="177">
        <f>All!O491</f>
        <v>0</v>
      </c>
      <c r="BO19" s="177">
        <f>All!P491</f>
        <v>0</v>
      </c>
      <c r="BP19" s="177">
        <f>All!Q491</f>
        <v>0</v>
      </c>
      <c r="BQ19" s="177">
        <f>All!R491</f>
        <v>0</v>
      </c>
      <c r="BR19" s="177">
        <f>All!S491</f>
        <v>0</v>
      </c>
      <c r="BS19" s="177">
        <f>All!T491</f>
        <v>0</v>
      </c>
      <c r="BT19" s="177">
        <f>All!U491</f>
        <v>0</v>
      </c>
      <c r="BU19" s="177">
        <f>All!V491</f>
        <v>0</v>
      </c>
      <c r="BV19" s="177">
        <f>All!W491</f>
        <v>0</v>
      </c>
      <c r="BW19" s="220">
        <f>All!X491</f>
        <v>0</v>
      </c>
      <c r="BX19" s="220">
        <f>All!Y491</f>
        <v>0</v>
      </c>
      <c r="BY19" s="220">
        <f>All!Z491</f>
        <v>0</v>
      </c>
      <c r="BZ19" s="220">
        <f>All!AA491</f>
        <v>0</v>
      </c>
      <c r="CA19" s="220">
        <f>All!AB491</f>
        <v>0</v>
      </c>
      <c r="CB19" s="229">
        <f t="shared" si="60"/>
        <v>0</v>
      </c>
      <c r="CC19" s="229">
        <f t="shared" si="61"/>
        <v>0</v>
      </c>
      <c r="CD19" s="229">
        <f t="shared" si="62"/>
        <v>0</v>
      </c>
      <c r="CE19" s="177">
        <f>All!AC491</f>
        <v>0</v>
      </c>
      <c r="CF19" s="177">
        <f>All!AD491</f>
        <v>0</v>
      </c>
      <c r="CH19" s="262" t="str">
        <v>Soils</v>
      </c>
      <c r="CI19" s="261">
        <v>65</v>
      </c>
      <c r="CJ19" s="261">
        <v>34</v>
      </c>
      <c r="CK19" s="263">
        <v>6</v>
      </c>
      <c r="CM19" s="262" t="str">
        <f t="shared" si="63"/>
        <v>Public health</v>
      </c>
      <c r="CN19" s="271">
        <f>COUNTIFS(All!AL3:AL412,"=Public health")</f>
        <v>14</v>
      </c>
      <c r="CO19" s="271">
        <f>COUNTIFS(All!AL3:AL412,"=Public health",All!G3:G412,"&gt;1")</f>
        <v>3</v>
      </c>
      <c r="CP19" s="276">
        <f>COUNTIFS(All!AL3:AL412,"=Public health",All!G3:G412,"&gt;2")</f>
        <v>0</v>
      </c>
      <c r="CQ19" s="278"/>
      <c r="CR19" s="278"/>
      <c r="CS19" s="278"/>
      <c r="CT19" s="291">
        <f>All!AC438</f>
        <v>2</v>
      </c>
      <c r="CV19" s="326">
        <f t="shared" si="20"/>
        <v>3.4398034398034398E-2</v>
      </c>
      <c r="CW19" s="326">
        <f t="shared" si="21"/>
        <v>2.2222222222222223E-2</v>
      </c>
      <c r="CX19" s="326">
        <f t="shared" si="22"/>
        <v>0</v>
      </c>
    </row>
    <row r="20" spans="1:102">
      <c r="A20" s="202" t="str">
        <f>All!C464</f>
        <v>Sociology</v>
      </c>
      <c r="B20" s="200">
        <f>All!H464</f>
        <v>0</v>
      </c>
      <c r="C20" s="200">
        <f>All!I464</f>
        <v>0</v>
      </c>
      <c r="D20" s="200">
        <f>All!J464</f>
        <v>0</v>
      </c>
      <c r="E20" s="200">
        <f>All!K464</f>
        <v>0</v>
      </c>
      <c r="F20" s="200">
        <f>All!L464</f>
        <v>0</v>
      </c>
      <c r="G20" s="200">
        <f>All!M464</f>
        <v>0</v>
      </c>
      <c r="H20" s="200">
        <f>All!N464</f>
        <v>0</v>
      </c>
      <c r="I20" s="200">
        <f>All!O464</f>
        <v>0</v>
      </c>
      <c r="J20" s="200">
        <f>All!P464</f>
        <v>0</v>
      </c>
      <c r="K20" s="200">
        <f>All!Q464</f>
        <v>0</v>
      </c>
      <c r="L20" s="200">
        <f>All!R464</f>
        <v>0</v>
      </c>
      <c r="M20" s="200">
        <f>All!S464</f>
        <v>0</v>
      </c>
      <c r="N20" s="200">
        <f>All!T464</f>
        <v>0</v>
      </c>
      <c r="O20" s="200">
        <f>All!U464</f>
        <v>0</v>
      </c>
      <c r="P20" s="200">
        <f>All!V464</f>
        <v>0</v>
      </c>
      <c r="Q20" s="200">
        <f>All!W464</f>
        <v>0</v>
      </c>
      <c r="R20" s="209">
        <f>All!X464</f>
        <v>0</v>
      </c>
      <c r="S20" s="209">
        <f>All!Y464</f>
        <v>0</v>
      </c>
      <c r="T20" s="209">
        <f>All!Z464</f>
        <v>0</v>
      </c>
      <c r="U20" s="209">
        <f>All!AA464</f>
        <v>0</v>
      </c>
      <c r="V20" s="209">
        <f>All!AB464</f>
        <v>0</v>
      </c>
      <c r="W20" s="211">
        <f t="shared" si="53"/>
        <v>0</v>
      </c>
      <c r="X20" s="207">
        <f t="shared" si="54"/>
        <v>0</v>
      </c>
      <c r="Y20" s="207">
        <f t="shared" si="55"/>
        <v>0</v>
      </c>
      <c r="Z20" s="200">
        <f>All!AC464</f>
        <v>0</v>
      </c>
      <c r="AA20" s="200">
        <f>All!AD464</f>
        <v>0</v>
      </c>
      <c r="AD20" t="str">
        <f t="shared" si="56"/>
        <v>Sociology</v>
      </c>
      <c r="AE20" s="200">
        <f>All!H439</f>
        <v>0</v>
      </c>
      <c r="AF20" s="200">
        <f>All!I439</f>
        <v>0</v>
      </c>
      <c r="AG20" s="200">
        <f>All!J439</f>
        <v>0</v>
      </c>
      <c r="AH20" s="200">
        <f>All!K439</f>
        <v>0</v>
      </c>
      <c r="AI20" s="200">
        <f>All!L439</f>
        <v>0</v>
      </c>
      <c r="AJ20" s="200">
        <f>All!M439</f>
        <v>3</v>
      </c>
      <c r="AK20" s="200">
        <f>All!N439</f>
        <v>1</v>
      </c>
      <c r="AL20" s="200">
        <f>All!O439</f>
        <v>0</v>
      </c>
      <c r="AM20" s="200">
        <f>All!P439</f>
        <v>1</v>
      </c>
      <c r="AN20" s="200">
        <f>All!Q439</f>
        <v>0</v>
      </c>
      <c r="AO20" s="200">
        <f>All!R439</f>
        <v>0</v>
      </c>
      <c r="AP20" s="200">
        <f>All!S439</f>
        <v>0</v>
      </c>
      <c r="AQ20" s="200">
        <f>All!T439</f>
        <v>0</v>
      </c>
      <c r="AR20" s="200">
        <f>All!U439</f>
        <v>1</v>
      </c>
      <c r="AS20" s="200">
        <f>All!V439</f>
        <v>0</v>
      </c>
      <c r="AT20" s="200">
        <f>All!W439</f>
        <v>0</v>
      </c>
      <c r="AU20" s="233">
        <f>All!X439</f>
        <v>0</v>
      </c>
      <c r="AV20" s="233">
        <f>All!Y439</f>
        <v>0</v>
      </c>
      <c r="AW20" s="233">
        <f>All!Z439</f>
        <v>0</v>
      </c>
      <c r="AX20" s="233">
        <f>All!AA439</f>
        <v>0</v>
      </c>
      <c r="AY20" s="233">
        <f>All!AB439</f>
        <v>0</v>
      </c>
      <c r="AZ20" s="234">
        <f t="shared" si="57"/>
        <v>6</v>
      </c>
      <c r="BA20" s="234">
        <f t="shared" si="58"/>
        <v>0</v>
      </c>
      <c r="BB20" s="234">
        <f t="shared" si="59"/>
        <v>6</v>
      </c>
      <c r="BC20" s="200">
        <f>All!AC439</f>
        <v>0</v>
      </c>
      <c r="BD20" s="200">
        <f>All!AD439</f>
        <v>0</v>
      </c>
      <c r="BF20" t="str">
        <f t="shared" si="49"/>
        <v>Sociology</v>
      </c>
      <c r="BG20" s="177">
        <f>All!H492</f>
        <v>0</v>
      </c>
      <c r="BH20" s="177">
        <f>All!I492</f>
        <v>0</v>
      </c>
      <c r="BI20" s="177">
        <f>All!J492</f>
        <v>0</v>
      </c>
      <c r="BJ20" s="177">
        <f>All!K492</f>
        <v>0</v>
      </c>
      <c r="BK20" s="177">
        <f>All!L492</f>
        <v>0</v>
      </c>
      <c r="BL20" s="177">
        <f>All!M492</f>
        <v>0</v>
      </c>
      <c r="BM20" s="177">
        <f>All!N492</f>
        <v>0</v>
      </c>
      <c r="BN20" s="177">
        <f>All!O492</f>
        <v>0</v>
      </c>
      <c r="BO20" s="177">
        <f>All!P492</f>
        <v>0</v>
      </c>
      <c r="BP20" s="177">
        <f>All!Q492</f>
        <v>0</v>
      </c>
      <c r="BQ20" s="177">
        <f>All!R492</f>
        <v>0</v>
      </c>
      <c r="BR20" s="177">
        <f>All!S492</f>
        <v>0</v>
      </c>
      <c r="BS20" s="177">
        <f>All!T492</f>
        <v>0</v>
      </c>
      <c r="BT20" s="177">
        <f>All!U492</f>
        <v>0</v>
      </c>
      <c r="BU20" s="177">
        <f>All!V492</f>
        <v>0</v>
      </c>
      <c r="BV20" s="177">
        <f>All!W492</f>
        <v>0</v>
      </c>
      <c r="BW20" s="220">
        <f>All!X492</f>
        <v>0</v>
      </c>
      <c r="BX20" s="220">
        <f>All!Y492</f>
        <v>0</v>
      </c>
      <c r="BY20" s="220">
        <f>All!Z492</f>
        <v>0</v>
      </c>
      <c r="BZ20" s="220">
        <f>All!AA492</f>
        <v>0</v>
      </c>
      <c r="CA20" s="220">
        <f>All!AB492</f>
        <v>0</v>
      </c>
      <c r="CB20" s="229">
        <f t="shared" si="60"/>
        <v>0</v>
      </c>
      <c r="CC20" s="229">
        <f t="shared" si="61"/>
        <v>0</v>
      </c>
      <c r="CD20" s="229">
        <f t="shared" si="62"/>
        <v>0</v>
      </c>
      <c r="CE20" s="177">
        <f>All!AC492</f>
        <v>0</v>
      </c>
      <c r="CF20" s="177">
        <f>All!AD492</f>
        <v>0</v>
      </c>
      <c r="CH20" s="262" t="str">
        <v>Water</v>
      </c>
      <c r="CI20" s="261">
        <v>75</v>
      </c>
      <c r="CJ20" s="261">
        <v>42</v>
      </c>
      <c r="CK20" s="263">
        <v>11</v>
      </c>
      <c r="CM20" s="262" t="str">
        <f t="shared" si="63"/>
        <v>Sociology</v>
      </c>
      <c r="CN20" s="271">
        <f>COUNTIFS(All!AL3:AL412,"=Sociology")</f>
        <v>4</v>
      </c>
      <c r="CO20" s="271">
        <f>COUNTIFS(All!AL3:AL412,"=Sociology",All!G3:G412,"&gt;1")</f>
        <v>0</v>
      </c>
      <c r="CP20" s="276">
        <f>COUNTIFS(All!AL3:AL412,"=Sociology",All!G3:G412,"&gt;2")</f>
        <v>0</v>
      </c>
      <c r="CQ20" s="278"/>
      <c r="CR20" s="278"/>
      <c r="CS20" s="278"/>
      <c r="CT20" s="291">
        <f>All!AC439</f>
        <v>0</v>
      </c>
      <c r="CV20" s="326">
        <f t="shared" si="20"/>
        <v>9.8280098280098278E-3</v>
      </c>
      <c r="CW20" s="326">
        <f t="shared" si="21"/>
        <v>0</v>
      </c>
      <c r="CX20" s="326">
        <f t="shared" si="22"/>
        <v>0</v>
      </c>
    </row>
    <row r="21" spans="1:102">
      <c r="A21" s="202" t="str">
        <f>All!C465</f>
        <v>SOM</v>
      </c>
      <c r="B21" s="200">
        <f>All!H465</f>
        <v>5</v>
      </c>
      <c r="C21" s="200">
        <f>All!I465</f>
        <v>12</v>
      </c>
      <c r="D21" s="200">
        <f>All!J465</f>
        <v>7</v>
      </c>
      <c r="E21" s="200">
        <f>All!K465</f>
        <v>4</v>
      </c>
      <c r="F21" s="200">
        <f>All!L465</f>
        <v>4</v>
      </c>
      <c r="G21" s="200">
        <f>All!M465</f>
        <v>1</v>
      </c>
      <c r="H21" s="200">
        <f>All!N465</f>
        <v>1</v>
      </c>
      <c r="I21" s="200">
        <f>All!O465</f>
        <v>0</v>
      </c>
      <c r="J21" s="200">
        <f>All!P465</f>
        <v>0</v>
      </c>
      <c r="K21" s="200">
        <f>All!Q465</f>
        <v>8</v>
      </c>
      <c r="L21" s="200">
        <f>All!R465</f>
        <v>5</v>
      </c>
      <c r="M21" s="200">
        <f>All!S465</f>
        <v>0</v>
      </c>
      <c r="N21" s="200">
        <f>All!T465</f>
        <v>2</v>
      </c>
      <c r="O21" s="200">
        <f>All!U465</f>
        <v>8</v>
      </c>
      <c r="P21" s="200">
        <f>All!V465</f>
        <v>0</v>
      </c>
      <c r="Q21" s="200">
        <f>All!W465</f>
        <v>0</v>
      </c>
      <c r="R21" s="209">
        <f>All!X465</f>
        <v>0</v>
      </c>
      <c r="S21" s="209">
        <f>All!Y465</f>
        <v>0</v>
      </c>
      <c r="T21" s="209">
        <f>All!Z465</f>
        <v>0</v>
      </c>
      <c r="U21" s="209">
        <f>All!AA465</f>
        <v>0</v>
      </c>
      <c r="V21" s="209">
        <f>All!AB465</f>
        <v>0</v>
      </c>
      <c r="W21" s="211">
        <f t="shared" si="53"/>
        <v>57</v>
      </c>
      <c r="X21" s="207">
        <f t="shared" si="54"/>
        <v>0</v>
      </c>
      <c r="Y21" s="207">
        <f t="shared" si="55"/>
        <v>57</v>
      </c>
      <c r="Z21" s="200">
        <f>All!AC465</f>
        <v>2</v>
      </c>
      <c r="AA21" s="200">
        <f>All!AD465</f>
        <v>0</v>
      </c>
      <c r="AD21" t="str">
        <f t="shared" si="56"/>
        <v>SOM</v>
      </c>
      <c r="AE21" s="200">
        <f>All!H440</f>
        <v>23</v>
      </c>
      <c r="AF21" s="200">
        <f>All!I440</f>
        <v>21</v>
      </c>
      <c r="AG21" s="200">
        <f>All!J440</f>
        <v>22</v>
      </c>
      <c r="AH21" s="200">
        <f>All!K440</f>
        <v>4</v>
      </c>
      <c r="AI21" s="200">
        <f>All!L440</f>
        <v>6</v>
      </c>
      <c r="AJ21" s="200">
        <f>All!M440</f>
        <v>5</v>
      </c>
      <c r="AK21" s="200">
        <f>All!N440</f>
        <v>3</v>
      </c>
      <c r="AL21" s="200">
        <f>All!O440</f>
        <v>0</v>
      </c>
      <c r="AM21" s="200">
        <f>All!P440</f>
        <v>1</v>
      </c>
      <c r="AN21" s="200">
        <f>All!Q440</f>
        <v>10</v>
      </c>
      <c r="AO21" s="200">
        <f>All!R440</f>
        <v>5</v>
      </c>
      <c r="AP21" s="200">
        <f>All!S440</f>
        <v>4</v>
      </c>
      <c r="AQ21" s="200">
        <f>All!T440</f>
        <v>2</v>
      </c>
      <c r="AR21" s="200">
        <f>All!U440</f>
        <v>11</v>
      </c>
      <c r="AS21" s="200">
        <f>All!V440</f>
        <v>0</v>
      </c>
      <c r="AT21" s="200">
        <f>All!W440</f>
        <v>0</v>
      </c>
      <c r="AU21" s="233">
        <f>All!X440</f>
        <v>0</v>
      </c>
      <c r="AV21" s="233">
        <f>All!Y440</f>
        <v>0</v>
      </c>
      <c r="AW21" s="233">
        <f>All!Z440</f>
        <v>0</v>
      </c>
      <c r="AX21" s="233">
        <f>All!AA440</f>
        <v>0</v>
      </c>
      <c r="AY21" s="233">
        <f>All!AB440</f>
        <v>0</v>
      </c>
      <c r="AZ21" s="234">
        <f t="shared" si="57"/>
        <v>117</v>
      </c>
      <c r="BA21" s="234">
        <f t="shared" si="58"/>
        <v>0</v>
      </c>
      <c r="BB21" s="234">
        <f t="shared" si="59"/>
        <v>117</v>
      </c>
      <c r="BC21" s="200">
        <f>All!AC440</f>
        <v>8</v>
      </c>
      <c r="BD21" s="200">
        <f>All!AD440</f>
        <v>2</v>
      </c>
      <c r="BF21" t="str">
        <f t="shared" si="49"/>
        <v>SOM</v>
      </c>
      <c r="BG21" s="177">
        <f>All!H493</f>
        <v>4</v>
      </c>
      <c r="BH21" s="177">
        <f>All!I493</f>
        <v>7</v>
      </c>
      <c r="BI21" s="177">
        <f>All!J493</f>
        <v>5</v>
      </c>
      <c r="BJ21" s="177">
        <f>All!K493</f>
        <v>4</v>
      </c>
      <c r="BK21" s="177">
        <f>All!L493</f>
        <v>3</v>
      </c>
      <c r="BL21" s="177">
        <f>All!M493</f>
        <v>1</v>
      </c>
      <c r="BM21" s="177">
        <f>All!N493</f>
        <v>1</v>
      </c>
      <c r="BN21" s="177">
        <f>All!O493</f>
        <v>0</v>
      </c>
      <c r="BO21" s="177">
        <f>All!P493</f>
        <v>0</v>
      </c>
      <c r="BP21" s="177">
        <f>All!Q493</f>
        <v>6</v>
      </c>
      <c r="BQ21" s="177">
        <f>All!R493</f>
        <v>4</v>
      </c>
      <c r="BR21" s="177">
        <f>All!S493</f>
        <v>0</v>
      </c>
      <c r="BS21" s="177">
        <f>All!T493</f>
        <v>2</v>
      </c>
      <c r="BT21" s="177">
        <f>All!U493</f>
        <v>5</v>
      </c>
      <c r="BU21" s="177">
        <f>All!V493</f>
        <v>0</v>
      </c>
      <c r="BV21" s="177">
        <f>All!W493</f>
        <v>0</v>
      </c>
      <c r="BW21" s="220">
        <f>All!X493</f>
        <v>0</v>
      </c>
      <c r="BX21" s="220">
        <f>All!Y493</f>
        <v>0</v>
      </c>
      <c r="BY21" s="220">
        <f>All!Z493</f>
        <v>0</v>
      </c>
      <c r="BZ21" s="220">
        <f>All!AA493</f>
        <v>0</v>
      </c>
      <c r="CA21" s="220">
        <f>All!AB493</f>
        <v>0</v>
      </c>
      <c r="CB21" s="229">
        <f t="shared" si="60"/>
        <v>42</v>
      </c>
      <c r="CC21" s="229">
        <f t="shared" si="61"/>
        <v>0</v>
      </c>
      <c r="CD21" s="229">
        <f t="shared" si="62"/>
        <v>42</v>
      </c>
      <c r="CE21" s="177">
        <f>All!AC493</f>
        <v>1</v>
      </c>
      <c r="CF21" s="177">
        <f>All!AD493</f>
        <v>0</v>
      </c>
      <c r="CH21" s="262" t="str">
        <v>Ecosystems</v>
      </c>
      <c r="CI21" s="261">
        <v>90</v>
      </c>
      <c r="CJ21" s="261">
        <v>40</v>
      </c>
      <c r="CK21" s="263">
        <v>11</v>
      </c>
      <c r="CM21" s="262" t="str">
        <f t="shared" si="63"/>
        <v>SOM</v>
      </c>
      <c r="CN21" s="271">
        <f>COUNTIFS(All!AL3:AL412,"=SOM")</f>
        <v>80</v>
      </c>
      <c r="CO21" s="271">
        <f>COUNTIFS(All!AL3:AL412,"=SOM",All!G3:G412,"&gt;1")</f>
        <v>17</v>
      </c>
      <c r="CP21" s="276">
        <f>COUNTIFS(All!AL3:AL412,"=SOM",All!G3:G412,"&gt;2")</f>
        <v>10</v>
      </c>
      <c r="CQ21" s="278">
        <v>2</v>
      </c>
      <c r="CR21" s="278">
        <v>2</v>
      </c>
      <c r="CS21" s="278">
        <v>2</v>
      </c>
      <c r="CT21" s="291">
        <f>All!AC440</f>
        <v>8</v>
      </c>
      <c r="CV21" s="326">
        <f t="shared" si="20"/>
        <v>0.19656019656019655</v>
      </c>
      <c r="CW21" s="326">
        <f t="shared" si="21"/>
        <v>0.12592592592592591</v>
      </c>
      <c r="CX21" s="326">
        <f t="shared" si="22"/>
        <v>0.21276595744680851</v>
      </c>
    </row>
    <row r="22" spans="1:102" ht="15.75" thickBot="1">
      <c r="A22" s="202" t="str">
        <f>All!C466</f>
        <v>South asian studies</v>
      </c>
      <c r="B22" s="200">
        <f>All!H466</f>
        <v>0</v>
      </c>
      <c r="C22" s="200">
        <f>All!I466</f>
        <v>0</v>
      </c>
      <c r="D22" s="200">
        <f>All!J466</f>
        <v>0</v>
      </c>
      <c r="E22" s="200">
        <f>All!K466</f>
        <v>0</v>
      </c>
      <c r="F22" s="200">
        <f>All!L466</f>
        <v>0</v>
      </c>
      <c r="G22" s="200">
        <f>All!M466</f>
        <v>0</v>
      </c>
      <c r="H22" s="200">
        <f>All!N466</f>
        <v>0</v>
      </c>
      <c r="I22" s="200">
        <f>All!O466</f>
        <v>0</v>
      </c>
      <c r="J22" s="200">
        <f>All!P466</f>
        <v>0</v>
      </c>
      <c r="K22" s="200">
        <f>All!Q466</f>
        <v>0</v>
      </c>
      <c r="L22" s="200">
        <f>All!R466</f>
        <v>0</v>
      </c>
      <c r="M22" s="200">
        <f>All!S466</f>
        <v>0</v>
      </c>
      <c r="N22" s="200">
        <f>All!T466</f>
        <v>0</v>
      </c>
      <c r="O22" s="200">
        <f>All!U466</f>
        <v>0</v>
      </c>
      <c r="P22" s="200">
        <f>All!V466</f>
        <v>0</v>
      </c>
      <c r="Q22" s="200">
        <f>All!W466</f>
        <v>0</v>
      </c>
      <c r="R22" s="209">
        <f>All!X466</f>
        <v>0</v>
      </c>
      <c r="S22" s="209">
        <f>All!Y466</f>
        <v>0</v>
      </c>
      <c r="T22" s="209">
        <f>All!Z466</f>
        <v>0</v>
      </c>
      <c r="U22" s="209">
        <f>All!AA466</f>
        <v>0</v>
      </c>
      <c r="V22" s="209">
        <f>All!AB466</f>
        <v>0</v>
      </c>
      <c r="W22" s="211">
        <f t="shared" si="53"/>
        <v>0</v>
      </c>
      <c r="X22" s="207">
        <f t="shared" si="54"/>
        <v>0</v>
      </c>
      <c r="Y22" s="207">
        <f t="shared" si="55"/>
        <v>0</v>
      </c>
      <c r="Z22" s="200">
        <f>All!AC466</f>
        <v>0</v>
      </c>
      <c r="AA22" s="200">
        <f>All!AD466</f>
        <v>0</v>
      </c>
      <c r="AD22" t="str">
        <f t="shared" si="56"/>
        <v>South asian studies</v>
      </c>
      <c r="AE22" s="200">
        <f>All!H441</f>
        <v>0</v>
      </c>
      <c r="AF22" s="200">
        <f>All!I441</f>
        <v>0</v>
      </c>
      <c r="AG22" s="200">
        <f>All!J441</f>
        <v>0</v>
      </c>
      <c r="AH22" s="200">
        <f>All!K441</f>
        <v>0</v>
      </c>
      <c r="AI22" s="200">
        <f>All!L441</f>
        <v>1</v>
      </c>
      <c r="AJ22" s="200">
        <f>All!M441</f>
        <v>2</v>
      </c>
      <c r="AK22" s="200">
        <f>All!N441</f>
        <v>0</v>
      </c>
      <c r="AL22" s="200">
        <f>All!O441</f>
        <v>1</v>
      </c>
      <c r="AM22" s="200">
        <f>All!P441</f>
        <v>0</v>
      </c>
      <c r="AN22" s="200">
        <f>All!Q441</f>
        <v>0</v>
      </c>
      <c r="AO22" s="200">
        <f>All!R441</f>
        <v>1</v>
      </c>
      <c r="AP22" s="200">
        <f>All!S441</f>
        <v>0</v>
      </c>
      <c r="AQ22" s="200">
        <f>All!T441</f>
        <v>0</v>
      </c>
      <c r="AR22" s="200">
        <f>All!U441</f>
        <v>2</v>
      </c>
      <c r="AS22" s="200">
        <f>All!V441</f>
        <v>0</v>
      </c>
      <c r="AT22" s="200">
        <f>All!W441</f>
        <v>0</v>
      </c>
      <c r="AU22" s="233">
        <f>All!X441</f>
        <v>0</v>
      </c>
      <c r="AV22" s="233">
        <f>All!Y441</f>
        <v>0</v>
      </c>
      <c r="AW22" s="233">
        <f>All!Z441</f>
        <v>1</v>
      </c>
      <c r="AX22" s="233">
        <f>All!AA441</f>
        <v>0</v>
      </c>
      <c r="AY22" s="233">
        <f>All!AB441</f>
        <v>0</v>
      </c>
      <c r="AZ22" s="234">
        <f t="shared" si="57"/>
        <v>7</v>
      </c>
      <c r="BA22" s="234">
        <f t="shared" si="58"/>
        <v>1</v>
      </c>
      <c r="BB22" s="234">
        <f t="shared" si="59"/>
        <v>8</v>
      </c>
      <c r="BC22" s="200">
        <f>All!AC441</f>
        <v>0</v>
      </c>
      <c r="BD22" s="200">
        <f>All!AD441</f>
        <v>0</v>
      </c>
      <c r="BF22" t="str">
        <f t="shared" si="49"/>
        <v>South asian studies</v>
      </c>
      <c r="BG22" s="177">
        <f>All!H494</f>
        <v>0</v>
      </c>
      <c r="BH22" s="177">
        <f>All!I494</f>
        <v>0</v>
      </c>
      <c r="BI22" s="177">
        <f>All!J494</f>
        <v>0</v>
      </c>
      <c r="BJ22" s="177">
        <f>All!K494</f>
        <v>0</v>
      </c>
      <c r="BK22" s="177">
        <f>All!L494</f>
        <v>0</v>
      </c>
      <c r="BL22" s="177">
        <f>All!M494</f>
        <v>0</v>
      </c>
      <c r="BM22" s="177">
        <f>All!N494</f>
        <v>0</v>
      </c>
      <c r="BN22" s="177">
        <f>All!O494</f>
        <v>0</v>
      </c>
      <c r="BO22" s="177">
        <f>All!P494</f>
        <v>0</v>
      </c>
      <c r="BP22" s="177">
        <f>All!Q494</f>
        <v>0</v>
      </c>
      <c r="BQ22" s="177">
        <f>All!R494</f>
        <v>0</v>
      </c>
      <c r="BR22" s="177">
        <f>All!S494</f>
        <v>0</v>
      </c>
      <c r="BS22" s="177">
        <f>All!T494</f>
        <v>0</v>
      </c>
      <c r="BT22" s="177">
        <f>All!U494</f>
        <v>0</v>
      </c>
      <c r="BU22" s="177">
        <f>All!V494</f>
        <v>0</v>
      </c>
      <c r="BV22" s="177">
        <f>All!W494</f>
        <v>0</v>
      </c>
      <c r="BW22" s="220">
        <f>All!X494</f>
        <v>0</v>
      </c>
      <c r="BX22" s="220">
        <f>All!Y494</f>
        <v>0</v>
      </c>
      <c r="BY22" s="220">
        <f>All!Z494</f>
        <v>0</v>
      </c>
      <c r="BZ22" s="220">
        <f>All!AA494</f>
        <v>0</v>
      </c>
      <c r="CA22" s="220">
        <f>All!AB494</f>
        <v>0</v>
      </c>
      <c r="CB22" s="229">
        <f t="shared" si="60"/>
        <v>0</v>
      </c>
      <c r="CC22" s="229">
        <f t="shared" si="61"/>
        <v>0</v>
      </c>
      <c r="CD22" s="229">
        <f t="shared" si="62"/>
        <v>0</v>
      </c>
      <c r="CE22" s="177">
        <f>All!AC494</f>
        <v>0</v>
      </c>
      <c r="CF22" s="177">
        <f>All!AD494</f>
        <v>0</v>
      </c>
      <c r="CH22" s="264" t="str">
        <v>Forests</v>
      </c>
      <c r="CI22" s="265">
        <v>45</v>
      </c>
      <c r="CJ22" s="265">
        <v>26</v>
      </c>
      <c r="CK22" s="266">
        <v>7</v>
      </c>
      <c r="CM22" s="262" t="str">
        <f t="shared" si="63"/>
        <v>South asian studies</v>
      </c>
      <c r="CN22" s="271">
        <f>COUNTIFS(All!AL3:AL412,"=South asian studies")</f>
        <v>2</v>
      </c>
      <c r="CO22" s="271">
        <f>COUNTIFS(All!AL3:AL412,"=South asian studies",All!G3:G412,"&gt;1")</f>
        <v>0</v>
      </c>
      <c r="CP22" s="276">
        <f>COUNTIFS(All!AL3:AL412,"=South asian studies",All!G3:G412,"&gt;2")</f>
        <v>0</v>
      </c>
      <c r="CQ22" s="278"/>
      <c r="CR22" s="278"/>
      <c r="CS22" s="278"/>
      <c r="CT22" s="291">
        <f>All!AC441</f>
        <v>0</v>
      </c>
      <c r="CV22" s="326">
        <f t="shared" si="20"/>
        <v>4.9140049140049139E-3</v>
      </c>
      <c r="CW22" s="326">
        <f t="shared" si="21"/>
        <v>0</v>
      </c>
      <c r="CX22" s="326">
        <f t="shared" si="22"/>
        <v>0</v>
      </c>
    </row>
    <row r="23" spans="1:102" ht="15.75" thickBot="1">
      <c r="A23" s="202" t="str">
        <f>All!C467</f>
        <v xml:space="preserve">Women's, gend.&amp;sex. </v>
      </c>
      <c r="B23" s="200">
        <f>All!H467</f>
        <v>0</v>
      </c>
      <c r="C23" s="200">
        <f>All!I467</f>
        <v>0</v>
      </c>
      <c r="D23" s="200">
        <f>All!J467</f>
        <v>0</v>
      </c>
      <c r="E23" s="200">
        <f>All!K467</f>
        <v>0</v>
      </c>
      <c r="F23" s="200">
        <f>All!L467</f>
        <v>0</v>
      </c>
      <c r="G23" s="200">
        <f>All!M467</f>
        <v>0</v>
      </c>
      <c r="H23" s="200">
        <f>All!N467</f>
        <v>0</v>
      </c>
      <c r="I23" s="200">
        <f>All!O467</f>
        <v>0</v>
      </c>
      <c r="J23" s="200">
        <f>All!P467</f>
        <v>0</v>
      </c>
      <c r="K23" s="200">
        <f>All!Q467</f>
        <v>0</v>
      </c>
      <c r="L23" s="200">
        <f>All!R467</f>
        <v>0</v>
      </c>
      <c r="M23" s="200">
        <f>All!S467</f>
        <v>0</v>
      </c>
      <c r="N23" s="200">
        <f>All!T467</f>
        <v>0</v>
      </c>
      <c r="O23" s="200">
        <f>All!U467</f>
        <v>0</v>
      </c>
      <c r="P23" s="200">
        <f>All!V467</f>
        <v>0</v>
      </c>
      <c r="Q23" s="200">
        <f>All!W467</f>
        <v>0</v>
      </c>
      <c r="R23" s="209">
        <f>All!X467</f>
        <v>0</v>
      </c>
      <c r="S23" s="209">
        <f>All!Y467</f>
        <v>0</v>
      </c>
      <c r="T23" s="209">
        <f>All!Z467</f>
        <v>0</v>
      </c>
      <c r="U23" s="209">
        <f>All!AA467</f>
        <v>0</v>
      </c>
      <c r="V23" s="209">
        <f>All!AB467</f>
        <v>0</v>
      </c>
      <c r="W23" s="211">
        <f t="shared" si="53"/>
        <v>0</v>
      </c>
      <c r="X23" s="207">
        <f t="shared" si="54"/>
        <v>0</v>
      </c>
      <c r="Y23" s="207">
        <f t="shared" si="55"/>
        <v>0</v>
      </c>
      <c r="Z23" s="200">
        <f>All!AC467</f>
        <v>0</v>
      </c>
      <c r="AA23" s="200">
        <f>All!AD467</f>
        <v>0</v>
      </c>
      <c r="AD23" t="str">
        <f t="shared" si="56"/>
        <v xml:space="preserve">Women's, gend.&amp;sex. </v>
      </c>
      <c r="AE23" s="200">
        <f>All!H442</f>
        <v>0</v>
      </c>
      <c r="AF23" s="200">
        <f>All!I442</f>
        <v>0</v>
      </c>
      <c r="AG23" s="200">
        <f>All!J442</f>
        <v>0</v>
      </c>
      <c r="AH23" s="200">
        <f>All!K442</f>
        <v>0</v>
      </c>
      <c r="AI23" s="200">
        <f>All!L442</f>
        <v>0</v>
      </c>
      <c r="AJ23" s="200">
        <f>All!M442</f>
        <v>1</v>
      </c>
      <c r="AK23" s="200">
        <f>All!N442</f>
        <v>0</v>
      </c>
      <c r="AL23" s="200">
        <f>All!O442</f>
        <v>1</v>
      </c>
      <c r="AM23" s="200">
        <f>All!P442</f>
        <v>0</v>
      </c>
      <c r="AN23" s="200">
        <f>All!Q442</f>
        <v>0</v>
      </c>
      <c r="AO23" s="200">
        <f>All!R442</f>
        <v>0</v>
      </c>
      <c r="AP23" s="200">
        <f>All!S442</f>
        <v>0</v>
      </c>
      <c r="AQ23" s="200">
        <f>All!T442</f>
        <v>0</v>
      </c>
      <c r="AR23" s="200">
        <f>All!U442</f>
        <v>0</v>
      </c>
      <c r="AS23" s="200">
        <f>All!V442</f>
        <v>0</v>
      </c>
      <c r="AT23" s="200">
        <f>All!W442</f>
        <v>0</v>
      </c>
      <c r="AU23" s="233">
        <f>All!X442</f>
        <v>0</v>
      </c>
      <c r="AV23" s="233">
        <f>All!Y442</f>
        <v>1</v>
      </c>
      <c r="AW23" s="233">
        <f>All!Z442</f>
        <v>0</v>
      </c>
      <c r="AX23" s="233">
        <f>All!AA442</f>
        <v>1</v>
      </c>
      <c r="AY23" s="233">
        <f>All!AB442</f>
        <v>0</v>
      </c>
      <c r="AZ23" s="234">
        <f t="shared" si="57"/>
        <v>2</v>
      </c>
      <c r="BA23" s="234">
        <f t="shared" si="58"/>
        <v>2</v>
      </c>
      <c r="BB23" s="234">
        <f t="shared" si="59"/>
        <v>4</v>
      </c>
      <c r="BC23" s="200">
        <f>All!AC442</f>
        <v>0</v>
      </c>
      <c r="BD23" s="200">
        <f>All!AD442</f>
        <v>0</v>
      </c>
      <c r="BF23" t="str">
        <f t="shared" si="49"/>
        <v xml:space="preserve">Women's, gend.&amp;sex. </v>
      </c>
      <c r="BG23" s="177">
        <f>All!H495</f>
        <v>0</v>
      </c>
      <c r="BH23" s="177">
        <f>All!I495</f>
        <v>0</v>
      </c>
      <c r="BI23" s="177">
        <f>All!J495</f>
        <v>0</v>
      </c>
      <c r="BJ23" s="177">
        <f>All!K495</f>
        <v>0</v>
      </c>
      <c r="BK23" s="177">
        <f>All!L495</f>
        <v>0</v>
      </c>
      <c r="BL23" s="177">
        <f>All!M495</f>
        <v>0</v>
      </c>
      <c r="BM23" s="177">
        <f>All!N495</f>
        <v>0</v>
      </c>
      <c r="BN23" s="177">
        <f>All!O495</f>
        <v>0</v>
      </c>
      <c r="BO23" s="177">
        <f>All!P495</f>
        <v>0</v>
      </c>
      <c r="BP23" s="177">
        <f>All!Q495</f>
        <v>0</v>
      </c>
      <c r="BQ23" s="177">
        <f>All!R495</f>
        <v>0</v>
      </c>
      <c r="BR23" s="177">
        <f>All!S495</f>
        <v>0</v>
      </c>
      <c r="BS23" s="177">
        <f>All!T495</f>
        <v>0</v>
      </c>
      <c r="BT23" s="177">
        <f>All!U495</f>
        <v>0</v>
      </c>
      <c r="BU23" s="177">
        <f>All!V495</f>
        <v>0</v>
      </c>
      <c r="BV23" s="177">
        <f>All!W495</f>
        <v>0</v>
      </c>
      <c r="BW23" s="220">
        <f>All!X495</f>
        <v>0</v>
      </c>
      <c r="BX23" s="220">
        <f>All!Y495</f>
        <v>0</v>
      </c>
      <c r="BY23" s="220">
        <f>All!Z495</f>
        <v>0</v>
      </c>
      <c r="BZ23" s="220">
        <f>All!AA495</f>
        <v>0</v>
      </c>
      <c r="CA23" s="220">
        <f>All!AB495</f>
        <v>0</v>
      </c>
      <c r="CB23" s="229">
        <f t="shared" si="60"/>
        <v>0</v>
      </c>
      <c r="CC23" s="229">
        <f t="shared" si="61"/>
        <v>0</v>
      </c>
      <c r="CD23" s="229">
        <f t="shared" si="62"/>
        <v>0</v>
      </c>
      <c r="CE23" s="177">
        <f>All!AC495</f>
        <v>0</v>
      </c>
      <c r="CF23" s="177">
        <f>All!AD495</f>
        <v>0</v>
      </c>
      <c r="CH23" t="s">
        <v>2181</v>
      </c>
      <c r="CI23">
        <f>SUM(CI2:CI22)</f>
        <v>1384</v>
      </c>
      <c r="CJ23">
        <f>SUM(CJ2:CJ22)</f>
        <v>700</v>
      </c>
      <c r="CK23">
        <f>SUM(CK2:CK22)</f>
        <v>272</v>
      </c>
      <c r="CM23" s="264" t="str">
        <f t="shared" si="63"/>
        <v xml:space="preserve">Women's, gend.&amp;sex. </v>
      </c>
      <c r="CN23" s="274">
        <f>COUNTIFS(All!AL3:AL412,"=Women's, gender, and sexuality studies")</f>
        <v>1</v>
      </c>
      <c r="CO23" s="274">
        <f>COUNTIFS(All!AL3:AL412,"=Women's, gender, and sexuality studies",All!G3:G412,"&gt;1")</f>
        <v>0</v>
      </c>
      <c r="CP23" s="277">
        <f>COUNTIFS(All!AL3:AL412,"=Women's, gender, and sexuality studies",All!G3:G412,"&gt;2")</f>
        <v>0</v>
      </c>
      <c r="CQ23" s="278"/>
      <c r="CR23" s="278"/>
      <c r="CS23" s="278"/>
      <c r="CT23" s="291">
        <f>All!AC442</f>
        <v>0</v>
      </c>
      <c r="CV23" s="326">
        <f t="shared" si="20"/>
        <v>2.4570024570024569E-3</v>
      </c>
      <c r="CW23" s="326">
        <f t="shared" si="21"/>
        <v>0</v>
      </c>
      <c r="CX23" s="326">
        <f t="shared" si="22"/>
        <v>0</v>
      </c>
    </row>
    <row r="24" spans="1:102" ht="15.75" thickBot="1">
      <c r="A24" s="204"/>
      <c r="B24" s="203">
        <f>All!H468</f>
        <v>31</v>
      </c>
      <c r="C24" s="203">
        <f>All!I468</f>
        <v>20</v>
      </c>
      <c r="D24" s="203">
        <f>All!J468</f>
        <v>34</v>
      </c>
      <c r="E24" s="203">
        <f>All!K468</f>
        <v>47</v>
      </c>
      <c r="F24" s="203">
        <f>All!L468</f>
        <v>28</v>
      </c>
      <c r="G24" s="203">
        <f>All!M468</f>
        <v>59</v>
      </c>
      <c r="H24" s="203">
        <f>All!N468</f>
        <v>31</v>
      </c>
      <c r="I24" s="203">
        <f>All!O468</f>
        <v>19</v>
      </c>
      <c r="J24" s="203">
        <f>All!P468</f>
        <v>27</v>
      </c>
      <c r="K24" s="203">
        <f>All!Q468</f>
        <v>29</v>
      </c>
      <c r="L24" s="203">
        <f>All!R468</f>
        <v>33</v>
      </c>
      <c r="M24" s="203">
        <f>All!S468</f>
        <v>15</v>
      </c>
      <c r="N24" s="203">
        <f>All!T468</f>
        <v>61</v>
      </c>
      <c r="O24" s="203">
        <f>All!U468</f>
        <v>40</v>
      </c>
      <c r="P24" s="203">
        <f>All!V468</f>
        <v>20</v>
      </c>
      <c r="Q24" s="203">
        <f>All!W468</f>
        <v>34</v>
      </c>
      <c r="R24" s="210">
        <f>All!X468</f>
        <v>30</v>
      </c>
      <c r="S24" s="210">
        <f>All!Y468</f>
        <v>34</v>
      </c>
      <c r="T24" s="210">
        <f>All!Z468</f>
        <v>42</v>
      </c>
      <c r="U24" s="210">
        <f>All!AA468</f>
        <v>40</v>
      </c>
      <c r="V24" s="210">
        <f>All!AB468</f>
        <v>26</v>
      </c>
      <c r="W24" s="212">
        <f>SUM(W2:W23)</f>
        <v>528</v>
      </c>
      <c r="X24" s="206">
        <f>SUM(X2:X23)</f>
        <v>172</v>
      </c>
      <c r="Y24" s="206">
        <f>SUM(Y2:Y23)</f>
        <v>700</v>
      </c>
      <c r="Z24" s="203">
        <f>All!AC468</f>
        <v>39</v>
      </c>
      <c r="AA24" s="203">
        <f>All!AD468</f>
        <v>18</v>
      </c>
      <c r="AE24" s="235">
        <f t="shared" ref="AE24:BD24" si="64">SUM(AE2:AE23)</f>
        <v>56</v>
      </c>
      <c r="AF24" s="235">
        <f t="shared" si="64"/>
        <v>33</v>
      </c>
      <c r="AG24" s="235">
        <f t="shared" si="64"/>
        <v>63</v>
      </c>
      <c r="AH24" s="235">
        <f t="shared" si="64"/>
        <v>78</v>
      </c>
      <c r="AI24" s="235">
        <f t="shared" si="64"/>
        <v>75</v>
      </c>
      <c r="AJ24" s="235">
        <f t="shared" si="64"/>
        <v>139</v>
      </c>
      <c r="AK24" s="235">
        <f t="shared" si="64"/>
        <v>74</v>
      </c>
      <c r="AL24" s="235">
        <f t="shared" si="64"/>
        <v>42</v>
      </c>
      <c r="AM24" s="235">
        <f t="shared" si="64"/>
        <v>42</v>
      </c>
      <c r="AN24" s="235">
        <f t="shared" si="64"/>
        <v>36</v>
      </c>
      <c r="AO24" s="235">
        <f t="shared" si="64"/>
        <v>54</v>
      </c>
      <c r="AP24" s="235">
        <f t="shared" si="64"/>
        <v>26</v>
      </c>
      <c r="AQ24" s="235">
        <f t="shared" si="64"/>
        <v>129</v>
      </c>
      <c r="AR24" s="235">
        <f t="shared" si="64"/>
        <v>118</v>
      </c>
      <c r="AS24" s="235">
        <f t="shared" si="64"/>
        <v>38</v>
      </c>
      <c r="AT24" s="235">
        <f t="shared" si="64"/>
        <v>57</v>
      </c>
      <c r="AU24" s="236">
        <f t="shared" si="64"/>
        <v>49</v>
      </c>
      <c r="AV24" s="236">
        <f t="shared" si="64"/>
        <v>65</v>
      </c>
      <c r="AW24" s="236">
        <f t="shared" si="64"/>
        <v>75</v>
      </c>
      <c r="AX24" s="236">
        <f t="shared" si="64"/>
        <v>90</v>
      </c>
      <c r="AY24" s="236">
        <f t="shared" si="64"/>
        <v>45</v>
      </c>
      <c r="AZ24" s="235">
        <f t="shared" si="64"/>
        <v>1060</v>
      </c>
      <c r="BA24" s="235">
        <f t="shared" si="64"/>
        <v>324</v>
      </c>
      <c r="BB24" s="235">
        <f t="shared" si="64"/>
        <v>1384</v>
      </c>
      <c r="BC24" s="235">
        <f t="shared" si="64"/>
        <v>77</v>
      </c>
      <c r="BD24" s="235">
        <f t="shared" si="64"/>
        <v>60</v>
      </c>
      <c r="BG24" s="221">
        <f t="shared" ref="BG24:CF24" si="65">SUM(BG2:BG23)</f>
        <v>24</v>
      </c>
      <c r="BH24" s="221">
        <f t="shared" si="65"/>
        <v>14</v>
      </c>
      <c r="BI24" s="221">
        <f t="shared" si="65"/>
        <v>22</v>
      </c>
      <c r="BJ24" s="221">
        <f t="shared" si="65"/>
        <v>15</v>
      </c>
      <c r="BK24" s="221">
        <f t="shared" si="65"/>
        <v>10</v>
      </c>
      <c r="BL24" s="221">
        <f t="shared" si="65"/>
        <v>23</v>
      </c>
      <c r="BM24" s="221">
        <f t="shared" si="65"/>
        <v>16</v>
      </c>
      <c r="BN24" s="221">
        <f t="shared" si="65"/>
        <v>10</v>
      </c>
      <c r="BO24" s="221">
        <f t="shared" si="65"/>
        <v>9</v>
      </c>
      <c r="BP24" s="221">
        <f t="shared" si="65"/>
        <v>20</v>
      </c>
      <c r="BQ24" s="221">
        <f t="shared" si="65"/>
        <v>13</v>
      </c>
      <c r="BR24" s="221">
        <f t="shared" si="65"/>
        <v>7</v>
      </c>
      <c r="BS24" s="221">
        <f t="shared" si="65"/>
        <v>20</v>
      </c>
      <c r="BT24" s="221">
        <f t="shared" si="65"/>
        <v>13</v>
      </c>
      <c r="BU24" s="221">
        <f t="shared" si="65"/>
        <v>4</v>
      </c>
      <c r="BV24" s="221">
        <f t="shared" si="65"/>
        <v>9</v>
      </c>
      <c r="BW24" s="222">
        <f t="shared" si="65"/>
        <v>8</v>
      </c>
      <c r="BX24" s="222">
        <f t="shared" si="65"/>
        <v>6</v>
      </c>
      <c r="BY24" s="222">
        <f t="shared" si="65"/>
        <v>11</v>
      </c>
      <c r="BZ24" s="222">
        <f t="shared" si="65"/>
        <v>11</v>
      </c>
      <c r="CA24" s="222">
        <f t="shared" si="65"/>
        <v>7</v>
      </c>
      <c r="CB24" s="230">
        <f t="shared" si="65"/>
        <v>229</v>
      </c>
      <c r="CC24" s="230">
        <f t="shared" si="65"/>
        <v>43</v>
      </c>
      <c r="CD24" s="230">
        <f t="shared" si="65"/>
        <v>272</v>
      </c>
      <c r="CE24" s="221">
        <f t="shared" si="65"/>
        <v>16</v>
      </c>
      <c r="CF24" s="221">
        <f t="shared" si="65"/>
        <v>9</v>
      </c>
      <c r="CH24" t="s">
        <v>2182</v>
      </c>
      <c r="CI24">
        <f>SUM(CI2:CI17)</f>
        <v>1060</v>
      </c>
      <c r="CJ24">
        <f>SUM(CJ2:CJ17)</f>
        <v>528</v>
      </c>
      <c r="CK24">
        <f>SUM(CK2:CK17)</f>
        <v>229</v>
      </c>
      <c r="CM24" s="197" t="s">
        <v>2016</v>
      </c>
      <c r="CN24">
        <f>SUM(CN2:CN23)</f>
        <v>407</v>
      </c>
      <c r="CO24">
        <f>SUM(CO2:CO23)</f>
        <v>135</v>
      </c>
      <c r="CP24">
        <f>SUM(CP2:CP23)</f>
        <v>47</v>
      </c>
      <c r="CT24" s="161">
        <f>SUM(CT2:CT23)</f>
        <v>77</v>
      </c>
      <c r="CV24" s="327">
        <f>SUM(CV2:CV23)</f>
        <v>0.99999999999999989</v>
      </c>
      <c r="CW24" s="327">
        <f>SUM(CW2:CW23)</f>
        <v>1</v>
      </c>
      <c r="CX24" s="327">
        <f>SUM(CX2:CX23)</f>
        <v>1</v>
      </c>
    </row>
    <row r="25" spans="1:102" ht="15.75" thickTop="1">
      <c r="CH25" t="s">
        <v>2183</v>
      </c>
      <c r="CI25">
        <f>SUM(CI18:CI22)</f>
        <v>324</v>
      </c>
      <c r="CJ25">
        <f>SUM(CJ18:CJ22)</f>
        <v>172</v>
      </c>
      <c r="CK25">
        <f>SUM(CK18:CK22)</f>
        <v>43</v>
      </c>
    </row>
    <row r="27" spans="1:102">
      <c r="CN27" s="279" t="s">
        <v>1754</v>
      </c>
    </row>
    <row r="28" spans="1:102">
      <c r="CM28" t="s">
        <v>1690</v>
      </c>
      <c r="CN28">
        <f>CN11</f>
        <v>125</v>
      </c>
    </row>
    <row r="29" spans="1:102">
      <c r="CM29" t="s">
        <v>1691</v>
      </c>
      <c r="CN29">
        <f>CN21</f>
        <v>80</v>
      </c>
    </row>
    <row r="30" spans="1:102">
      <c r="CM30" t="s">
        <v>476</v>
      </c>
      <c r="CN30">
        <f>CN8</f>
        <v>42</v>
      </c>
    </row>
    <row r="31" spans="1:102">
      <c r="CM31" t="str">
        <f>CM10</f>
        <v>Environmental studies</v>
      </c>
      <c r="CN31">
        <f>CN10</f>
        <v>21</v>
      </c>
    </row>
    <row r="32" spans="1:102">
      <c r="CM32" t="str">
        <f>CM5</f>
        <v>Biology</v>
      </c>
      <c r="CN32">
        <f>CN5</f>
        <v>18</v>
      </c>
    </row>
    <row r="33" spans="91:92">
      <c r="CM33" t="s">
        <v>2019</v>
      </c>
      <c r="CN33" s="292">
        <f>CN24-CN11-CN21-CN8-CN5-CN10</f>
        <v>121</v>
      </c>
    </row>
    <row r="34" spans="91:92">
      <c r="CM34" s="197" t="s">
        <v>2016</v>
      </c>
      <c r="CN34" s="197">
        <f>SUM(CN28:CN33)</f>
        <v>407</v>
      </c>
    </row>
    <row r="72" spans="31:31" ht="26.25">
      <c r="AE72" s="323" t="s">
        <v>2203</v>
      </c>
    </row>
  </sheetData>
  <pageMargins left="0.7" right="0.7" top="0.75" bottom="0.75" header="0.3" footer="0.3"/>
  <pageSetup paperSize="256"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dimension ref="A1:AO226"/>
  <sheetViews>
    <sheetView zoomScale="60" zoomScaleNormal="60" workbookViewId="0"/>
  </sheetViews>
  <sheetFormatPr defaultRowHeight="15"/>
  <cols>
    <col min="1" max="1" width="16.28515625" customWidth="1"/>
    <col min="2" max="22" width="7.28515625" customWidth="1"/>
  </cols>
  <sheetData>
    <row r="1" spans="1:24" ht="23.25">
      <c r="A1" s="192" t="str">
        <f>All!C421</f>
        <v>African-african american studies</v>
      </c>
      <c r="B1" s="189">
        <v>100</v>
      </c>
      <c r="C1" s="189">
        <f>B1</f>
        <v>100</v>
      </c>
      <c r="D1" s="189">
        <f t="shared" ref="D1:V1" si="0">C1</f>
        <v>100</v>
      </c>
      <c r="E1" s="189">
        <f t="shared" si="0"/>
        <v>100</v>
      </c>
      <c r="F1" s="189">
        <f t="shared" si="0"/>
        <v>100</v>
      </c>
      <c r="G1" s="189">
        <f t="shared" si="0"/>
        <v>100</v>
      </c>
      <c r="H1" s="189">
        <f t="shared" si="0"/>
        <v>100</v>
      </c>
      <c r="I1" s="189">
        <f t="shared" si="0"/>
        <v>100</v>
      </c>
      <c r="J1" s="189">
        <f t="shared" si="0"/>
        <v>100</v>
      </c>
      <c r="K1" s="189">
        <f t="shared" si="0"/>
        <v>100</v>
      </c>
      <c r="L1" s="189">
        <f t="shared" si="0"/>
        <v>100</v>
      </c>
      <c r="M1" s="189">
        <f t="shared" si="0"/>
        <v>100</v>
      </c>
      <c r="N1" s="189">
        <f t="shared" si="0"/>
        <v>100</v>
      </c>
      <c r="O1" s="189">
        <f t="shared" si="0"/>
        <v>100</v>
      </c>
      <c r="P1" s="189">
        <f t="shared" si="0"/>
        <v>100</v>
      </c>
      <c r="Q1" s="189">
        <f t="shared" si="0"/>
        <v>100</v>
      </c>
      <c r="R1" s="189">
        <f t="shared" si="0"/>
        <v>100</v>
      </c>
      <c r="S1" s="189">
        <f t="shared" si="0"/>
        <v>100</v>
      </c>
      <c r="T1" s="189">
        <f t="shared" si="0"/>
        <v>100</v>
      </c>
      <c r="U1" s="189">
        <f t="shared" si="0"/>
        <v>100</v>
      </c>
      <c r="V1" s="189">
        <f t="shared" si="0"/>
        <v>100</v>
      </c>
      <c r="X1" s="199" t="s">
        <v>1756</v>
      </c>
    </row>
    <row r="2" spans="1:24">
      <c r="A2" s="192" t="s">
        <v>1737</v>
      </c>
      <c r="B2" s="189">
        <v>10</v>
      </c>
      <c r="C2" s="189">
        <f>B2+1</f>
        <v>11</v>
      </c>
      <c r="D2" s="189">
        <f t="shared" ref="D2:V2" si="1">C2+1</f>
        <v>12</v>
      </c>
      <c r="E2" s="189">
        <f t="shared" si="1"/>
        <v>13</v>
      </c>
      <c r="F2" s="189">
        <f t="shared" si="1"/>
        <v>14</v>
      </c>
      <c r="G2" s="189">
        <f t="shared" si="1"/>
        <v>15</v>
      </c>
      <c r="H2" s="189">
        <f t="shared" si="1"/>
        <v>16</v>
      </c>
      <c r="I2" s="189">
        <f t="shared" si="1"/>
        <v>17</v>
      </c>
      <c r="J2" s="189">
        <f t="shared" si="1"/>
        <v>18</v>
      </c>
      <c r="K2" s="189">
        <f t="shared" si="1"/>
        <v>19</v>
      </c>
      <c r="L2" s="189">
        <f t="shared" si="1"/>
        <v>20</v>
      </c>
      <c r="M2" s="189">
        <f t="shared" si="1"/>
        <v>21</v>
      </c>
      <c r="N2" s="189">
        <f t="shared" si="1"/>
        <v>22</v>
      </c>
      <c r="O2" s="189">
        <f t="shared" si="1"/>
        <v>23</v>
      </c>
      <c r="P2" s="189">
        <f t="shared" si="1"/>
        <v>24</v>
      </c>
      <c r="Q2" s="189">
        <f t="shared" si="1"/>
        <v>25</v>
      </c>
      <c r="R2" s="189">
        <f t="shared" si="1"/>
        <v>26</v>
      </c>
      <c r="S2" s="189">
        <f t="shared" si="1"/>
        <v>27</v>
      </c>
      <c r="T2" s="189">
        <f t="shared" si="1"/>
        <v>28</v>
      </c>
      <c r="U2" s="189">
        <f t="shared" si="1"/>
        <v>29</v>
      </c>
      <c r="V2" s="189">
        <f t="shared" si="1"/>
        <v>30</v>
      </c>
    </row>
    <row r="3" spans="1:24">
      <c r="A3" s="193" t="s">
        <v>1738</v>
      </c>
      <c r="B3" s="189">
        <f>All!H421</f>
        <v>0</v>
      </c>
      <c r="C3" s="189">
        <f>All!I421</f>
        <v>0</v>
      </c>
      <c r="D3" s="189">
        <f>All!J421</f>
        <v>1</v>
      </c>
      <c r="E3" s="189">
        <f>All!K421</f>
        <v>0</v>
      </c>
      <c r="F3" s="189">
        <f>All!L421</f>
        <v>1</v>
      </c>
      <c r="G3" s="189">
        <f>All!M421</f>
        <v>5</v>
      </c>
      <c r="H3" s="189">
        <f>All!N421</f>
        <v>0</v>
      </c>
      <c r="I3" s="189">
        <f>All!O421</f>
        <v>1</v>
      </c>
      <c r="J3" s="189">
        <f>All!P421</f>
        <v>1</v>
      </c>
      <c r="K3" s="189">
        <f>All!Q421</f>
        <v>0</v>
      </c>
      <c r="L3" s="189">
        <f>All!R421</f>
        <v>0</v>
      </c>
      <c r="M3" s="189">
        <f>All!S421</f>
        <v>0</v>
      </c>
      <c r="N3" s="189">
        <f>All!T421</f>
        <v>2</v>
      </c>
      <c r="O3" s="189">
        <f>All!U421</f>
        <v>5</v>
      </c>
      <c r="P3" s="189">
        <f>All!V421</f>
        <v>0</v>
      </c>
      <c r="Q3" s="189">
        <f>All!W421</f>
        <v>0</v>
      </c>
      <c r="R3" s="189">
        <f>All!X421</f>
        <v>0</v>
      </c>
      <c r="S3" s="189">
        <f>All!Y421</f>
        <v>1</v>
      </c>
      <c r="T3" s="189">
        <f>All!Z421</f>
        <v>0</v>
      </c>
      <c r="U3" s="189">
        <f>All!AA421</f>
        <v>1</v>
      </c>
      <c r="V3" s="189">
        <f>All!AB421</f>
        <v>0</v>
      </c>
      <c r="W3" s="198">
        <f>SUM(B3:V3)</f>
        <v>18</v>
      </c>
    </row>
    <row r="4" spans="1:24" ht="15.75" thickBot="1">
      <c r="A4" s="190" t="s">
        <v>1992</v>
      </c>
      <c r="B4" s="191">
        <f>All!H446</f>
        <v>0</v>
      </c>
      <c r="C4" s="191">
        <f>All!I446</f>
        <v>0</v>
      </c>
      <c r="D4" s="191">
        <f>All!J446</f>
        <v>0</v>
      </c>
      <c r="E4" s="191">
        <f>All!K446</f>
        <v>0</v>
      </c>
      <c r="F4" s="191">
        <f>All!L446</f>
        <v>0</v>
      </c>
      <c r="G4" s="191">
        <f>All!M446</f>
        <v>0</v>
      </c>
      <c r="H4" s="191">
        <f>All!N446</f>
        <v>0</v>
      </c>
      <c r="I4" s="191">
        <f>All!O446</f>
        <v>0</v>
      </c>
      <c r="J4" s="191">
        <f>All!P446</f>
        <v>0</v>
      </c>
      <c r="K4" s="191">
        <f>All!Q446</f>
        <v>0</v>
      </c>
      <c r="L4" s="191">
        <f>All!R446</f>
        <v>0</v>
      </c>
      <c r="M4" s="191">
        <f>All!S446</f>
        <v>0</v>
      </c>
      <c r="N4" s="191">
        <f>All!T446</f>
        <v>0</v>
      </c>
      <c r="O4" s="191">
        <f>All!U446</f>
        <v>0</v>
      </c>
      <c r="P4" s="191">
        <f>All!V446</f>
        <v>0</v>
      </c>
      <c r="Q4" s="191">
        <f>All!W446</f>
        <v>0</v>
      </c>
      <c r="R4" s="191">
        <f>All!X446</f>
        <v>0</v>
      </c>
      <c r="S4" s="191">
        <f>All!Y446</f>
        <v>0</v>
      </c>
      <c r="T4" s="191">
        <f>All!Z446</f>
        <v>0</v>
      </c>
      <c r="U4" s="191">
        <f>All!AA446</f>
        <v>0</v>
      </c>
      <c r="V4" s="191">
        <f>All!AB446</f>
        <v>0</v>
      </c>
    </row>
    <row r="5" spans="1:24">
      <c r="A5" s="192" t="str">
        <f>All!C422</f>
        <v>Anthropology</v>
      </c>
      <c r="B5" s="189">
        <v>101</v>
      </c>
      <c r="C5" s="189">
        <f>B5</f>
        <v>101</v>
      </c>
      <c r="D5" s="189">
        <f t="shared" ref="D5:V5" si="2">C5</f>
        <v>101</v>
      </c>
      <c r="E5" s="189">
        <f t="shared" si="2"/>
        <v>101</v>
      </c>
      <c r="F5" s="189">
        <f t="shared" si="2"/>
        <v>101</v>
      </c>
      <c r="G5" s="189">
        <f t="shared" si="2"/>
        <v>101</v>
      </c>
      <c r="H5" s="189">
        <f t="shared" si="2"/>
        <v>101</v>
      </c>
      <c r="I5" s="189">
        <f t="shared" si="2"/>
        <v>101</v>
      </c>
      <c r="J5" s="189">
        <f t="shared" si="2"/>
        <v>101</v>
      </c>
      <c r="K5" s="189">
        <f t="shared" si="2"/>
        <v>101</v>
      </c>
      <c r="L5" s="189">
        <f t="shared" si="2"/>
        <v>101</v>
      </c>
      <c r="M5" s="189">
        <f t="shared" si="2"/>
        <v>101</v>
      </c>
      <c r="N5" s="189">
        <f t="shared" si="2"/>
        <v>101</v>
      </c>
      <c r="O5" s="189">
        <f t="shared" si="2"/>
        <v>101</v>
      </c>
      <c r="P5" s="189">
        <f t="shared" si="2"/>
        <v>101</v>
      </c>
      <c r="Q5" s="189">
        <f t="shared" si="2"/>
        <v>101</v>
      </c>
      <c r="R5" s="189">
        <f t="shared" si="2"/>
        <v>101</v>
      </c>
      <c r="S5" s="189">
        <f t="shared" si="2"/>
        <v>101</v>
      </c>
      <c r="T5" s="189">
        <f t="shared" si="2"/>
        <v>101</v>
      </c>
      <c r="U5" s="189">
        <f t="shared" si="2"/>
        <v>101</v>
      </c>
      <c r="V5" s="189">
        <f t="shared" si="2"/>
        <v>101</v>
      </c>
    </row>
    <row r="6" spans="1:24">
      <c r="A6" s="192" t="s">
        <v>1737</v>
      </c>
      <c r="B6" s="189">
        <v>10</v>
      </c>
      <c r="C6" s="189">
        <f>B6+1</f>
        <v>11</v>
      </c>
      <c r="D6" s="189">
        <f t="shared" ref="D6:V6" si="3">C6+1</f>
        <v>12</v>
      </c>
      <c r="E6" s="189">
        <f t="shared" si="3"/>
        <v>13</v>
      </c>
      <c r="F6" s="189">
        <f t="shared" si="3"/>
        <v>14</v>
      </c>
      <c r="G6" s="189">
        <f t="shared" si="3"/>
        <v>15</v>
      </c>
      <c r="H6" s="189">
        <f t="shared" si="3"/>
        <v>16</v>
      </c>
      <c r="I6" s="189">
        <f t="shared" si="3"/>
        <v>17</v>
      </c>
      <c r="J6" s="189">
        <f t="shared" si="3"/>
        <v>18</v>
      </c>
      <c r="K6" s="189">
        <f t="shared" si="3"/>
        <v>19</v>
      </c>
      <c r="L6" s="189">
        <f t="shared" si="3"/>
        <v>20</v>
      </c>
      <c r="M6" s="189">
        <f t="shared" si="3"/>
        <v>21</v>
      </c>
      <c r="N6" s="189">
        <f t="shared" si="3"/>
        <v>22</v>
      </c>
      <c r="O6" s="189">
        <f t="shared" si="3"/>
        <v>23</v>
      </c>
      <c r="P6" s="189">
        <f t="shared" si="3"/>
        <v>24</v>
      </c>
      <c r="Q6" s="189">
        <f t="shared" si="3"/>
        <v>25</v>
      </c>
      <c r="R6" s="189">
        <f t="shared" si="3"/>
        <v>26</v>
      </c>
      <c r="S6" s="189">
        <f t="shared" si="3"/>
        <v>27</v>
      </c>
      <c r="T6" s="189">
        <f t="shared" si="3"/>
        <v>28</v>
      </c>
      <c r="U6" s="189">
        <f t="shared" si="3"/>
        <v>29</v>
      </c>
      <c r="V6" s="189">
        <f t="shared" si="3"/>
        <v>30</v>
      </c>
    </row>
    <row r="7" spans="1:24">
      <c r="A7" s="193" t="s">
        <v>1738</v>
      </c>
      <c r="B7" s="189">
        <f>All!H422</f>
        <v>0</v>
      </c>
      <c r="C7" s="189">
        <f>All!I422</f>
        <v>0</v>
      </c>
      <c r="D7" s="189">
        <f>All!J422</f>
        <v>0</v>
      </c>
      <c r="E7" s="189">
        <f>All!K422</f>
        <v>3</v>
      </c>
      <c r="F7" s="189">
        <f>All!L422</f>
        <v>6</v>
      </c>
      <c r="G7" s="189">
        <f>All!M422</f>
        <v>4</v>
      </c>
      <c r="H7" s="189">
        <f>All!N422</f>
        <v>1</v>
      </c>
      <c r="I7" s="189">
        <f>All!O422</f>
        <v>0</v>
      </c>
      <c r="J7" s="189">
        <f>All!P422</f>
        <v>0</v>
      </c>
      <c r="K7" s="189">
        <f>All!Q422</f>
        <v>0</v>
      </c>
      <c r="L7" s="189">
        <f>All!R422</f>
        <v>1</v>
      </c>
      <c r="M7" s="189">
        <f>All!S422</f>
        <v>0</v>
      </c>
      <c r="N7" s="189">
        <f>All!T422</f>
        <v>5</v>
      </c>
      <c r="O7" s="189">
        <f>All!U422</f>
        <v>5</v>
      </c>
      <c r="P7" s="189">
        <f>All!V422</f>
        <v>0</v>
      </c>
      <c r="Q7" s="189">
        <f>All!W422</f>
        <v>0</v>
      </c>
      <c r="R7" s="189">
        <f>All!X422</f>
        <v>0</v>
      </c>
      <c r="S7" s="189">
        <f>All!Y422</f>
        <v>2</v>
      </c>
      <c r="T7" s="189">
        <f>All!Z422</f>
        <v>1</v>
      </c>
      <c r="U7" s="189">
        <f>All!AA422</f>
        <v>3</v>
      </c>
      <c r="V7" s="189">
        <f>All!AB422</f>
        <v>0</v>
      </c>
      <c r="W7" s="198">
        <f>SUM(B7:V7)</f>
        <v>31</v>
      </c>
    </row>
    <row r="8" spans="1:24" ht="15.75" thickBot="1">
      <c r="A8" s="190" t="s">
        <v>1992</v>
      </c>
      <c r="B8" s="191">
        <f>All!H447</f>
        <v>0</v>
      </c>
      <c r="C8" s="191">
        <f>All!I447</f>
        <v>0</v>
      </c>
      <c r="D8" s="191">
        <f>All!J447</f>
        <v>0</v>
      </c>
      <c r="E8" s="191">
        <f>All!K447</f>
        <v>0</v>
      </c>
      <c r="F8" s="191">
        <f>All!L447</f>
        <v>1</v>
      </c>
      <c r="G8" s="191">
        <f>All!M447</f>
        <v>0</v>
      </c>
      <c r="H8" s="191">
        <f>All!N447</f>
        <v>1</v>
      </c>
      <c r="I8" s="191">
        <f>All!O447</f>
        <v>0</v>
      </c>
      <c r="J8" s="191">
        <f>All!P447</f>
        <v>0</v>
      </c>
      <c r="K8" s="191">
        <f>All!Q447</f>
        <v>0</v>
      </c>
      <c r="L8" s="191">
        <f>All!R447</f>
        <v>0</v>
      </c>
      <c r="M8" s="191">
        <f>All!S447</f>
        <v>0</v>
      </c>
      <c r="N8" s="191">
        <f>All!T447</f>
        <v>1</v>
      </c>
      <c r="O8" s="191">
        <f>All!U447</f>
        <v>1</v>
      </c>
      <c r="P8" s="191">
        <f>All!V447</f>
        <v>0</v>
      </c>
      <c r="Q8" s="191">
        <f>All!W447</f>
        <v>0</v>
      </c>
      <c r="R8" s="191">
        <f>All!X447</f>
        <v>0</v>
      </c>
      <c r="S8" s="191">
        <f>All!Y447</f>
        <v>0</v>
      </c>
      <c r="T8" s="191">
        <f>All!Z447</f>
        <v>0</v>
      </c>
      <c r="U8" s="191">
        <f>All!AA447</f>
        <v>0</v>
      </c>
      <c r="V8" s="191">
        <f>All!AB447</f>
        <v>0</v>
      </c>
    </row>
    <row r="9" spans="1:24">
      <c r="A9" s="192" t="str">
        <f>All!C423</f>
        <v>Architecture</v>
      </c>
      <c r="B9" s="189">
        <v>102</v>
      </c>
      <c r="C9" s="189">
        <f>B9</f>
        <v>102</v>
      </c>
      <c r="D9" s="189">
        <f t="shared" ref="D9:V9" si="4">C9</f>
        <v>102</v>
      </c>
      <c r="E9" s="189">
        <f t="shared" si="4"/>
        <v>102</v>
      </c>
      <c r="F9" s="189">
        <f t="shared" si="4"/>
        <v>102</v>
      </c>
      <c r="G9" s="189">
        <f t="shared" si="4"/>
        <v>102</v>
      </c>
      <c r="H9" s="189">
        <f t="shared" si="4"/>
        <v>102</v>
      </c>
      <c r="I9" s="189">
        <f t="shared" si="4"/>
        <v>102</v>
      </c>
      <c r="J9" s="189">
        <f t="shared" si="4"/>
        <v>102</v>
      </c>
      <c r="K9" s="189">
        <f t="shared" si="4"/>
        <v>102</v>
      </c>
      <c r="L9" s="189">
        <f t="shared" si="4"/>
        <v>102</v>
      </c>
      <c r="M9" s="189">
        <f t="shared" si="4"/>
        <v>102</v>
      </c>
      <c r="N9" s="189">
        <f t="shared" si="4"/>
        <v>102</v>
      </c>
      <c r="O9" s="189">
        <f t="shared" si="4"/>
        <v>102</v>
      </c>
      <c r="P9" s="189">
        <f t="shared" si="4"/>
        <v>102</v>
      </c>
      <c r="Q9" s="189">
        <f t="shared" si="4"/>
        <v>102</v>
      </c>
      <c r="R9" s="189">
        <f t="shared" si="4"/>
        <v>102</v>
      </c>
      <c r="S9" s="189">
        <f t="shared" si="4"/>
        <v>102</v>
      </c>
      <c r="T9" s="189">
        <f t="shared" si="4"/>
        <v>102</v>
      </c>
      <c r="U9" s="189">
        <f t="shared" si="4"/>
        <v>102</v>
      </c>
      <c r="V9" s="189">
        <f t="shared" si="4"/>
        <v>102</v>
      </c>
    </row>
    <row r="10" spans="1:24">
      <c r="A10" s="192" t="s">
        <v>1737</v>
      </c>
      <c r="B10" s="189">
        <v>10</v>
      </c>
      <c r="C10" s="189">
        <f>B10+1</f>
        <v>11</v>
      </c>
      <c r="D10" s="189">
        <f t="shared" ref="D10:V10" si="5">C10+1</f>
        <v>12</v>
      </c>
      <c r="E10" s="189">
        <f t="shared" si="5"/>
        <v>13</v>
      </c>
      <c r="F10" s="189">
        <f t="shared" si="5"/>
        <v>14</v>
      </c>
      <c r="G10" s="189">
        <f t="shared" si="5"/>
        <v>15</v>
      </c>
      <c r="H10" s="189">
        <f t="shared" si="5"/>
        <v>16</v>
      </c>
      <c r="I10" s="189">
        <f t="shared" si="5"/>
        <v>17</v>
      </c>
      <c r="J10" s="189">
        <f t="shared" si="5"/>
        <v>18</v>
      </c>
      <c r="K10" s="189">
        <f t="shared" si="5"/>
        <v>19</v>
      </c>
      <c r="L10" s="189">
        <f t="shared" si="5"/>
        <v>20</v>
      </c>
      <c r="M10" s="189">
        <f t="shared" si="5"/>
        <v>21</v>
      </c>
      <c r="N10" s="189">
        <f t="shared" si="5"/>
        <v>22</v>
      </c>
      <c r="O10" s="189">
        <f t="shared" si="5"/>
        <v>23</v>
      </c>
      <c r="P10" s="189">
        <f t="shared" si="5"/>
        <v>24</v>
      </c>
      <c r="Q10" s="189">
        <f t="shared" si="5"/>
        <v>25</v>
      </c>
      <c r="R10" s="189">
        <f t="shared" si="5"/>
        <v>26</v>
      </c>
      <c r="S10" s="189">
        <f t="shared" si="5"/>
        <v>27</v>
      </c>
      <c r="T10" s="189">
        <f t="shared" si="5"/>
        <v>28</v>
      </c>
      <c r="U10" s="189">
        <f t="shared" si="5"/>
        <v>29</v>
      </c>
      <c r="V10" s="189">
        <f t="shared" si="5"/>
        <v>30</v>
      </c>
    </row>
    <row r="11" spans="1:24">
      <c r="A11" s="193" t="s">
        <v>1738</v>
      </c>
      <c r="B11" s="189">
        <f>All!H423</f>
        <v>0</v>
      </c>
      <c r="C11" s="189">
        <f>All!I423</f>
        <v>0</v>
      </c>
      <c r="D11" s="189">
        <f>All!J423</f>
        <v>1</v>
      </c>
      <c r="E11" s="189">
        <f>All!K423</f>
        <v>1</v>
      </c>
      <c r="F11" s="189">
        <f>All!L423</f>
        <v>0</v>
      </c>
      <c r="G11" s="189">
        <f>All!M423</f>
        <v>1</v>
      </c>
      <c r="H11" s="189">
        <f>All!N423</f>
        <v>0</v>
      </c>
      <c r="I11" s="189">
        <f>All!O423</f>
        <v>0</v>
      </c>
      <c r="J11" s="189">
        <f>All!P423</f>
        <v>8</v>
      </c>
      <c r="K11" s="189">
        <f>All!Q423</f>
        <v>1</v>
      </c>
      <c r="L11" s="189">
        <f>All!R423</f>
        <v>5</v>
      </c>
      <c r="M11" s="189">
        <f>All!S423</f>
        <v>3</v>
      </c>
      <c r="N11" s="189">
        <f>All!T423</f>
        <v>0</v>
      </c>
      <c r="O11" s="189">
        <f>All!U423</f>
        <v>0</v>
      </c>
      <c r="P11" s="189">
        <f>All!V423</f>
        <v>0</v>
      </c>
      <c r="Q11" s="189">
        <f>All!W423</f>
        <v>0</v>
      </c>
      <c r="R11" s="189">
        <f>All!X423</f>
        <v>1</v>
      </c>
      <c r="S11" s="189">
        <f>All!Y423</f>
        <v>0</v>
      </c>
      <c r="T11" s="189">
        <f>All!Z423</f>
        <v>1</v>
      </c>
      <c r="U11" s="189">
        <f>All!AA423</f>
        <v>0</v>
      </c>
      <c r="V11" s="189">
        <f>All!AB423</f>
        <v>0</v>
      </c>
      <c r="W11" s="198">
        <f>SUM(B11:V11)</f>
        <v>22</v>
      </c>
    </row>
    <row r="12" spans="1:24" ht="15.75" thickBot="1">
      <c r="A12" s="190" t="s">
        <v>1992</v>
      </c>
      <c r="B12" s="191">
        <f>All!H448</f>
        <v>0</v>
      </c>
      <c r="C12" s="191">
        <f>All!I448</f>
        <v>0</v>
      </c>
      <c r="D12" s="191">
        <f>All!J448</f>
        <v>0</v>
      </c>
      <c r="E12" s="191">
        <f>All!K448</f>
        <v>1</v>
      </c>
      <c r="F12" s="191">
        <f>All!L448</f>
        <v>0</v>
      </c>
      <c r="G12" s="191">
        <f>All!M448</f>
        <v>0</v>
      </c>
      <c r="H12" s="191">
        <f>All!N448</f>
        <v>0</v>
      </c>
      <c r="I12" s="191">
        <f>All!O448</f>
        <v>0</v>
      </c>
      <c r="J12" s="191">
        <f>All!P448</f>
        <v>3</v>
      </c>
      <c r="K12" s="191">
        <f>All!Q448</f>
        <v>1</v>
      </c>
      <c r="L12" s="191">
        <f>All!R448</f>
        <v>3</v>
      </c>
      <c r="M12" s="191">
        <f>All!S448</f>
        <v>2</v>
      </c>
      <c r="N12" s="191">
        <f>All!T448</f>
        <v>0</v>
      </c>
      <c r="O12" s="191">
        <f>All!U448</f>
        <v>0</v>
      </c>
      <c r="P12" s="191">
        <f>All!V448</f>
        <v>0</v>
      </c>
      <c r="Q12" s="191">
        <f>All!W448</f>
        <v>0</v>
      </c>
      <c r="R12" s="191">
        <f>All!X448</f>
        <v>1</v>
      </c>
      <c r="S12" s="191">
        <f>All!Y448</f>
        <v>0</v>
      </c>
      <c r="T12" s="191">
        <f>All!Z448</f>
        <v>0</v>
      </c>
      <c r="U12" s="191">
        <f>All!AA448</f>
        <v>0</v>
      </c>
      <c r="V12" s="191">
        <f>All!AB448</f>
        <v>0</v>
      </c>
    </row>
    <row r="13" spans="1:24">
      <c r="A13" s="294" t="str">
        <f>All!C424</f>
        <v>Biology</v>
      </c>
      <c r="B13" s="295">
        <v>103</v>
      </c>
      <c r="C13" s="295">
        <f>B13</f>
        <v>103</v>
      </c>
      <c r="D13" s="295">
        <f t="shared" ref="D13:V13" si="6">C13</f>
        <v>103</v>
      </c>
      <c r="E13" s="295">
        <f t="shared" si="6"/>
        <v>103</v>
      </c>
      <c r="F13" s="295">
        <f t="shared" si="6"/>
        <v>103</v>
      </c>
      <c r="G13" s="295">
        <f t="shared" si="6"/>
        <v>103</v>
      </c>
      <c r="H13" s="295">
        <f t="shared" si="6"/>
        <v>103</v>
      </c>
      <c r="I13" s="295">
        <f t="shared" si="6"/>
        <v>103</v>
      </c>
      <c r="J13" s="295">
        <f t="shared" si="6"/>
        <v>103</v>
      </c>
      <c r="K13" s="295">
        <f t="shared" si="6"/>
        <v>103</v>
      </c>
      <c r="L13" s="295">
        <f t="shared" si="6"/>
        <v>103</v>
      </c>
      <c r="M13" s="295">
        <f t="shared" si="6"/>
        <v>103</v>
      </c>
      <c r="N13" s="295">
        <f t="shared" si="6"/>
        <v>103</v>
      </c>
      <c r="O13" s="295">
        <f t="shared" si="6"/>
        <v>103</v>
      </c>
      <c r="P13" s="295">
        <f t="shared" si="6"/>
        <v>103</v>
      </c>
      <c r="Q13" s="295">
        <f t="shared" si="6"/>
        <v>103</v>
      </c>
      <c r="R13" s="295">
        <f t="shared" si="6"/>
        <v>103</v>
      </c>
      <c r="S13" s="295">
        <f t="shared" si="6"/>
        <v>103</v>
      </c>
      <c r="T13" s="295">
        <f t="shared" si="6"/>
        <v>103</v>
      </c>
      <c r="U13" s="295">
        <f t="shared" si="6"/>
        <v>103</v>
      </c>
      <c r="V13" s="295">
        <f t="shared" si="6"/>
        <v>103</v>
      </c>
    </row>
    <row r="14" spans="1:24">
      <c r="A14" s="294" t="s">
        <v>1737</v>
      </c>
      <c r="B14" s="295">
        <v>10</v>
      </c>
      <c r="C14" s="295">
        <f>B14+1</f>
        <v>11</v>
      </c>
      <c r="D14" s="295">
        <f t="shared" ref="D14:V14" si="7">C14+1</f>
        <v>12</v>
      </c>
      <c r="E14" s="295">
        <f t="shared" si="7"/>
        <v>13</v>
      </c>
      <c r="F14" s="295">
        <f t="shared" si="7"/>
        <v>14</v>
      </c>
      <c r="G14" s="295">
        <f t="shared" si="7"/>
        <v>15</v>
      </c>
      <c r="H14" s="295">
        <f t="shared" si="7"/>
        <v>16</v>
      </c>
      <c r="I14" s="295">
        <f t="shared" si="7"/>
        <v>17</v>
      </c>
      <c r="J14" s="295">
        <f t="shared" si="7"/>
        <v>18</v>
      </c>
      <c r="K14" s="295">
        <f t="shared" si="7"/>
        <v>19</v>
      </c>
      <c r="L14" s="295">
        <f t="shared" si="7"/>
        <v>20</v>
      </c>
      <c r="M14" s="295">
        <f t="shared" si="7"/>
        <v>21</v>
      </c>
      <c r="N14" s="295">
        <f t="shared" si="7"/>
        <v>22</v>
      </c>
      <c r="O14" s="295">
        <f t="shared" si="7"/>
        <v>23</v>
      </c>
      <c r="P14" s="295">
        <f t="shared" si="7"/>
        <v>24</v>
      </c>
      <c r="Q14" s="295">
        <f t="shared" si="7"/>
        <v>25</v>
      </c>
      <c r="R14" s="295">
        <f t="shared" si="7"/>
        <v>26</v>
      </c>
      <c r="S14" s="295">
        <f t="shared" si="7"/>
        <v>27</v>
      </c>
      <c r="T14" s="295">
        <f t="shared" si="7"/>
        <v>28</v>
      </c>
      <c r="U14" s="295">
        <f t="shared" si="7"/>
        <v>29</v>
      </c>
      <c r="V14" s="295">
        <f t="shared" si="7"/>
        <v>30</v>
      </c>
    </row>
    <row r="15" spans="1:24">
      <c r="A15" s="296" t="s">
        <v>1738</v>
      </c>
      <c r="B15" s="295">
        <f>All!H424</f>
        <v>0</v>
      </c>
      <c r="C15" s="295">
        <f>All!I424</f>
        <v>0</v>
      </c>
      <c r="D15" s="295">
        <f>All!J424</f>
        <v>0</v>
      </c>
      <c r="E15" s="295">
        <f>All!K424</f>
        <v>3</v>
      </c>
      <c r="F15" s="295">
        <f>All!L424</f>
        <v>1</v>
      </c>
      <c r="G15" s="295">
        <f>All!M424</f>
        <v>2</v>
      </c>
      <c r="H15" s="295">
        <f>All!N424</f>
        <v>0</v>
      </c>
      <c r="I15" s="295">
        <f>All!O424</f>
        <v>1</v>
      </c>
      <c r="J15" s="295">
        <f>All!P424</f>
        <v>0</v>
      </c>
      <c r="K15" s="295">
        <f>All!Q424</f>
        <v>0</v>
      </c>
      <c r="L15" s="295">
        <f>All!R424</f>
        <v>1</v>
      </c>
      <c r="M15" s="295">
        <f>All!S424</f>
        <v>0</v>
      </c>
      <c r="N15" s="295">
        <f>All!T424</f>
        <v>14</v>
      </c>
      <c r="O15" s="295">
        <f>All!U424</f>
        <v>2</v>
      </c>
      <c r="P15" s="295">
        <f>All!V424</f>
        <v>2</v>
      </c>
      <c r="Q15" s="295">
        <f>All!W424</f>
        <v>1</v>
      </c>
      <c r="R15" s="295">
        <f>All!X424</f>
        <v>2</v>
      </c>
      <c r="S15" s="295">
        <f>All!Y424</f>
        <v>5</v>
      </c>
      <c r="T15" s="295">
        <f>All!Z424</f>
        <v>3</v>
      </c>
      <c r="U15" s="295">
        <f>All!AA424</f>
        <v>15</v>
      </c>
      <c r="V15" s="295">
        <f>All!AB424</f>
        <v>5</v>
      </c>
      <c r="W15" s="198">
        <f>SUM(B15:V15)</f>
        <v>57</v>
      </c>
    </row>
    <row r="16" spans="1:24" ht="15.75" thickBot="1">
      <c r="A16" s="297" t="s">
        <v>1992</v>
      </c>
      <c r="B16" s="298">
        <f>All!H449</f>
        <v>0</v>
      </c>
      <c r="C16" s="298">
        <f>All!I449</f>
        <v>0</v>
      </c>
      <c r="D16" s="298">
        <f>All!J449</f>
        <v>0</v>
      </c>
      <c r="E16" s="298">
        <f>All!K449</f>
        <v>2</v>
      </c>
      <c r="F16" s="298">
        <f>All!L449</f>
        <v>0</v>
      </c>
      <c r="G16" s="298">
        <f>All!M449</f>
        <v>0</v>
      </c>
      <c r="H16" s="298">
        <f>All!N449</f>
        <v>0</v>
      </c>
      <c r="I16" s="298">
        <f>All!O449</f>
        <v>0</v>
      </c>
      <c r="J16" s="298">
        <f>All!P449</f>
        <v>0</v>
      </c>
      <c r="K16" s="298">
        <f>All!Q449</f>
        <v>0</v>
      </c>
      <c r="L16" s="298">
        <f>All!R449</f>
        <v>0</v>
      </c>
      <c r="M16" s="298">
        <f>All!S449</f>
        <v>0</v>
      </c>
      <c r="N16" s="298">
        <f>All!T449</f>
        <v>2</v>
      </c>
      <c r="O16" s="298">
        <f>All!U449</f>
        <v>1</v>
      </c>
      <c r="P16" s="298">
        <f>All!V449</f>
        <v>1</v>
      </c>
      <c r="Q16" s="298">
        <f>All!W449</f>
        <v>1</v>
      </c>
      <c r="R16" s="298">
        <f>All!X449</f>
        <v>1</v>
      </c>
      <c r="S16" s="298">
        <f>All!Y449</f>
        <v>1</v>
      </c>
      <c r="T16" s="298">
        <f>All!Z449</f>
        <v>1</v>
      </c>
      <c r="U16" s="298">
        <f>All!AA449</f>
        <v>2</v>
      </c>
      <c r="V16" s="298">
        <f>All!AB449</f>
        <v>2</v>
      </c>
    </row>
    <row r="17" spans="1:23">
      <c r="A17" s="192" t="str">
        <f>All!C425</f>
        <v>Chemistry</v>
      </c>
      <c r="B17" s="189">
        <v>104</v>
      </c>
      <c r="C17" s="189">
        <f>B17</f>
        <v>104</v>
      </c>
      <c r="D17" s="189">
        <f t="shared" ref="D17" si="8">C17</f>
        <v>104</v>
      </c>
      <c r="E17" s="189">
        <f t="shared" ref="E17" si="9">D17</f>
        <v>104</v>
      </c>
      <c r="F17" s="189">
        <f t="shared" ref="F17" si="10">E17</f>
        <v>104</v>
      </c>
      <c r="G17" s="189">
        <f t="shared" ref="G17" si="11">F17</f>
        <v>104</v>
      </c>
      <c r="H17" s="189">
        <f t="shared" ref="H17" si="12">G17</f>
        <v>104</v>
      </c>
      <c r="I17" s="189">
        <f t="shared" ref="I17" si="13">H17</f>
        <v>104</v>
      </c>
      <c r="J17" s="189">
        <f t="shared" ref="J17" si="14">I17</f>
        <v>104</v>
      </c>
      <c r="K17" s="189">
        <f t="shared" ref="K17" si="15">J17</f>
        <v>104</v>
      </c>
      <c r="L17" s="189">
        <f t="shared" ref="L17" si="16">K17</f>
        <v>104</v>
      </c>
      <c r="M17" s="189">
        <f t="shared" ref="M17" si="17">L17</f>
        <v>104</v>
      </c>
      <c r="N17" s="189">
        <f t="shared" ref="N17" si="18">M17</f>
        <v>104</v>
      </c>
      <c r="O17" s="189">
        <f t="shared" ref="O17" si="19">N17</f>
        <v>104</v>
      </c>
      <c r="P17" s="189">
        <f t="shared" ref="P17" si="20">O17</f>
        <v>104</v>
      </c>
      <c r="Q17" s="189">
        <f t="shared" ref="Q17" si="21">P17</f>
        <v>104</v>
      </c>
      <c r="R17" s="189">
        <f t="shared" ref="R17" si="22">Q17</f>
        <v>104</v>
      </c>
      <c r="S17" s="189">
        <f t="shared" ref="S17" si="23">R17</f>
        <v>104</v>
      </c>
      <c r="T17" s="189">
        <f t="shared" ref="T17" si="24">S17</f>
        <v>104</v>
      </c>
      <c r="U17" s="189">
        <f t="shared" ref="U17" si="25">T17</f>
        <v>104</v>
      </c>
      <c r="V17" s="189">
        <f t="shared" ref="V17" si="26">U17</f>
        <v>104</v>
      </c>
    </row>
    <row r="18" spans="1:23">
      <c r="A18" s="192" t="s">
        <v>1737</v>
      </c>
      <c r="B18" s="189">
        <v>10</v>
      </c>
      <c r="C18" s="189">
        <f>B18+1</f>
        <v>11</v>
      </c>
      <c r="D18" s="189">
        <f t="shared" ref="D18" si="27">C18+1</f>
        <v>12</v>
      </c>
      <c r="E18" s="189">
        <f t="shared" ref="E18" si="28">D18+1</f>
        <v>13</v>
      </c>
      <c r="F18" s="189">
        <f t="shared" ref="F18" si="29">E18+1</f>
        <v>14</v>
      </c>
      <c r="G18" s="189">
        <f t="shared" ref="G18" si="30">F18+1</f>
        <v>15</v>
      </c>
      <c r="H18" s="189">
        <f t="shared" ref="H18" si="31">G18+1</f>
        <v>16</v>
      </c>
      <c r="I18" s="189">
        <f t="shared" ref="I18" si="32">H18+1</f>
        <v>17</v>
      </c>
      <c r="J18" s="189">
        <f t="shared" ref="J18" si="33">I18+1</f>
        <v>18</v>
      </c>
      <c r="K18" s="189">
        <f t="shared" ref="K18" si="34">J18+1</f>
        <v>19</v>
      </c>
      <c r="L18" s="189">
        <f t="shared" ref="L18" si="35">K18+1</f>
        <v>20</v>
      </c>
      <c r="M18" s="189">
        <f t="shared" ref="M18" si="36">L18+1</f>
        <v>21</v>
      </c>
      <c r="N18" s="189">
        <f t="shared" ref="N18" si="37">M18+1</f>
        <v>22</v>
      </c>
      <c r="O18" s="189">
        <f t="shared" ref="O18" si="38">N18+1</f>
        <v>23</v>
      </c>
      <c r="P18" s="189">
        <f t="shared" ref="P18" si="39">O18+1</f>
        <v>24</v>
      </c>
      <c r="Q18" s="189">
        <f t="shared" ref="Q18" si="40">P18+1</f>
        <v>25</v>
      </c>
      <c r="R18" s="189">
        <f t="shared" ref="R18" si="41">Q18+1</f>
        <v>26</v>
      </c>
      <c r="S18" s="189">
        <f t="shared" ref="S18" si="42">R18+1</f>
        <v>27</v>
      </c>
      <c r="T18" s="189">
        <f t="shared" ref="T18" si="43">S18+1</f>
        <v>28</v>
      </c>
      <c r="U18" s="189">
        <f t="shared" ref="U18" si="44">T18+1</f>
        <v>29</v>
      </c>
      <c r="V18" s="189">
        <f t="shared" ref="V18" si="45">U18+1</f>
        <v>30</v>
      </c>
    </row>
    <row r="19" spans="1:23">
      <c r="A19" s="193" t="s">
        <v>1738</v>
      </c>
      <c r="B19" s="189">
        <f>All!H425</f>
        <v>0</v>
      </c>
      <c r="C19" s="189">
        <f>All!I425</f>
        <v>0</v>
      </c>
      <c r="D19" s="189">
        <f>All!J425</f>
        <v>0</v>
      </c>
      <c r="E19" s="189">
        <f>All!K425</f>
        <v>0</v>
      </c>
      <c r="F19" s="189">
        <f>All!L425</f>
        <v>0</v>
      </c>
      <c r="G19" s="189">
        <f>All!M425</f>
        <v>0</v>
      </c>
      <c r="H19" s="189">
        <f>All!N425</f>
        <v>0</v>
      </c>
      <c r="I19" s="189">
        <f>All!O425</f>
        <v>0</v>
      </c>
      <c r="J19" s="189">
        <f>All!P425</f>
        <v>0</v>
      </c>
      <c r="K19" s="189">
        <f>All!Q425</f>
        <v>0</v>
      </c>
      <c r="L19" s="189">
        <f>All!R425</f>
        <v>2</v>
      </c>
      <c r="M19" s="189">
        <f>All!S425</f>
        <v>0</v>
      </c>
      <c r="N19" s="189">
        <f>All!T425</f>
        <v>0</v>
      </c>
      <c r="O19" s="189">
        <f>All!U425</f>
        <v>0</v>
      </c>
      <c r="P19" s="189">
        <f>All!V425</f>
        <v>0</v>
      </c>
      <c r="Q19" s="189">
        <f>All!W425</f>
        <v>1</v>
      </c>
      <c r="R19" s="189">
        <f>All!X425</f>
        <v>0</v>
      </c>
      <c r="S19" s="189">
        <f>All!Y425</f>
        <v>0</v>
      </c>
      <c r="T19" s="189">
        <f>All!Z425</f>
        <v>0</v>
      </c>
      <c r="U19" s="189">
        <f>All!AA425</f>
        <v>0</v>
      </c>
      <c r="V19" s="189">
        <f>All!AB425</f>
        <v>0</v>
      </c>
      <c r="W19" s="198">
        <f>SUM(B19:V19)</f>
        <v>3</v>
      </c>
    </row>
    <row r="20" spans="1:23" ht="15.75" thickBot="1">
      <c r="A20" s="190" t="s">
        <v>1992</v>
      </c>
      <c r="B20" s="191">
        <f>All!H450</f>
        <v>0</v>
      </c>
      <c r="C20" s="191">
        <f>All!I450</f>
        <v>0</v>
      </c>
      <c r="D20" s="191">
        <f>All!J450</f>
        <v>0</v>
      </c>
      <c r="E20" s="191">
        <f>All!K450</f>
        <v>0</v>
      </c>
      <c r="F20" s="191">
        <f>All!L450</f>
        <v>0</v>
      </c>
      <c r="G20" s="191">
        <f>All!M450</f>
        <v>0</v>
      </c>
      <c r="H20" s="191">
        <f>All!N450</f>
        <v>0</v>
      </c>
      <c r="I20" s="191">
        <f>All!O450</f>
        <v>0</v>
      </c>
      <c r="J20" s="191">
        <f>All!P450</f>
        <v>0</v>
      </c>
      <c r="K20" s="191">
        <f>All!Q450</f>
        <v>0</v>
      </c>
      <c r="L20" s="191">
        <f>All!R450</f>
        <v>0</v>
      </c>
      <c r="M20" s="191">
        <f>All!S450</f>
        <v>0</v>
      </c>
      <c r="N20" s="191">
        <f>All!T450</f>
        <v>0</v>
      </c>
      <c r="O20" s="191">
        <f>All!U450</f>
        <v>0</v>
      </c>
      <c r="P20" s="191">
        <f>All!V450</f>
        <v>0</v>
      </c>
      <c r="Q20" s="191">
        <f>All!W450</f>
        <v>0</v>
      </c>
      <c r="R20" s="191">
        <f>All!X450</f>
        <v>0</v>
      </c>
      <c r="S20" s="191">
        <f>All!Y450</f>
        <v>0</v>
      </c>
      <c r="T20" s="191">
        <f>All!Z450</f>
        <v>0</v>
      </c>
      <c r="U20" s="191">
        <f>All!AA450</f>
        <v>0</v>
      </c>
      <c r="V20" s="191">
        <f>All!AB450</f>
        <v>0</v>
      </c>
    </row>
    <row r="21" spans="1:23">
      <c r="A21" s="192" t="str">
        <f>All!C426</f>
        <v>Divinity</v>
      </c>
      <c r="B21" s="189">
        <v>105</v>
      </c>
      <c r="C21" s="189">
        <f>B21</f>
        <v>105</v>
      </c>
      <c r="D21" s="189">
        <f t="shared" ref="D21" si="46">C21</f>
        <v>105</v>
      </c>
      <c r="E21" s="189">
        <f t="shared" ref="E21" si="47">D21</f>
        <v>105</v>
      </c>
      <c r="F21" s="189">
        <f t="shared" ref="F21" si="48">E21</f>
        <v>105</v>
      </c>
      <c r="G21" s="189">
        <f t="shared" ref="G21" si="49">F21</f>
        <v>105</v>
      </c>
      <c r="H21" s="189">
        <f t="shared" ref="H21" si="50">G21</f>
        <v>105</v>
      </c>
      <c r="I21" s="189">
        <f t="shared" ref="I21" si="51">H21</f>
        <v>105</v>
      </c>
      <c r="J21" s="189">
        <f t="shared" ref="J21" si="52">I21</f>
        <v>105</v>
      </c>
      <c r="K21" s="189">
        <f t="shared" ref="K21" si="53">J21</f>
        <v>105</v>
      </c>
      <c r="L21" s="189">
        <f t="shared" ref="L21" si="54">K21</f>
        <v>105</v>
      </c>
      <c r="M21" s="189">
        <f t="shared" ref="M21" si="55">L21</f>
        <v>105</v>
      </c>
      <c r="N21" s="189">
        <f t="shared" ref="N21" si="56">M21</f>
        <v>105</v>
      </c>
      <c r="O21" s="189">
        <f t="shared" ref="O21" si="57">N21</f>
        <v>105</v>
      </c>
      <c r="P21" s="189">
        <f t="shared" ref="P21" si="58">O21</f>
        <v>105</v>
      </c>
      <c r="Q21" s="189">
        <f t="shared" ref="Q21" si="59">P21</f>
        <v>105</v>
      </c>
      <c r="R21" s="189">
        <f t="shared" ref="R21" si="60">Q21</f>
        <v>105</v>
      </c>
      <c r="S21" s="189">
        <f t="shared" ref="S21" si="61">R21</f>
        <v>105</v>
      </c>
      <c r="T21" s="189">
        <f t="shared" ref="T21" si="62">S21</f>
        <v>105</v>
      </c>
      <c r="U21" s="189">
        <f t="shared" ref="U21" si="63">T21</f>
        <v>105</v>
      </c>
      <c r="V21" s="189">
        <f t="shared" ref="V21" si="64">U21</f>
        <v>105</v>
      </c>
    </row>
    <row r="22" spans="1:23">
      <c r="A22" s="192" t="s">
        <v>1737</v>
      </c>
      <c r="B22" s="189">
        <v>10</v>
      </c>
      <c r="C22" s="189">
        <f>B22+1</f>
        <v>11</v>
      </c>
      <c r="D22" s="189">
        <f t="shared" ref="D22:V22" si="65">C22+1</f>
        <v>12</v>
      </c>
      <c r="E22" s="189">
        <f t="shared" si="65"/>
        <v>13</v>
      </c>
      <c r="F22" s="189">
        <f t="shared" si="65"/>
        <v>14</v>
      </c>
      <c r="G22" s="189">
        <f t="shared" si="65"/>
        <v>15</v>
      </c>
      <c r="H22" s="189">
        <f t="shared" si="65"/>
        <v>16</v>
      </c>
      <c r="I22" s="189">
        <f t="shared" si="65"/>
        <v>17</v>
      </c>
      <c r="J22" s="189">
        <f t="shared" si="65"/>
        <v>18</v>
      </c>
      <c r="K22" s="189">
        <f t="shared" si="65"/>
        <v>19</v>
      </c>
      <c r="L22" s="189">
        <f t="shared" si="65"/>
        <v>20</v>
      </c>
      <c r="M22" s="189">
        <f t="shared" si="65"/>
        <v>21</v>
      </c>
      <c r="N22" s="189">
        <f t="shared" si="65"/>
        <v>22</v>
      </c>
      <c r="O22" s="189">
        <f t="shared" si="65"/>
        <v>23</v>
      </c>
      <c r="P22" s="189">
        <f t="shared" si="65"/>
        <v>24</v>
      </c>
      <c r="Q22" s="189">
        <f t="shared" si="65"/>
        <v>25</v>
      </c>
      <c r="R22" s="189">
        <f t="shared" si="65"/>
        <v>26</v>
      </c>
      <c r="S22" s="189">
        <f t="shared" si="65"/>
        <v>27</v>
      </c>
      <c r="T22" s="189">
        <f t="shared" si="65"/>
        <v>28</v>
      </c>
      <c r="U22" s="189">
        <f t="shared" si="65"/>
        <v>29</v>
      </c>
      <c r="V22" s="189">
        <f t="shared" si="65"/>
        <v>30</v>
      </c>
    </row>
    <row r="23" spans="1:23">
      <c r="A23" s="193" t="s">
        <v>1738</v>
      </c>
      <c r="B23" s="189">
        <f>All!H426</f>
        <v>0</v>
      </c>
      <c r="C23" s="189">
        <f>All!I426</f>
        <v>0</v>
      </c>
      <c r="D23" s="189">
        <f>All!J426</f>
        <v>0</v>
      </c>
      <c r="E23" s="189">
        <f>All!K426</f>
        <v>0</v>
      </c>
      <c r="F23" s="189">
        <f>All!L426</f>
        <v>3</v>
      </c>
      <c r="G23" s="189">
        <f>All!M426</f>
        <v>1</v>
      </c>
      <c r="H23" s="189">
        <f>All!N426</f>
        <v>0</v>
      </c>
      <c r="I23" s="189">
        <f>All!O426</f>
        <v>0</v>
      </c>
      <c r="J23" s="189">
        <f>All!P426</f>
        <v>0</v>
      </c>
      <c r="K23" s="189">
        <f>All!Q426</f>
        <v>0</v>
      </c>
      <c r="L23" s="189">
        <f>All!R426</f>
        <v>0</v>
      </c>
      <c r="M23" s="189">
        <f>All!S426</f>
        <v>0</v>
      </c>
      <c r="N23" s="189">
        <f>All!T426</f>
        <v>0</v>
      </c>
      <c r="O23" s="189">
        <f>All!U426</f>
        <v>0</v>
      </c>
      <c r="P23" s="189">
        <f>All!V426</f>
        <v>0</v>
      </c>
      <c r="Q23" s="189">
        <f>All!W426</f>
        <v>0</v>
      </c>
      <c r="R23" s="189">
        <f>All!X426</f>
        <v>0</v>
      </c>
      <c r="S23" s="189">
        <f>All!Y426</f>
        <v>0</v>
      </c>
      <c r="T23" s="189">
        <f>All!Z426</f>
        <v>0</v>
      </c>
      <c r="U23" s="189">
        <f>All!AA426</f>
        <v>0</v>
      </c>
      <c r="V23" s="189">
        <f>All!AB426</f>
        <v>0</v>
      </c>
      <c r="W23" s="198">
        <f>SUM(B23:V23)</f>
        <v>4</v>
      </c>
    </row>
    <row r="24" spans="1:23" ht="15.75" thickBot="1">
      <c r="A24" s="190" t="s">
        <v>1992</v>
      </c>
      <c r="B24" s="191">
        <f>All!H451</f>
        <v>0</v>
      </c>
      <c r="C24" s="191">
        <f>All!I451</f>
        <v>0</v>
      </c>
      <c r="D24" s="191">
        <f>All!J451</f>
        <v>0</v>
      </c>
      <c r="E24" s="191">
        <f>All!K451</f>
        <v>0</v>
      </c>
      <c r="F24" s="191">
        <f>All!L451</f>
        <v>0</v>
      </c>
      <c r="G24" s="191">
        <f>All!M451</f>
        <v>0</v>
      </c>
      <c r="H24" s="191">
        <f>All!N451</f>
        <v>0</v>
      </c>
      <c r="I24" s="191">
        <f>All!O451</f>
        <v>0</v>
      </c>
      <c r="J24" s="191">
        <f>All!P451</f>
        <v>0</v>
      </c>
      <c r="K24" s="191">
        <f>All!Q451</f>
        <v>0</v>
      </c>
      <c r="L24" s="191">
        <f>All!R451</f>
        <v>0</v>
      </c>
      <c r="M24" s="191">
        <f>All!S451</f>
        <v>0</v>
      </c>
      <c r="N24" s="191">
        <f>All!T451</f>
        <v>0</v>
      </c>
      <c r="O24" s="191">
        <f>All!U451</f>
        <v>0</v>
      </c>
      <c r="P24" s="191">
        <f>All!V451</f>
        <v>0</v>
      </c>
      <c r="Q24" s="191">
        <f>All!W451</f>
        <v>0</v>
      </c>
      <c r="R24" s="191">
        <f>All!X451</f>
        <v>0</v>
      </c>
      <c r="S24" s="191">
        <f>All!Y451</f>
        <v>0</v>
      </c>
      <c r="T24" s="191">
        <f>All!Z451</f>
        <v>0</v>
      </c>
      <c r="U24" s="191">
        <f>All!AA451</f>
        <v>0</v>
      </c>
      <c r="V24" s="191">
        <f>All!AB451</f>
        <v>0</v>
      </c>
    </row>
    <row r="25" spans="1:23">
      <c r="A25" s="294" t="str">
        <f>All!C427</f>
        <v>Economics</v>
      </c>
      <c r="B25" s="295">
        <v>106</v>
      </c>
      <c r="C25" s="295">
        <f>B25</f>
        <v>106</v>
      </c>
      <c r="D25" s="295">
        <f t="shared" ref="D25" si="66">C25</f>
        <v>106</v>
      </c>
      <c r="E25" s="295">
        <f t="shared" ref="E25" si="67">D25</f>
        <v>106</v>
      </c>
      <c r="F25" s="295">
        <f t="shared" ref="F25" si="68">E25</f>
        <v>106</v>
      </c>
      <c r="G25" s="295">
        <f t="shared" ref="G25" si="69">F25</f>
        <v>106</v>
      </c>
      <c r="H25" s="295">
        <f t="shared" ref="H25" si="70">G25</f>
        <v>106</v>
      </c>
      <c r="I25" s="295">
        <f t="shared" ref="I25" si="71">H25</f>
        <v>106</v>
      </c>
      <c r="J25" s="295">
        <f t="shared" ref="J25" si="72">I25</f>
        <v>106</v>
      </c>
      <c r="K25" s="295">
        <f t="shared" ref="K25" si="73">J25</f>
        <v>106</v>
      </c>
      <c r="L25" s="295">
        <f t="shared" ref="L25" si="74">K25</f>
        <v>106</v>
      </c>
      <c r="M25" s="295">
        <f t="shared" ref="M25" si="75">L25</f>
        <v>106</v>
      </c>
      <c r="N25" s="295">
        <f t="shared" ref="N25" si="76">M25</f>
        <v>106</v>
      </c>
      <c r="O25" s="295">
        <f t="shared" ref="O25" si="77">N25</f>
        <v>106</v>
      </c>
      <c r="P25" s="295">
        <f t="shared" ref="P25" si="78">O25</f>
        <v>106</v>
      </c>
      <c r="Q25" s="295">
        <f t="shared" ref="Q25" si="79">P25</f>
        <v>106</v>
      </c>
      <c r="R25" s="295">
        <f t="shared" ref="R25" si="80">Q25</f>
        <v>106</v>
      </c>
      <c r="S25" s="295">
        <f t="shared" ref="S25" si="81">R25</f>
        <v>106</v>
      </c>
      <c r="T25" s="295">
        <f t="shared" ref="T25" si="82">S25</f>
        <v>106</v>
      </c>
      <c r="U25" s="295">
        <f t="shared" ref="U25" si="83">T25</f>
        <v>106</v>
      </c>
      <c r="V25" s="295">
        <f t="shared" ref="V25" si="84">U25</f>
        <v>106</v>
      </c>
    </row>
    <row r="26" spans="1:23">
      <c r="A26" s="294" t="s">
        <v>1737</v>
      </c>
      <c r="B26" s="295">
        <v>10</v>
      </c>
      <c r="C26" s="295">
        <f>B26+1</f>
        <v>11</v>
      </c>
      <c r="D26" s="295">
        <f t="shared" ref="D26:V26" si="85">C26+1</f>
        <v>12</v>
      </c>
      <c r="E26" s="295">
        <f t="shared" si="85"/>
        <v>13</v>
      </c>
      <c r="F26" s="295">
        <f t="shared" si="85"/>
        <v>14</v>
      </c>
      <c r="G26" s="295">
        <f t="shared" si="85"/>
        <v>15</v>
      </c>
      <c r="H26" s="295">
        <f t="shared" si="85"/>
        <v>16</v>
      </c>
      <c r="I26" s="295">
        <f t="shared" si="85"/>
        <v>17</v>
      </c>
      <c r="J26" s="295">
        <f t="shared" si="85"/>
        <v>18</v>
      </c>
      <c r="K26" s="295">
        <f t="shared" si="85"/>
        <v>19</v>
      </c>
      <c r="L26" s="295">
        <f t="shared" si="85"/>
        <v>20</v>
      </c>
      <c r="M26" s="295">
        <f t="shared" si="85"/>
        <v>21</v>
      </c>
      <c r="N26" s="295">
        <f t="shared" si="85"/>
        <v>22</v>
      </c>
      <c r="O26" s="295">
        <f t="shared" si="85"/>
        <v>23</v>
      </c>
      <c r="P26" s="295">
        <f t="shared" si="85"/>
        <v>24</v>
      </c>
      <c r="Q26" s="295">
        <f t="shared" si="85"/>
        <v>25</v>
      </c>
      <c r="R26" s="295">
        <f t="shared" si="85"/>
        <v>26</v>
      </c>
      <c r="S26" s="295">
        <f t="shared" si="85"/>
        <v>27</v>
      </c>
      <c r="T26" s="295">
        <f t="shared" si="85"/>
        <v>28</v>
      </c>
      <c r="U26" s="295">
        <f t="shared" si="85"/>
        <v>29</v>
      </c>
      <c r="V26" s="295">
        <f t="shared" si="85"/>
        <v>30</v>
      </c>
    </row>
    <row r="27" spans="1:23">
      <c r="A27" s="296" t="s">
        <v>1738</v>
      </c>
      <c r="B27" s="295">
        <f>All!H427</f>
        <v>3</v>
      </c>
      <c r="C27" s="295">
        <f>All!I427</f>
        <v>1</v>
      </c>
      <c r="D27" s="295">
        <f>All!J427</f>
        <v>11</v>
      </c>
      <c r="E27" s="295">
        <f>All!K427</f>
        <v>5</v>
      </c>
      <c r="F27" s="295">
        <f>All!L427</f>
        <v>2</v>
      </c>
      <c r="G27" s="295">
        <f>All!M427</f>
        <v>16</v>
      </c>
      <c r="H27" s="295">
        <f>All!N427</f>
        <v>37</v>
      </c>
      <c r="I27" s="295">
        <f>All!O427</f>
        <v>2</v>
      </c>
      <c r="J27" s="295">
        <f>All!P427</f>
        <v>0</v>
      </c>
      <c r="K27" s="295">
        <f>All!Q427</f>
        <v>2</v>
      </c>
      <c r="L27" s="295">
        <f>All!R427</f>
        <v>1</v>
      </c>
      <c r="M27" s="295">
        <f>All!S427</f>
        <v>0</v>
      </c>
      <c r="N27" s="295">
        <f>All!T427</f>
        <v>5</v>
      </c>
      <c r="O27" s="295">
        <f>All!U427</f>
        <v>19</v>
      </c>
      <c r="P27" s="295">
        <f>All!V427</f>
        <v>0</v>
      </c>
      <c r="Q27" s="295">
        <f>All!W427</f>
        <v>3</v>
      </c>
      <c r="R27" s="295">
        <f>All!X427</f>
        <v>3</v>
      </c>
      <c r="S27" s="295">
        <f>All!Y427</f>
        <v>1</v>
      </c>
      <c r="T27" s="295">
        <f>All!Z427</f>
        <v>2</v>
      </c>
      <c r="U27" s="295">
        <f>All!AA427</f>
        <v>2</v>
      </c>
      <c r="V27" s="295">
        <f>All!AB427</f>
        <v>2</v>
      </c>
      <c r="W27" s="198">
        <f>SUM(B27:V27)</f>
        <v>117</v>
      </c>
    </row>
    <row r="28" spans="1:23" ht="15.75" thickBot="1">
      <c r="A28" s="297" t="s">
        <v>1992</v>
      </c>
      <c r="B28" s="298">
        <f>All!H452</f>
        <v>1</v>
      </c>
      <c r="C28" s="298">
        <f>All!I452</f>
        <v>0</v>
      </c>
      <c r="D28" s="298">
        <f>All!J452</f>
        <v>3</v>
      </c>
      <c r="E28" s="298">
        <f>All!K452</f>
        <v>4</v>
      </c>
      <c r="F28" s="298">
        <f>All!L452</f>
        <v>1</v>
      </c>
      <c r="G28" s="298">
        <f>All!M452</f>
        <v>5</v>
      </c>
      <c r="H28" s="298">
        <f>All!N452</f>
        <v>5</v>
      </c>
      <c r="I28" s="298">
        <f>All!O452</f>
        <v>1</v>
      </c>
      <c r="J28" s="298">
        <f>All!P452</f>
        <v>0</v>
      </c>
      <c r="K28" s="298">
        <f>All!Q452</f>
        <v>1</v>
      </c>
      <c r="L28" s="298">
        <f>All!R452</f>
        <v>1</v>
      </c>
      <c r="M28" s="298">
        <f>All!S452</f>
        <v>0</v>
      </c>
      <c r="N28" s="298">
        <f>All!T452</f>
        <v>3</v>
      </c>
      <c r="O28" s="298">
        <f>All!U452</f>
        <v>3</v>
      </c>
      <c r="P28" s="298">
        <f>All!V452</f>
        <v>0</v>
      </c>
      <c r="Q28" s="298">
        <f>All!W452</f>
        <v>3</v>
      </c>
      <c r="R28" s="298">
        <f>All!X452</f>
        <v>3</v>
      </c>
      <c r="S28" s="298">
        <f>All!Y452</f>
        <v>1</v>
      </c>
      <c r="T28" s="298">
        <f>All!Z452</f>
        <v>2</v>
      </c>
      <c r="U28" s="298">
        <f>All!AA452</f>
        <v>2</v>
      </c>
      <c r="V28" s="298">
        <f>All!AB452</f>
        <v>2</v>
      </c>
    </row>
    <row r="29" spans="1:23">
      <c r="A29" s="192" t="str">
        <f>All!C428</f>
        <v>Engineering</v>
      </c>
      <c r="B29" s="189">
        <v>107</v>
      </c>
      <c r="C29" s="189">
        <f>B29</f>
        <v>107</v>
      </c>
      <c r="D29" s="189">
        <f t="shared" ref="D29" si="86">C29</f>
        <v>107</v>
      </c>
      <c r="E29" s="189">
        <f t="shared" ref="E29" si="87">D29</f>
        <v>107</v>
      </c>
      <c r="F29" s="189">
        <f t="shared" ref="F29" si="88">E29</f>
        <v>107</v>
      </c>
      <c r="G29" s="189">
        <f t="shared" ref="G29" si="89">F29</f>
        <v>107</v>
      </c>
      <c r="H29" s="189">
        <f t="shared" ref="H29" si="90">G29</f>
        <v>107</v>
      </c>
      <c r="I29" s="189">
        <f t="shared" ref="I29" si="91">H29</f>
        <v>107</v>
      </c>
      <c r="J29" s="189">
        <f t="shared" ref="J29" si="92">I29</f>
        <v>107</v>
      </c>
      <c r="K29" s="189">
        <f t="shared" ref="K29" si="93">J29</f>
        <v>107</v>
      </c>
      <c r="L29" s="189">
        <f t="shared" ref="L29" si="94">K29</f>
        <v>107</v>
      </c>
      <c r="M29" s="189">
        <f t="shared" ref="M29" si="95">L29</f>
        <v>107</v>
      </c>
      <c r="N29" s="189">
        <f t="shared" ref="N29" si="96">M29</f>
        <v>107</v>
      </c>
      <c r="O29" s="189">
        <f t="shared" ref="O29" si="97">N29</f>
        <v>107</v>
      </c>
      <c r="P29" s="189">
        <f t="shared" ref="P29" si="98">O29</f>
        <v>107</v>
      </c>
      <c r="Q29" s="189">
        <f t="shared" ref="Q29" si="99">P29</f>
        <v>107</v>
      </c>
      <c r="R29" s="189">
        <f t="shared" ref="R29" si="100">Q29</f>
        <v>107</v>
      </c>
      <c r="S29" s="189">
        <f t="shared" ref="S29" si="101">R29</f>
        <v>107</v>
      </c>
      <c r="T29" s="189">
        <f t="shared" ref="T29" si="102">S29</f>
        <v>107</v>
      </c>
      <c r="U29" s="189">
        <f t="shared" ref="U29" si="103">T29</f>
        <v>107</v>
      </c>
      <c r="V29" s="189">
        <f t="shared" ref="V29" si="104">U29</f>
        <v>107</v>
      </c>
    </row>
    <row r="30" spans="1:23">
      <c r="A30" s="192" t="s">
        <v>1737</v>
      </c>
      <c r="B30" s="189">
        <v>10</v>
      </c>
      <c r="C30" s="189">
        <f>B30+1</f>
        <v>11</v>
      </c>
      <c r="D30" s="189">
        <f t="shared" ref="D30:V30" si="105">C30+1</f>
        <v>12</v>
      </c>
      <c r="E30" s="189">
        <f t="shared" si="105"/>
        <v>13</v>
      </c>
      <c r="F30" s="189">
        <f t="shared" si="105"/>
        <v>14</v>
      </c>
      <c r="G30" s="189">
        <f t="shared" si="105"/>
        <v>15</v>
      </c>
      <c r="H30" s="189">
        <f t="shared" si="105"/>
        <v>16</v>
      </c>
      <c r="I30" s="189">
        <f t="shared" si="105"/>
        <v>17</v>
      </c>
      <c r="J30" s="189">
        <f t="shared" si="105"/>
        <v>18</v>
      </c>
      <c r="K30" s="189">
        <f t="shared" si="105"/>
        <v>19</v>
      </c>
      <c r="L30" s="189">
        <f t="shared" si="105"/>
        <v>20</v>
      </c>
      <c r="M30" s="189">
        <f t="shared" si="105"/>
        <v>21</v>
      </c>
      <c r="N30" s="189">
        <f t="shared" si="105"/>
        <v>22</v>
      </c>
      <c r="O30" s="189">
        <f t="shared" si="105"/>
        <v>23</v>
      </c>
      <c r="P30" s="189">
        <f t="shared" si="105"/>
        <v>24</v>
      </c>
      <c r="Q30" s="189">
        <f t="shared" si="105"/>
        <v>25</v>
      </c>
      <c r="R30" s="189">
        <f t="shared" si="105"/>
        <v>26</v>
      </c>
      <c r="S30" s="189">
        <f t="shared" si="105"/>
        <v>27</v>
      </c>
      <c r="T30" s="189">
        <f t="shared" si="105"/>
        <v>28</v>
      </c>
      <c r="U30" s="189">
        <f t="shared" si="105"/>
        <v>29</v>
      </c>
      <c r="V30" s="189">
        <f t="shared" si="105"/>
        <v>30</v>
      </c>
    </row>
    <row r="31" spans="1:23">
      <c r="A31" s="193" t="s">
        <v>1738</v>
      </c>
      <c r="B31" s="189">
        <f>All!H428</f>
        <v>1</v>
      </c>
      <c r="C31" s="189">
        <f>All!I428</f>
        <v>0</v>
      </c>
      <c r="D31" s="189">
        <f>All!J428</f>
        <v>0</v>
      </c>
      <c r="E31" s="189">
        <f>All!K428</f>
        <v>4</v>
      </c>
      <c r="F31" s="189">
        <f>All!L428</f>
        <v>1</v>
      </c>
      <c r="G31" s="189">
        <f>All!M428</f>
        <v>2</v>
      </c>
      <c r="H31" s="189">
        <f>All!N428</f>
        <v>0</v>
      </c>
      <c r="I31" s="189">
        <f>All!O428</f>
        <v>3</v>
      </c>
      <c r="J31" s="189">
        <f>All!P428</f>
        <v>3</v>
      </c>
      <c r="K31" s="189">
        <f>All!Q428</f>
        <v>0</v>
      </c>
      <c r="L31" s="189">
        <f>All!R428</f>
        <v>8</v>
      </c>
      <c r="M31" s="189">
        <f>All!S428</f>
        <v>8</v>
      </c>
      <c r="N31" s="189">
        <f>All!T428</f>
        <v>3</v>
      </c>
      <c r="O31" s="189">
        <f>All!U428</f>
        <v>1</v>
      </c>
      <c r="P31" s="189">
        <f>All!V428</f>
        <v>7</v>
      </c>
      <c r="Q31" s="189">
        <f>All!W428</f>
        <v>7</v>
      </c>
      <c r="R31" s="189">
        <f>All!X428</f>
        <v>5</v>
      </c>
      <c r="S31" s="189">
        <f>All!Y428</f>
        <v>4</v>
      </c>
      <c r="T31" s="189">
        <f>All!Z428</f>
        <v>8</v>
      </c>
      <c r="U31" s="189">
        <f>All!AA428</f>
        <v>1</v>
      </c>
      <c r="V31" s="189">
        <f>All!AB428</f>
        <v>1</v>
      </c>
      <c r="W31" s="198">
        <f>SUM(B31:V31)</f>
        <v>67</v>
      </c>
    </row>
    <row r="32" spans="1:23" ht="15.75" thickBot="1">
      <c r="A32" s="190" t="s">
        <v>1992</v>
      </c>
      <c r="B32" s="191">
        <f>All!H453</f>
        <v>1</v>
      </c>
      <c r="C32" s="191">
        <f>All!I453</f>
        <v>0</v>
      </c>
      <c r="D32" s="191">
        <f>All!J453</f>
        <v>0</v>
      </c>
      <c r="E32" s="191">
        <f>All!K453</f>
        <v>3</v>
      </c>
      <c r="F32" s="191">
        <f>All!L453</f>
        <v>0</v>
      </c>
      <c r="G32" s="191">
        <f>All!M453</f>
        <v>1</v>
      </c>
      <c r="H32" s="191">
        <f>All!N453</f>
        <v>0</v>
      </c>
      <c r="I32" s="191">
        <f>All!O453</f>
        <v>3</v>
      </c>
      <c r="J32" s="191">
        <f>All!P453</f>
        <v>1</v>
      </c>
      <c r="K32" s="191">
        <f>All!Q453</f>
        <v>0</v>
      </c>
      <c r="L32" s="191">
        <f>All!R453</f>
        <v>2</v>
      </c>
      <c r="M32" s="191">
        <f>All!S453</f>
        <v>4</v>
      </c>
      <c r="N32" s="191">
        <f>All!T453</f>
        <v>3</v>
      </c>
      <c r="O32" s="191">
        <f>All!U453</f>
        <v>1</v>
      </c>
      <c r="P32" s="191">
        <f>All!V453</f>
        <v>6</v>
      </c>
      <c r="Q32" s="191">
        <f>All!W453</f>
        <v>5</v>
      </c>
      <c r="R32" s="191">
        <f>All!X453</f>
        <v>4</v>
      </c>
      <c r="S32" s="191">
        <f>All!Y453</f>
        <v>4</v>
      </c>
      <c r="T32" s="191">
        <f>All!Z453</f>
        <v>7</v>
      </c>
      <c r="U32" s="191">
        <f>All!AA453</f>
        <v>1</v>
      </c>
      <c r="V32" s="191">
        <f>All!AB453</f>
        <v>1</v>
      </c>
    </row>
    <row r="33" spans="1:23">
      <c r="A33" s="294" t="str">
        <f>All!C429</f>
        <v>Environmental studies</v>
      </c>
      <c r="B33" s="295">
        <v>108</v>
      </c>
      <c r="C33" s="295">
        <f>B33</f>
        <v>108</v>
      </c>
      <c r="D33" s="295">
        <f t="shared" ref="D33" si="106">C33</f>
        <v>108</v>
      </c>
      <c r="E33" s="295">
        <f t="shared" ref="E33" si="107">D33</f>
        <v>108</v>
      </c>
      <c r="F33" s="295">
        <f t="shared" ref="F33" si="108">E33</f>
        <v>108</v>
      </c>
      <c r="G33" s="295">
        <f t="shared" ref="G33" si="109">F33</f>
        <v>108</v>
      </c>
      <c r="H33" s="295">
        <f t="shared" ref="H33" si="110">G33</f>
        <v>108</v>
      </c>
      <c r="I33" s="295">
        <f t="shared" ref="I33" si="111">H33</f>
        <v>108</v>
      </c>
      <c r="J33" s="295">
        <f t="shared" ref="J33" si="112">I33</f>
        <v>108</v>
      </c>
      <c r="K33" s="295">
        <f t="shared" ref="K33" si="113">J33</f>
        <v>108</v>
      </c>
      <c r="L33" s="295">
        <f t="shared" ref="L33" si="114">K33</f>
        <v>108</v>
      </c>
      <c r="M33" s="295">
        <f t="shared" ref="M33" si="115">L33</f>
        <v>108</v>
      </c>
      <c r="N33" s="295">
        <f t="shared" ref="N33" si="116">M33</f>
        <v>108</v>
      </c>
      <c r="O33" s="295">
        <f t="shared" ref="O33" si="117">N33</f>
        <v>108</v>
      </c>
      <c r="P33" s="295">
        <f t="shared" ref="P33" si="118">O33</f>
        <v>108</v>
      </c>
      <c r="Q33" s="295">
        <f t="shared" ref="Q33" si="119">P33</f>
        <v>108</v>
      </c>
      <c r="R33" s="295">
        <f t="shared" ref="R33" si="120">Q33</f>
        <v>108</v>
      </c>
      <c r="S33" s="295">
        <f t="shared" ref="S33" si="121">R33</f>
        <v>108</v>
      </c>
      <c r="T33" s="295">
        <f t="shared" ref="T33" si="122">S33</f>
        <v>108</v>
      </c>
      <c r="U33" s="295">
        <f t="shared" ref="U33" si="123">T33</f>
        <v>108</v>
      </c>
      <c r="V33" s="295">
        <f t="shared" ref="V33" si="124">U33</f>
        <v>108</v>
      </c>
    </row>
    <row r="34" spans="1:23">
      <c r="A34" s="294" t="s">
        <v>1737</v>
      </c>
      <c r="B34" s="295">
        <v>10</v>
      </c>
      <c r="C34" s="295">
        <f>B34+1</f>
        <v>11</v>
      </c>
      <c r="D34" s="295">
        <f t="shared" ref="D34:V34" si="125">C34+1</f>
        <v>12</v>
      </c>
      <c r="E34" s="295">
        <f t="shared" si="125"/>
        <v>13</v>
      </c>
      <c r="F34" s="295">
        <f t="shared" si="125"/>
        <v>14</v>
      </c>
      <c r="G34" s="295">
        <f t="shared" si="125"/>
        <v>15</v>
      </c>
      <c r="H34" s="295">
        <f t="shared" si="125"/>
        <v>16</v>
      </c>
      <c r="I34" s="295">
        <f t="shared" si="125"/>
        <v>17</v>
      </c>
      <c r="J34" s="295">
        <f t="shared" si="125"/>
        <v>18</v>
      </c>
      <c r="K34" s="295">
        <f t="shared" si="125"/>
        <v>19</v>
      </c>
      <c r="L34" s="295">
        <f t="shared" si="125"/>
        <v>20</v>
      </c>
      <c r="M34" s="295">
        <f t="shared" si="125"/>
        <v>21</v>
      </c>
      <c r="N34" s="295">
        <f t="shared" si="125"/>
        <v>22</v>
      </c>
      <c r="O34" s="295">
        <f t="shared" si="125"/>
        <v>23</v>
      </c>
      <c r="P34" s="295">
        <f t="shared" si="125"/>
        <v>24</v>
      </c>
      <c r="Q34" s="295">
        <f t="shared" si="125"/>
        <v>25</v>
      </c>
      <c r="R34" s="295">
        <f t="shared" si="125"/>
        <v>26</v>
      </c>
      <c r="S34" s="295">
        <f t="shared" si="125"/>
        <v>27</v>
      </c>
      <c r="T34" s="295">
        <f t="shared" si="125"/>
        <v>28</v>
      </c>
      <c r="U34" s="295">
        <f t="shared" si="125"/>
        <v>29</v>
      </c>
      <c r="V34" s="295">
        <f t="shared" si="125"/>
        <v>30</v>
      </c>
    </row>
    <row r="35" spans="1:23">
      <c r="A35" s="296" t="s">
        <v>1738</v>
      </c>
      <c r="B35" s="295">
        <f>All!H429</f>
        <v>1</v>
      </c>
      <c r="C35" s="295">
        <f>All!I429</f>
        <v>1</v>
      </c>
      <c r="D35" s="295">
        <f>All!J429</f>
        <v>0</v>
      </c>
      <c r="E35" s="295">
        <f>All!K429</f>
        <v>10</v>
      </c>
      <c r="F35" s="295">
        <f>All!L429</f>
        <v>11</v>
      </c>
      <c r="G35" s="295">
        <f>All!M429</f>
        <v>15</v>
      </c>
      <c r="H35" s="295">
        <f>All!N429</f>
        <v>0</v>
      </c>
      <c r="I35" s="295">
        <f>All!O429</f>
        <v>3</v>
      </c>
      <c r="J35" s="295">
        <f>All!P429</f>
        <v>4</v>
      </c>
      <c r="K35" s="295">
        <f>All!Q429</f>
        <v>1</v>
      </c>
      <c r="L35" s="295">
        <f>All!R429</f>
        <v>6</v>
      </c>
      <c r="M35" s="295">
        <f>All!S429</f>
        <v>2</v>
      </c>
      <c r="N35" s="295">
        <f>All!T429</f>
        <v>13</v>
      </c>
      <c r="O35" s="295">
        <f>All!U429</f>
        <v>8</v>
      </c>
      <c r="P35" s="295">
        <f>All!V429</f>
        <v>2</v>
      </c>
      <c r="Q35" s="295">
        <f>All!W429</f>
        <v>8</v>
      </c>
      <c r="R35" s="295">
        <f>All!X429</f>
        <v>7</v>
      </c>
      <c r="S35" s="295">
        <f>All!Y429</f>
        <v>7</v>
      </c>
      <c r="T35" s="295">
        <f>All!Z429</f>
        <v>9</v>
      </c>
      <c r="U35" s="295">
        <f>All!AA429</f>
        <v>4</v>
      </c>
      <c r="V35" s="295">
        <f>All!AB429</f>
        <v>3</v>
      </c>
      <c r="W35" s="198">
        <f>SUM(B35:V35)</f>
        <v>115</v>
      </c>
    </row>
    <row r="36" spans="1:23" ht="15.75" thickBot="1">
      <c r="A36" s="297" t="s">
        <v>1992</v>
      </c>
      <c r="B36" s="298">
        <f>All!H454</f>
        <v>1</v>
      </c>
      <c r="C36" s="298">
        <f>All!I454</f>
        <v>1</v>
      </c>
      <c r="D36" s="298">
        <f>All!J454</f>
        <v>0</v>
      </c>
      <c r="E36" s="298">
        <f>All!K454</f>
        <v>4</v>
      </c>
      <c r="F36" s="298">
        <f>All!L454</f>
        <v>2</v>
      </c>
      <c r="G36" s="298">
        <f>All!M454</f>
        <v>4</v>
      </c>
      <c r="H36" s="298">
        <f>All!N454</f>
        <v>0</v>
      </c>
      <c r="I36" s="298">
        <f>All!O454</f>
        <v>1</v>
      </c>
      <c r="J36" s="298">
        <f>All!P454</f>
        <v>2</v>
      </c>
      <c r="K36" s="298">
        <f>All!Q454</f>
        <v>1</v>
      </c>
      <c r="L36" s="298">
        <f>All!R454</f>
        <v>3</v>
      </c>
      <c r="M36" s="298">
        <f>All!S454</f>
        <v>1</v>
      </c>
      <c r="N36" s="298">
        <f>All!T454</f>
        <v>3</v>
      </c>
      <c r="O36" s="298">
        <f>All!U454</f>
        <v>3</v>
      </c>
      <c r="P36" s="298">
        <f>All!V454</f>
        <v>0</v>
      </c>
      <c r="Q36" s="298">
        <f>All!W454</f>
        <v>4</v>
      </c>
      <c r="R36" s="298">
        <f>All!X454</f>
        <v>2</v>
      </c>
      <c r="S36" s="298">
        <f>All!Y454</f>
        <v>3</v>
      </c>
      <c r="T36" s="298">
        <f>All!Z454</f>
        <v>4</v>
      </c>
      <c r="U36" s="298">
        <f>All!AA454</f>
        <v>2</v>
      </c>
      <c r="V36" s="298">
        <f>All!AB454</f>
        <v>1</v>
      </c>
    </row>
    <row r="37" spans="1:23">
      <c r="A37" s="294" t="str">
        <f>All!C430</f>
        <v>FES</v>
      </c>
      <c r="B37" s="295">
        <v>109</v>
      </c>
      <c r="C37" s="295">
        <f>B37</f>
        <v>109</v>
      </c>
      <c r="D37" s="295">
        <f t="shared" ref="D37" si="126">C37</f>
        <v>109</v>
      </c>
      <c r="E37" s="295">
        <f t="shared" ref="E37" si="127">D37</f>
        <v>109</v>
      </c>
      <c r="F37" s="295">
        <f t="shared" ref="F37" si="128">E37</f>
        <v>109</v>
      </c>
      <c r="G37" s="295">
        <f t="shared" ref="G37" si="129">F37</f>
        <v>109</v>
      </c>
      <c r="H37" s="295">
        <f t="shared" ref="H37" si="130">G37</f>
        <v>109</v>
      </c>
      <c r="I37" s="295">
        <f t="shared" ref="I37" si="131">H37</f>
        <v>109</v>
      </c>
      <c r="J37" s="295">
        <f t="shared" ref="J37" si="132">I37</f>
        <v>109</v>
      </c>
      <c r="K37" s="295">
        <f t="shared" ref="K37" si="133">J37</f>
        <v>109</v>
      </c>
      <c r="L37" s="295">
        <f t="shared" ref="L37" si="134">K37</f>
        <v>109</v>
      </c>
      <c r="M37" s="295">
        <f t="shared" ref="M37" si="135">L37</f>
        <v>109</v>
      </c>
      <c r="N37" s="295">
        <f t="shared" ref="N37" si="136">M37</f>
        <v>109</v>
      </c>
      <c r="O37" s="295">
        <f t="shared" ref="O37" si="137">N37</f>
        <v>109</v>
      </c>
      <c r="P37" s="295">
        <f t="shared" ref="P37" si="138">O37</f>
        <v>109</v>
      </c>
      <c r="Q37" s="295">
        <f t="shared" ref="Q37" si="139">P37</f>
        <v>109</v>
      </c>
      <c r="R37" s="295">
        <f t="shared" ref="R37" si="140">Q37</f>
        <v>109</v>
      </c>
      <c r="S37" s="295">
        <f t="shared" ref="S37" si="141">R37</f>
        <v>109</v>
      </c>
      <c r="T37" s="295">
        <f t="shared" ref="T37" si="142">S37</f>
        <v>109</v>
      </c>
      <c r="U37" s="295">
        <f t="shared" ref="U37" si="143">T37</f>
        <v>109</v>
      </c>
      <c r="V37" s="295">
        <f t="shared" ref="V37" si="144">U37</f>
        <v>109</v>
      </c>
    </row>
    <row r="38" spans="1:23">
      <c r="A38" s="294" t="s">
        <v>1737</v>
      </c>
      <c r="B38" s="295">
        <v>10</v>
      </c>
      <c r="C38" s="295">
        <f>B38+1</f>
        <v>11</v>
      </c>
      <c r="D38" s="295">
        <f t="shared" ref="D38:V38" si="145">C38+1</f>
        <v>12</v>
      </c>
      <c r="E38" s="295">
        <f t="shared" si="145"/>
        <v>13</v>
      </c>
      <c r="F38" s="295">
        <f t="shared" si="145"/>
        <v>14</v>
      </c>
      <c r="G38" s="295">
        <f t="shared" si="145"/>
        <v>15</v>
      </c>
      <c r="H38" s="295">
        <f t="shared" si="145"/>
        <v>16</v>
      </c>
      <c r="I38" s="295">
        <f t="shared" si="145"/>
        <v>17</v>
      </c>
      <c r="J38" s="295">
        <f t="shared" si="145"/>
        <v>18</v>
      </c>
      <c r="K38" s="295">
        <f t="shared" si="145"/>
        <v>19</v>
      </c>
      <c r="L38" s="295">
        <f t="shared" si="145"/>
        <v>20</v>
      </c>
      <c r="M38" s="295">
        <f t="shared" si="145"/>
        <v>21</v>
      </c>
      <c r="N38" s="295">
        <f t="shared" si="145"/>
        <v>22</v>
      </c>
      <c r="O38" s="295">
        <f t="shared" si="145"/>
        <v>23</v>
      </c>
      <c r="P38" s="295">
        <f t="shared" si="145"/>
        <v>24</v>
      </c>
      <c r="Q38" s="295">
        <f t="shared" si="145"/>
        <v>25</v>
      </c>
      <c r="R38" s="295">
        <f t="shared" si="145"/>
        <v>26</v>
      </c>
      <c r="S38" s="295">
        <f t="shared" si="145"/>
        <v>27</v>
      </c>
      <c r="T38" s="295">
        <f t="shared" si="145"/>
        <v>28</v>
      </c>
      <c r="U38" s="295">
        <f t="shared" si="145"/>
        <v>29</v>
      </c>
      <c r="V38" s="295">
        <f t="shared" si="145"/>
        <v>30</v>
      </c>
    </row>
    <row r="39" spans="1:23">
      <c r="A39" s="296" t="s">
        <v>1738</v>
      </c>
      <c r="B39" s="295">
        <f>All!H430</f>
        <v>23</v>
      </c>
      <c r="C39" s="295">
        <f>All!I430</f>
        <v>6</v>
      </c>
      <c r="D39" s="295">
        <f>All!J430</f>
        <v>24</v>
      </c>
      <c r="E39" s="295">
        <f>All!K430</f>
        <v>32</v>
      </c>
      <c r="F39" s="295">
        <f>All!L430</f>
        <v>30</v>
      </c>
      <c r="G39" s="295">
        <f>All!M430</f>
        <v>54</v>
      </c>
      <c r="H39" s="295">
        <f>All!N430</f>
        <v>26</v>
      </c>
      <c r="I39" s="295">
        <f>All!O430</f>
        <v>14</v>
      </c>
      <c r="J39" s="295">
        <f>All!P430</f>
        <v>19</v>
      </c>
      <c r="K39" s="295">
        <f>All!Q430</f>
        <v>18</v>
      </c>
      <c r="L39" s="295">
        <f>All!R430</f>
        <v>17</v>
      </c>
      <c r="M39" s="295">
        <f>All!S430</f>
        <v>8</v>
      </c>
      <c r="N39" s="295">
        <f>All!T430</f>
        <v>71</v>
      </c>
      <c r="O39" s="295">
        <f>All!U430</f>
        <v>33</v>
      </c>
      <c r="P39" s="295">
        <f>All!V430</f>
        <v>19</v>
      </c>
      <c r="Q39" s="295">
        <f>All!W430</f>
        <v>24</v>
      </c>
      <c r="R39" s="295">
        <f>All!X430</f>
        <v>20</v>
      </c>
      <c r="S39" s="295">
        <f>All!Y430</f>
        <v>34</v>
      </c>
      <c r="T39" s="295">
        <f>All!Z430</f>
        <v>38</v>
      </c>
      <c r="U39" s="295">
        <f>All!AA430</f>
        <v>53</v>
      </c>
      <c r="V39" s="295">
        <f>All!AB430</f>
        <v>32</v>
      </c>
      <c r="W39" s="198">
        <f>SUM(B39:V39)</f>
        <v>595</v>
      </c>
    </row>
    <row r="40" spans="1:23" ht="15.75" thickBot="1">
      <c r="A40" s="297" t="s">
        <v>1992</v>
      </c>
      <c r="B40" s="298">
        <f>All!H455</f>
        <v>21</v>
      </c>
      <c r="C40" s="298">
        <f>All!I455</f>
        <v>6</v>
      </c>
      <c r="D40" s="298">
        <f>All!J455</f>
        <v>21</v>
      </c>
      <c r="E40" s="298">
        <f>All!K455</f>
        <v>23</v>
      </c>
      <c r="F40" s="298">
        <f>All!L455</f>
        <v>17</v>
      </c>
      <c r="G40" s="298">
        <f>All!M455</f>
        <v>41</v>
      </c>
      <c r="H40" s="298">
        <f>All!N455</f>
        <v>22</v>
      </c>
      <c r="I40" s="298">
        <f>All!O455</f>
        <v>11</v>
      </c>
      <c r="J40" s="298">
        <f>All!P455</f>
        <v>19</v>
      </c>
      <c r="K40" s="298">
        <f>All!Q455</f>
        <v>16</v>
      </c>
      <c r="L40" s="298">
        <f>All!R455</f>
        <v>14</v>
      </c>
      <c r="M40" s="298">
        <f>All!S455</f>
        <v>8</v>
      </c>
      <c r="N40" s="298">
        <f>All!T455</f>
        <v>44</v>
      </c>
      <c r="O40" s="298">
        <f>All!U455</f>
        <v>19</v>
      </c>
      <c r="P40" s="298">
        <f>All!V455</f>
        <v>11</v>
      </c>
      <c r="Q40" s="298">
        <f>All!W455</f>
        <v>16</v>
      </c>
      <c r="R40" s="298">
        <f>All!X455</f>
        <v>16</v>
      </c>
      <c r="S40" s="298">
        <f>All!Y455</f>
        <v>23</v>
      </c>
      <c r="T40" s="298">
        <f>All!Z455</f>
        <v>25</v>
      </c>
      <c r="U40" s="298">
        <f>All!AA455</f>
        <v>31</v>
      </c>
      <c r="V40" s="298">
        <f>All!AB455</f>
        <v>19</v>
      </c>
    </row>
    <row r="41" spans="1:23">
      <c r="A41" s="192" t="str">
        <f>All!C431</f>
        <v>Genetics</v>
      </c>
      <c r="B41" s="189">
        <v>110</v>
      </c>
      <c r="C41" s="189">
        <f>B41</f>
        <v>110</v>
      </c>
      <c r="D41" s="189">
        <f t="shared" ref="D41:V41" si="146">C41</f>
        <v>110</v>
      </c>
      <c r="E41" s="189">
        <f t="shared" si="146"/>
        <v>110</v>
      </c>
      <c r="F41" s="189">
        <f t="shared" si="146"/>
        <v>110</v>
      </c>
      <c r="G41" s="189">
        <f t="shared" si="146"/>
        <v>110</v>
      </c>
      <c r="H41" s="189">
        <f t="shared" si="146"/>
        <v>110</v>
      </c>
      <c r="I41" s="189">
        <f t="shared" si="146"/>
        <v>110</v>
      </c>
      <c r="J41" s="189">
        <f t="shared" si="146"/>
        <v>110</v>
      </c>
      <c r="K41" s="189">
        <f t="shared" si="146"/>
        <v>110</v>
      </c>
      <c r="L41" s="189">
        <f t="shared" si="146"/>
        <v>110</v>
      </c>
      <c r="M41" s="189">
        <f t="shared" si="146"/>
        <v>110</v>
      </c>
      <c r="N41" s="189">
        <f t="shared" si="146"/>
        <v>110</v>
      </c>
      <c r="O41" s="189">
        <f t="shared" si="146"/>
        <v>110</v>
      </c>
      <c r="P41" s="189">
        <f t="shared" si="146"/>
        <v>110</v>
      </c>
      <c r="Q41" s="189">
        <f t="shared" si="146"/>
        <v>110</v>
      </c>
      <c r="R41" s="189">
        <f t="shared" si="146"/>
        <v>110</v>
      </c>
      <c r="S41" s="189">
        <f t="shared" si="146"/>
        <v>110</v>
      </c>
      <c r="T41" s="189">
        <f t="shared" si="146"/>
        <v>110</v>
      </c>
      <c r="U41" s="189">
        <f t="shared" si="146"/>
        <v>110</v>
      </c>
      <c r="V41" s="189">
        <f t="shared" si="146"/>
        <v>110</v>
      </c>
    </row>
    <row r="42" spans="1:23">
      <c r="A42" s="192" t="s">
        <v>1737</v>
      </c>
      <c r="B42" s="189">
        <v>10</v>
      </c>
      <c r="C42" s="189">
        <f>B42+1</f>
        <v>11</v>
      </c>
      <c r="D42" s="189">
        <f t="shared" ref="D42:V42" si="147">C42+1</f>
        <v>12</v>
      </c>
      <c r="E42" s="189">
        <f t="shared" si="147"/>
        <v>13</v>
      </c>
      <c r="F42" s="189">
        <f t="shared" si="147"/>
        <v>14</v>
      </c>
      <c r="G42" s="189">
        <f t="shared" si="147"/>
        <v>15</v>
      </c>
      <c r="H42" s="189">
        <f t="shared" si="147"/>
        <v>16</v>
      </c>
      <c r="I42" s="189">
        <f t="shared" si="147"/>
        <v>17</v>
      </c>
      <c r="J42" s="189">
        <f t="shared" si="147"/>
        <v>18</v>
      </c>
      <c r="K42" s="189">
        <f t="shared" si="147"/>
        <v>19</v>
      </c>
      <c r="L42" s="189">
        <f t="shared" si="147"/>
        <v>20</v>
      </c>
      <c r="M42" s="189">
        <f t="shared" si="147"/>
        <v>21</v>
      </c>
      <c r="N42" s="189">
        <f t="shared" si="147"/>
        <v>22</v>
      </c>
      <c r="O42" s="189">
        <f t="shared" si="147"/>
        <v>23</v>
      </c>
      <c r="P42" s="189">
        <f t="shared" si="147"/>
        <v>24</v>
      </c>
      <c r="Q42" s="189">
        <f t="shared" si="147"/>
        <v>25</v>
      </c>
      <c r="R42" s="189">
        <f t="shared" si="147"/>
        <v>26</v>
      </c>
      <c r="S42" s="189">
        <f t="shared" si="147"/>
        <v>27</v>
      </c>
      <c r="T42" s="189">
        <f t="shared" si="147"/>
        <v>28</v>
      </c>
      <c r="U42" s="189">
        <f t="shared" si="147"/>
        <v>29</v>
      </c>
      <c r="V42" s="189">
        <f t="shared" si="147"/>
        <v>30</v>
      </c>
    </row>
    <row r="43" spans="1:23">
      <c r="A43" s="193" t="s">
        <v>1738</v>
      </c>
      <c r="B43" s="189">
        <f>All!H431</f>
        <v>0</v>
      </c>
      <c r="C43" s="189">
        <f>All!I431</f>
        <v>0</v>
      </c>
      <c r="D43" s="189">
        <f>All!J431</f>
        <v>0</v>
      </c>
      <c r="E43" s="189">
        <f>All!K431</f>
        <v>0</v>
      </c>
      <c r="F43" s="189">
        <f>All!L431</f>
        <v>0</v>
      </c>
      <c r="G43" s="189">
        <f>All!M431</f>
        <v>0</v>
      </c>
      <c r="H43" s="189">
        <f>All!N431</f>
        <v>0</v>
      </c>
      <c r="I43" s="189">
        <f>All!O431</f>
        <v>1</v>
      </c>
      <c r="J43" s="189">
        <f>All!P431</f>
        <v>0</v>
      </c>
      <c r="K43" s="189">
        <f>All!Q431</f>
        <v>0</v>
      </c>
      <c r="L43" s="189">
        <f>All!R431</f>
        <v>0</v>
      </c>
      <c r="M43" s="189">
        <f>All!S431</f>
        <v>0</v>
      </c>
      <c r="N43" s="189">
        <f>All!T431</f>
        <v>0</v>
      </c>
      <c r="O43" s="189">
        <f>All!U431</f>
        <v>0</v>
      </c>
      <c r="P43" s="189">
        <f>All!V431</f>
        <v>0</v>
      </c>
      <c r="Q43" s="189">
        <f>All!W431</f>
        <v>0</v>
      </c>
      <c r="R43" s="189">
        <f>All!X431</f>
        <v>0</v>
      </c>
      <c r="S43" s="189">
        <f>All!Y431</f>
        <v>0</v>
      </c>
      <c r="T43" s="189">
        <f>All!Z431</f>
        <v>0</v>
      </c>
      <c r="U43" s="189">
        <f>All!AA431</f>
        <v>0</v>
      </c>
      <c r="V43" s="189">
        <f>All!AB431</f>
        <v>0</v>
      </c>
      <c r="W43" s="198">
        <f>SUM(B43:V43)</f>
        <v>1</v>
      </c>
    </row>
    <row r="44" spans="1:23" ht="15.75" thickBot="1">
      <c r="A44" s="190" t="s">
        <v>1992</v>
      </c>
      <c r="B44" s="191">
        <f>All!H456</f>
        <v>0</v>
      </c>
      <c r="C44" s="191">
        <f>All!I456</f>
        <v>0</v>
      </c>
      <c r="D44" s="191">
        <f>All!J456</f>
        <v>0</v>
      </c>
      <c r="E44" s="191">
        <f>All!K456</f>
        <v>0</v>
      </c>
      <c r="F44" s="191">
        <f>All!L456</f>
        <v>0</v>
      </c>
      <c r="G44" s="191">
        <f>All!M456</f>
        <v>0</v>
      </c>
      <c r="H44" s="191">
        <f>All!N456</f>
        <v>0</v>
      </c>
      <c r="I44" s="191">
        <f>All!O456</f>
        <v>0</v>
      </c>
      <c r="J44" s="191">
        <f>All!P456</f>
        <v>0</v>
      </c>
      <c r="K44" s="191">
        <f>All!Q456</f>
        <v>0</v>
      </c>
      <c r="L44" s="191">
        <f>All!R456</f>
        <v>0</v>
      </c>
      <c r="M44" s="191">
        <f>All!S456</f>
        <v>0</v>
      </c>
      <c r="N44" s="191">
        <f>All!T456</f>
        <v>0</v>
      </c>
      <c r="O44" s="191">
        <f>All!U456</f>
        <v>0</v>
      </c>
      <c r="P44" s="191">
        <f>All!V456</f>
        <v>0</v>
      </c>
      <c r="Q44" s="191">
        <f>All!W456</f>
        <v>0</v>
      </c>
      <c r="R44" s="191">
        <f>All!X456</f>
        <v>0</v>
      </c>
      <c r="S44" s="191">
        <f>All!Y456</f>
        <v>0</v>
      </c>
      <c r="T44" s="191">
        <f>All!Z456</f>
        <v>0</v>
      </c>
      <c r="U44" s="191">
        <f>All!AA456</f>
        <v>0</v>
      </c>
      <c r="V44" s="191">
        <f>All!AB456</f>
        <v>0</v>
      </c>
    </row>
    <row r="45" spans="1:23">
      <c r="A45" s="192" t="str">
        <f>All!C432</f>
        <v>Geology &amp; geophysics</v>
      </c>
      <c r="B45" s="189">
        <v>111</v>
      </c>
      <c r="C45" s="189">
        <f>B45</f>
        <v>111</v>
      </c>
      <c r="D45" s="189">
        <f t="shared" ref="D45:V45" si="148">C45</f>
        <v>111</v>
      </c>
      <c r="E45" s="189">
        <f t="shared" si="148"/>
        <v>111</v>
      </c>
      <c r="F45" s="189">
        <f t="shared" si="148"/>
        <v>111</v>
      </c>
      <c r="G45" s="189">
        <f t="shared" si="148"/>
        <v>111</v>
      </c>
      <c r="H45" s="189">
        <f t="shared" si="148"/>
        <v>111</v>
      </c>
      <c r="I45" s="189">
        <f t="shared" si="148"/>
        <v>111</v>
      </c>
      <c r="J45" s="189">
        <f t="shared" si="148"/>
        <v>111</v>
      </c>
      <c r="K45" s="189">
        <f t="shared" si="148"/>
        <v>111</v>
      </c>
      <c r="L45" s="189">
        <f t="shared" si="148"/>
        <v>111</v>
      </c>
      <c r="M45" s="189">
        <f t="shared" si="148"/>
        <v>111</v>
      </c>
      <c r="N45" s="189">
        <f t="shared" si="148"/>
        <v>111</v>
      </c>
      <c r="O45" s="189">
        <f t="shared" si="148"/>
        <v>111</v>
      </c>
      <c r="P45" s="189">
        <f t="shared" si="148"/>
        <v>111</v>
      </c>
      <c r="Q45" s="189">
        <f t="shared" si="148"/>
        <v>111</v>
      </c>
      <c r="R45" s="189">
        <f t="shared" si="148"/>
        <v>111</v>
      </c>
      <c r="S45" s="189">
        <f t="shared" si="148"/>
        <v>111</v>
      </c>
      <c r="T45" s="189">
        <f t="shared" si="148"/>
        <v>111</v>
      </c>
      <c r="U45" s="189">
        <f t="shared" si="148"/>
        <v>111</v>
      </c>
      <c r="V45" s="189">
        <f t="shared" si="148"/>
        <v>111</v>
      </c>
    </row>
    <row r="46" spans="1:23">
      <c r="A46" s="192" t="s">
        <v>1737</v>
      </c>
      <c r="B46" s="189">
        <v>10</v>
      </c>
      <c r="C46" s="189">
        <f>B46+1</f>
        <v>11</v>
      </c>
      <c r="D46" s="189">
        <f t="shared" ref="D46:V46" si="149">C46+1</f>
        <v>12</v>
      </c>
      <c r="E46" s="189">
        <f t="shared" si="149"/>
        <v>13</v>
      </c>
      <c r="F46" s="189">
        <f t="shared" si="149"/>
        <v>14</v>
      </c>
      <c r="G46" s="189">
        <f t="shared" si="149"/>
        <v>15</v>
      </c>
      <c r="H46" s="189">
        <f t="shared" si="149"/>
        <v>16</v>
      </c>
      <c r="I46" s="189">
        <f t="shared" si="149"/>
        <v>17</v>
      </c>
      <c r="J46" s="189">
        <f t="shared" si="149"/>
        <v>18</v>
      </c>
      <c r="K46" s="189">
        <f t="shared" si="149"/>
        <v>19</v>
      </c>
      <c r="L46" s="189">
        <f t="shared" si="149"/>
        <v>20</v>
      </c>
      <c r="M46" s="189">
        <f t="shared" si="149"/>
        <v>21</v>
      </c>
      <c r="N46" s="189">
        <f t="shared" si="149"/>
        <v>22</v>
      </c>
      <c r="O46" s="189">
        <f t="shared" si="149"/>
        <v>23</v>
      </c>
      <c r="P46" s="189">
        <f t="shared" si="149"/>
        <v>24</v>
      </c>
      <c r="Q46" s="189">
        <f t="shared" si="149"/>
        <v>25</v>
      </c>
      <c r="R46" s="189">
        <f t="shared" si="149"/>
        <v>26</v>
      </c>
      <c r="S46" s="189">
        <f t="shared" si="149"/>
        <v>27</v>
      </c>
      <c r="T46" s="189">
        <f t="shared" si="149"/>
        <v>28</v>
      </c>
      <c r="U46" s="189">
        <f t="shared" si="149"/>
        <v>29</v>
      </c>
      <c r="V46" s="189">
        <f t="shared" si="149"/>
        <v>30</v>
      </c>
    </row>
    <row r="47" spans="1:23">
      <c r="A47" s="193" t="s">
        <v>1738</v>
      </c>
      <c r="B47" s="189">
        <f>All!H432</f>
        <v>0</v>
      </c>
      <c r="C47" s="189">
        <f>All!I432</f>
        <v>0</v>
      </c>
      <c r="D47" s="189">
        <f>All!J432</f>
        <v>0</v>
      </c>
      <c r="E47" s="189">
        <f>All!K432</f>
        <v>10</v>
      </c>
      <c r="F47" s="189">
        <f>All!L432</f>
        <v>0</v>
      </c>
      <c r="G47" s="189">
        <f>All!M432</f>
        <v>1</v>
      </c>
      <c r="H47" s="189">
        <f>All!N432</f>
        <v>0</v>
      </c>
      <c r="I47" s="189">
        <f>All!O432</f>
        <v>0</v>
      </c>
      <c r="J47" s="189">
        <f>All!P432</f>
        <v>1</v>
      </c>
      <c r="K47" s="189">
        <f>All!Q432</f>
        <v>0</v>
      </c>
      <c r="L47" s="189">
        <f>All!R432</f>
        <v>3</v>
      </c>
      <c r="M47" s="189">
        <f>All!S432</f>
        <v>0</v>
      </c>
      <c r="N47" s="189">
        <f>All!T432</f>
        <v>5</v>
      </c>
      <c r="O47" s="189">
        <f>All!U432</f>
        <v>1</v>
      </c>
      <c r="P47" s="189">
        <f>All!V432</f>
        <v>2</v>
      </c>
      <c r="Q47" s="189">
        <f>All!W432</f>
        <v>4</v>
      </c>
      <c r="R47" s="189">
        <f>All!X432</f>
        <v>7</v>
      </c>
      <c r="S47" s="189">
        <f>All!Y432</f>
        <v>3</v>
      </c>
      <c r="T47" s="189">
        <f>All!Z432</f>
        <v>7</v>
      </c>
      <c r="U47" s="189">
        <f>All!AA432</f>
        <v>5</v>
      </c>
      <c r="V47" s="189">
        <f>All!AB432</f>
        <v>2</v>
      </c>
      <c r="W47" s="198">
        <f>SUM(B47:V47)</f>
        <v>51</v>
      </c>
    </row>
    <row r="48" spans="1:23" ht="15.75" thickBot="1">
      <c r="A48" s="190" t="s">
        <v>1992</v>
      </c>
      <c r="B48" s="191">
        <f>All!H457</f>
        <v>0</v>
      </c>
      <c r="C48" s="191">
        <f>All!I457</f>
        <v>0</v>
      </c>
      <c r="D48" s="191">
        <f>All!J457</f>
        <v>0</v>
      </c>
      <c r="E48" s="191">
        <f>All!K457</f>
        <v>1</v>
      </c>
      <c r="F48" s="191">
        <f>All!L457</f>
        <v>0</v>
      </c>
      <c r="G48" s="191">
        <f>All!M457</f>
        <v>1</v>
      </c>
      <c r="H48" s="191">
        <f>All!N457</f>
        <v>0</v>
      </c>
      <c r="I48" s="191">
        <f>All!O457</f>
        <v>0</v>
      </c>
      <c r="J48" s="191">
        <f>All!P457</f>
        <v>0</v>
      </c>
      <c r="K48" s="191">
        <f>All!Q457</f>
        <v>0</v>
      </c>
      <c r="L48" s="191">
        <f>All!R457</f>
        <v>2</v>
      </c>
      <c r="M48" s="191">
        <f>All!S457</f>
        <v>0</v>
      </c>
      <c r="N48" s="191">
        <f>All!T457</f>
        <v>1</v>
      </c>
      <c r="O48" s="191">
        <f>All!U457</f>
        <v>0</v>
      </c>
      <c r="P48" s="191">
        <f>All!V457</f>
        <v>0</v>
      </c>
      <c r="Q48" s="191">
        <f>All!W457</f>
        <v>0</v>
      </c>
      <c r="R48" s="191">
        <f>All!X457</f>
        <v>0</v>
      </c>
      <c r="S48" s="191">
        <f>All!Y457</f>
        <v>1</v>
      </c>
      <c r="T48" s="191">
        <f>All!Z457</f>
        <v>1</v>
      </c>
      <c r="U48" s="191">
        <f>All!AA457</f>
        <v>1</v>
      </c>
      <c r="V48" s="191">
        <f>All!AB457</f>
        <v>1</v>
      </c>
    </row>
    <row r="49" spans="1:23">
      <c r="A49" s="192" t="str">
        <f>All!C433</f>
        <v>History</v>
      </c>
      <c r="B49" s="189">
        <v>112</v>
      </c>
      <c r="C49" s="189">
        <f>B49</f>
        <v>112</v>
      </c>
      <c r="D49" s="189">
        <f t="shared" ref="D49" si="150">C49</f>
        <v>112</v>
      </c>
      <c r="E49" s="189">
        <f t="shared" ref="E49" si="151">D49</f>
        <v>112</v>
      </c>
      <c r="F49" s="189">
        <f t="shared" ref="F49" si="152">E49</f>
        <v>112</v>
      </c>
      <c r="G49" s="189">
        <f t="shared" ref="G49" si="153">F49</f>
        <v>112</v>
      </c>
      <c r="H49" s="189">
        <f t="shared" ref="H49" si="154">G49</f>
        <v>112</v>
      </c>
      <c r="I49" s="189">
        <f t="shared" ref="I49" si="155">H49</f>
        <v>112</v>
      </c>
      <c r="J49" s="189">
        <f t="shared" ref="J49" si="156">I49</f>
        <v>112</v>
      </c>
      <c r="K49" s="189">
        <f t="shared" ref="K49" si="157">J49</f>
        <v>112</v>
      </c>
      <c r="L49" s="189">
        <f t="shared" ref="L49" si="158">K49</f>
        <v>112</v>
      </c>
      <c r="M49" s="189">
        <f t="shared" ref="M49" si="159">L49</f>
        <v>112</v>
      </c>
      <c r="N49" s="189">
        <f t="shared" ref="N49" si="160">M49</f>
        <v>112</v>
      </c>
      <c r="O49" s="189">
        <f t="shared" ref="O49" si="161">N49</f>
        <v>112</v>
      </c>
      <c r="P49" s="189">
        <f t="shared" ref="P49" si="162">O49</f>
        <v>112</v>
      </c>
      <c r="Q49" s="189">
        <f t="shared" ref="Q49" si="163">P49</f>
        <v>112</v>
      </c>
      <c r="R49" s="189">
        <f t="shared" ref="R49" si="164">Q49</f>
        <v>112</v>
      </c>
      <c r="S49" s="189">
        <f t="shared" ref="S49" si="165">R49</f>
        <v>112</v>
      </c>
      <c r="T49" s="189">
        <f t="shared" ref="T49" si="166">S49</f>
        <v>112</v>
      </c>
      <c r="U49" s="189">
        <f t="shared" ref="U49" si="167">T49</f>
        <v>112</v>
      </c>
      <c r="V49" s="189">
        <f t="shared" ref="V49" si="168">U49</f>
        <v>112</v>
      </c>
    </row>
    <row r="50" spans="1:23">
      <c r="A50" s="192" t="s">
        <v>1737</v>
      </c>
      <c r="B50" s="189">
        <v>10</v>
      </c>
      <c r="C50" s="189">
        <f>B50+1</f>
        <v>11</v>
      </c>
      <c r="D50" s="189">
        <f t="shared" ref="D50" si="169">C50+1</f>
        <v>12</v>
      </c>
      <c r="E50" s="189">
        <f t="shared" ref="E50" si="170">D50+1</f>
        <v>13</v>
      </c>
      <c r="F50" s="189">
        <f t="shared" ref="F50" si="171">E50+1</f>
        <v>14</v>
      </c>
      <c r="G50" s="189">
        <f t="shared" ref="G50" si="172">F50+1</f>
        <v>15</v>
      </c>
      <c r="H50" s="189">
        <f t="shared" ref="H50" si="173">G50+1</f>
        <v>16</v>
      </c>
      <c r="I50" s="189">
        <f t="shared" ref="I50" si="174">H50+1</f>
        <v>17</v>
      </c>
      <c r="J50" s="189">
        <f t="shared" ref="J50" si="175">I50+1</f>
        <v>18</v>
      </c>
      <c r="K50" s="189">
        <f t="shared" ref="K50" si="176">J50+1</f>
        <v>19</v>
      </c>
      <c r="L50" s="189">
        <f t="shared" ref="L50" si="177">K50+1</f>
        <v>20</v>
      </c>
      <c r="M50" s="189">
        <f t="shared" ref="M50" si="178">L50+1</f>
        <v>21</v>
      </c>
      <c r="N50" s="189">
        <f t="shared" ref="N50" si="179">M50+1</f>
        <v>22</v>
      </c>
      <c r="O50" s="189">
        <f t="shared" ref="O50" si="180">N50+1</f>
        <v>23</v>
      </c>
      <c r="P50" s="189">
        <f t="shared" ref="P50" si="181">O50+1</f>
        <v>24</v>
      </c>
      <c r="Q50" s="189">
        <f t="shared" ref="Q50" si="182">P50+1</f>
        <v>25</v>
      </c>
      <c r="R50" s="189">
        <f t="shared" ref="R50" si="183">Q50+1</f>
        <v>26</v>
      </c>
      <c r="S50" s="189">
        <f t="shared" ref="S50" si="184">R50+1</f>
        <v>27</v>
      </c>
      <c r="T50" s="189">
        <f t="shared" ref="T50" si="185">S50+1</f>
        <v>28</v>
      </c>
      <c r="U50" s="189">
        <f t="shared" ref="U50" si="186">T50+1</f>
        <v>29</v>
      </c>
      <c r="V50" s="189">
        <f t="shared" ref="V50" si="187">U50+1</f>
        <v>30</v>
      </c>
    </row>
    <row r="51" spans="1:23">
      <c r="A51" s="193" t="s">
        <v>1738</v>
      </c>
      <c r="B51" s="189">
        <f>All!H433</f>
        <v>0</v>
      </c>
      <c r="C51" s="189">
        <f>All!I433</f>
        <v>0</v>
      </c>
      <c r="D51" s="189">
        <f>All!J433</f>
        <v>0</v>
      </c>
      <c r="E51" s="189">
        <f>All!K433</f>
        <v>1</v>
      </c>
      <c r="F51" s="189">
        <f>All!L433</f>
        <v>1</v>
      </c>
      <c r="G51" s="189">
        <f>All!M433</f>
        <v>1</v>
      </c>
      <c r="H51" s="189">
        <f>All!N433</f>
        <v>0</v>
      </c>
      <c r="I51" s="189">
        <f>All!O433</f>
        <v>0</v>
      </c>
      <c r="J51" s="189">
        <f>All!P433</f>
        <v>0</v>
      </c>
      <c r="K51" s="189">
        <f>All!Q433</f>
        <v>0</v>
      </c>
      <c r="L51" s="189">
        <f>All!R433</f>
        <v>0</v>
      </c>
      <c r="M51" s="189">
        <f>All!S433</f>
        <v>0</v>
      </c>
      <c r="N51" s="189">
        <f>All!T433</f>
        <v>1</v>
      </c>
      <c r="O51" s="189">
        <f>All!U433</f>
        <v>2</v>
      </c>
      <c r="P51" s="189">
        <f>All!V433</f>
        <v>0</v>
      </c>
      <c r="Q51" s="189">
        <f>All!W433</f>
        <v>0</v>
      </c>
      <c r="R51" s="189">
        <f>All!X433</f>
        <v>0</v>
      </c>
      <c r="S51" s="189">
        <f>All!Y433</f>
        <v>2</v>
      </c>
      <c r="T51" s="189">
        <f>All!Z433</f>
        <v>1</v>
      </c>
      <c r="U51" s="189">
        <f>All!AA433</f>
        <v>1</v>
      </c>
      <c r="V51" s="189">
        <f>All!AB433</f>
        <v>0</v>
      </c>
      <c r="W51" s="198">
        <f>SUM(B51:V51)</f>
        <v>10</v>
      </c>
    </row>
    <row r="52" spans="1:23" ht="15.75" thickBot="1">
      <c r="A52" s="190" t="s">
        <v>1992</v>
      </c>
      <c r="B52" s="191">
        <f>All!H458</f>
        <v>0</v>
      </c>
      <c r="C52" s="191">
        <f>All!I458</f>
        <v>0</v>
      </c>
      <c r="D52" s="191">
        <f>All!J458</f>
        <v>0</v>
      </c>
      <c r="E52" s="191">
        <f>All!K458</f>
        <v>1</v>
      </c>
      <c r="F52" s="191">
        <f>All!L458</f>
        <v>1</v>
      </c>
      <c r="G52" s="191">
        <f>All!M458</f>
        <v>1</v>
      </c>
      <c r="H52" s="191">
        <f>All!N458</f>
        <v>0</v>
      </c>
      <c r="I52" s="191">
        <f>All!O458</f>
        <v>0</v>
      </c>
      <c r="J52" s="191">
        <f>All!P458</f>
        <v>0</v>
      </c>
      <c r="K52" s="191">
        <f>All!Q458</f>
        <v>0</v>
      </c>
      <c r="L52" s="191">
        <f>All!R458</f>
        <v>0</v>
      </c>
      <c r="M52" s="191">
        <f>All!S458</f>
        <v>0</v>
      </c>
      <c r="N52" s="191">
        <f>All!T458</f>
        <v>1</v>
      </c>
      <c r="O52" s="191">
        <f>All!U458</f>
        <v>1</v>
      </c>
      <c r="P52" s="191">
        <f>All!V458</f>
        <v>0</v>
      </c>
      <c r="Q52" s="191">
        <f>All!W458</f>
        <v>0</v>
      </c>
      <c r="R52" s="191">
        <f>All!X458</f>
        <v>0</v>
      </c>
      <c r="S52" s="191">
        <f>All!Y458</f>
        <v>1</v>
      </c>
      <c r="T52" s="191">
        <f>All!Z458</f>
        <v>0</v>
      </c>
      <c r="U52" s="191">
        <f>All!AA458</f>
        <v>1</v>
      </c>
      <c r="V52" s="191">
        <f>All!AB458</f>
        <v>0</v>
      </c>
    </row>
    <row r="53" spans="1:23">
      <c r="A53" s="192" t="str">
        <f>All!C434</f>
        <v>International relations</v>
      </c>
      <c r="B53" s="189">
        <v>113</v>
      </c>
      <c r="C53" s="189">
        <f>B53</f>
        <v>113</v>
      </c>
      <c r="D53" s="189">
        <f t="shared" ref="D53" si="188">C53</f>
        <v>113</v>
      </c>
      <c r="E53" s="189">
        <f t="shared" ref="E53" si="189">D53</f>
        <v>113</v>
      </c>
      <c r="F53" s="189">
        <f t="shared" ref="F53" si="190">E53</f>
        <v>113</v>
      </c>
      <c r="G53" s="189">
        <f t="shared" ref="G53" si="191">F53</f>
        <v>113</v>
      </c>
      <c r="H53" s="189">
        <f t="shared" ref="H53" si="192">G53</f>
        <v>113</v>
      </c>
      <c r="I53" s="189">
        <f t="shared" ref="I53" si="193">H53</f>
        <v>113</v>
      </c>
      <c r="J53" s="189">
        <f t="shared" ref="J53" si="194">I53</f>
        <v>113</v>
      </c>
      <c r="K53" s="189">
        <f t="shared" ref="K53" si="195">J53</f>
        <v>113</v>
      </c>
      <c r="L53" s="189">
        <f t="shared" ref="L53" si="196">K53</f>
        <v>113</v>
      </c>
      <c r="M53" s="189">
        <f t="shared" ref="M53" si="197">L53</f>
        <v>113</v>
      </c>
      <c r="N53" s="189">
        <f t="shared" ref="N53" si="198">M53</f>
        <v>113</v>
      </c>
      <c r="O53" s="189">
        <f t="shared" ref="O53" si="199">N53</f>
        <v>113</v>
      </c>
      <c r="P53" s="189">
        <f t="shared" ref="P53" si="200">O53</f>
        <v>113</v>
      </c>
      <c r="Q53" s="189">
        <f t="shared" ref="Q53" si="201">P53</f>
        <v>113</v>
      </c>
      <c r="R53" s="189">
        <f t="shared" ref="R53" si="202">Q53</f>
        <v>113</v>
      </c>
      <c r="S53" s="189">
        <f t="shared" ref="S53" si="203">R53</f>
        <v>113</v>
      </c>
      <c r="T53" s="189">
        <f t="shared" ref="T53" si="204">S53</f>
        <v>113</v>
      </c>
      <c r="U53" s="189">
        <f t="shared" ref="U53" si="205">T53</f>
        <v>113</v>
      </c>
      <c r="V53" s="189">
        <f t="shared" ref="V53" si="206">U53</f>
        <v>113</v>
      </c>
    </row>
    <row r="54" spans="1:23">
      <c r="A54" s="192" t="s">
        <v>1737</v>
      </c>
      <c r="B54" s="189">
        <v>10</v>
      </c>
      <c r="C54" s="189">
        <f>B54+1</f>
        <v>11</v>
      </c>
      <c r="D54" s="189">
        <f t="shared" ref="D54:V54" si="207">C54+1</f>
        <v>12</v>
      </c>
      <c r="E54" s="189">
        <f t="shared" si="207"/>
        <v>13</v>
      </c>
      <c r="F54" s="189">
        <f t="shared" si="207"/>
        <v>14</v>
      </c>
      <c r="G54" s="189">
        <f t="shared" si="207"/>
        <v>15</v>
      </c>
      <c r="H54" s="189">
        <f t="shared" si="207"/>
        <v>16</v>
      </c>
      <c r="I54" s="189">
        <f t="shared" si="207"/>
        <v>17</v>
      </c>
      <c r="J54" s="189">
        <f t="shared" si="207"/>
        <v>18</v>
      </c>
      <c r="K54" s="189">
        <f t="shared" si="207"/>
        <v>19</v>
      </c>
      <c r="L54" s="189">
        <f t="shared" si="207"/>
        <v>20</v>
      </c>
      <c r="M54" s="189">
        <f t="shared" si="207"/>
        <v>21</v>
      </c>
      <c r="N54" s="189">
        <f t="shared" si="207"/>
        <v>22</v>
      </c>
      <c r="O54" s="189">
        <f t="shared" si="207"/>
        <v>23</v>
      </c>
      <c r="P54" s="189">
        <f t="shared" si="207"/>
        <v>24</v>
      </c>
      <c r="Q54" s="189">
        <f t="shared" si="207"/>
        <v>25</v>
      </c>
      <c r="R54" s="189">
        <f t="shared" si="207"/>
        <v>26</v>
      </c>
      <c r="S54" s="189">
        <f t="shared" si="207"/>
        <v>27</v>
      </c>
      <c r="T54" s="189">
        <f t="shared" si="207"/>
        <v>28</v>
      </c>
      <c r="U54" s="189">
        <f t="shared" si="207"/>
        <v>29</v>
      </c>
      <c r="V54" s="189">
        <f t="shared" si="207"/>
        <v>30</v>
      </c>
    </row>
    <row r="55" spans="1:23">
      <c r="A55" s="193" t="s">
        <v>1738</v>
      </c>
      <c r="B55" s="189">
        <f>All!H434</f>
        <v>3</v>
      </c>
      <c r="C55" s="189">
        <f>All!I434</f>
        <v>2</v>
      </c>
      <c r="D55" s="189">
        <f>All!J434</f>
        <v>1</v>
      </c>
      <c r="E55" s="189">
        <f>All!K434</f>
        <v>1</v>
      </c>
      <c r="F55" s="189">
        <f>All!L434</f>
        <v>3</v>
      </c>
      <c r="G55" s="189">
        <f>All!M434</f>
        <v>5</v>
      </c>
      <c r="H55" s="189">
        <f>All!N434</f>
        <v>2</v>
      </c>
      <c r="I55" s="189">
        <f>All!O434</f>
        <v>1</v>
      </c>
      <c r="J55" s="189">
        <f>All!P434</f>
        <v>0</v>
      </c>
      <c r="K55" s="189">
        <f>All!Q434</f>
        <v>0</v>
      </c>
      <c r="L55" s="189">
        <f>All!R434</f>
        <v>1</v>
      </c>
      <c r="M55" s="189">
        <f>All!S434</f>
        <v>0</v>
      </c>
      <c r="N55" s="189">
        <f>All!T434</f>
        <v>2</v>
      </c>
      <c r="O55" s="189">
        <f>All!U434</f>
        <v>8</v>
      </c>
      <c r="P55" s="189">
        <f>All!V434</f>
        <v>0</v>
      </c>
      <c r="Q55" s="189">
        <f>All!W434</f>
        <v>1</v>
      </c>
      <c r="R55" s="189">
        <f>All!X434</f>
        <v>0</v>
      </c>
      <c r="S55" s="189">
        <f>All!Y434</f>
        <v>0</v>
      </c>
      <c r="T55" s="189">
        <f>All!Z434</f>
        <v>1</v>
      </c>
      <c r="U55" s="189">
        <f>All!AA434</f>
        <v>1</v>
      </c>
      <c r="V55" s="189">
        <f>All!AB434</f>
        <v>0</v>
      </c>
      <c r="W55" s="198">
        <f>SUM(B55:V55)</f>
        <v>32</v>
      </c>
    </row>
    <row r="56" spans="1:23" ht="15.75" thickBot="1">
      <c r="A56" s="190" t="s">
        <v>1992</v>
      </c>
      <c r="B56" s="191">
        <f>All!H459</f>
        <v>0</v>
      </c>
      <c r="C56" s="191">
        <f>All!I459</f>
        <v>0</v>
      </c>
      <c r="D56" s="191">
        <f>All!J459</f>
        <v>0</v>
      </c>
      <c r="E56" s="191">
        <f>All!K459</f>
        <v>0</v>
      </c>
      <c r="F56" s="191">
        <f>All!L459</f>
        <v>0</v>
      </c>
      <c r="G56" s="191">
        <f>All!M459</f>
        <v>0</v>
      </c>
      <c r="H56" s="191">
        <f>All!N459</f>
        <v>0</v>
      </c>
      <c r="I56" s="191">
        <f>All!O459</f>
        <v>0</v>
      </c>
      <c r="J56" s="191">
        <f>All!P459</f>
        <v>0</v>
      </c>
      <c r="K56" s="191">
        <f>All!Q459</f>
        <v>0</v>
      </c>
      <c r="L56" s="191">
        <f>All!R459</f>
        <v>0</v>
      </c>
      <c r="M56" s="191">
        <f>All!S459</f>
        <v>0</v>
      </c>
      <c r="N56" s="191">
        <f>All!T459</f>
        <v>0</v>
      </c>
      <c r="O56" s="191">
        <f>All!U459</f>
        <v>0</v>
      </c>
      <c r="P56" s="191">
        <f>All!V459</f>
        <v>0</v>
      </c>
      <c r="Q56" s="191">
        <f>All!W459</f>
        <v>0</v>
      </c>
      <c r="R56" s="191">
        <f>All!X459</f>
        <v>0</v>
      </c>
      <c r="S56" s="191">
        <f>All!Y459</f>
        <v>0</v>
      </c>
      <c r="T56" s="191">
        <f>All!Z459</f>
        <v>0</v>
      </c>
      <c r="U56" s="191">
        <f>All!AA459</f>
        <v>0</v>
      </c>
      <c r="V56" s="191">
        <f>All!AB459</f>
        <v>0</v>
      </c>
    </row>
    <row r="57" spans="1:23">
      <c r="A57" s="192" t="str">
        <f>All!C435</f>
        <v>Law</v>
      </c>
      <c r="B57" s="189">
        <v>114</v>
      </c>
      <c r="C57" s="189">
        <f>B57</f>
        <v>114</v>
      </c>
      <c r="D57" s="189">
        <f t="shared" ref="D57:V57" si="208">C57</f>
        <v>114</v>
      </c>
      <c r="E57" s="189">
        <f t="shared" si="208"/>
        <v>114</v>
      </c>
      <c r="F57" s="189">
        <f t="shared" si="208"/>
        <v>114</v>
      </c>
      <c r="G57" s="189">
        <f t="shared" si="208"/>
        <v>114</v>
      </c>
      <c r="H57" s="189">
        <f t="shared" si="208"/>
        <v>114</v>
      </c>
      <c r="I57" s="189">
        <f t="shared" si="208"/>
        <v>114</v>
      </c>
      <c r="J57" s="189">
        <f t="shared" si="208"/>
        <v>114</v>
      </c>
      <c r="K57" s="189">
        <f t="shared" si="208"/>
        <v>114</v>
      </c>
      <c r="L57" s="189">
        <f t="shared" si="208"/>
        <v>114</v>
      </c>
      <c r="M57" s="189">
        <f t="shared" si="208"/>
        <v>114</v>
      </c>
      <c r="N57" s="189">
        <f t="shared" si="208"/>
        <v>114</v>
      </c>
      <c r="O57" s="189">
        <f t="shared" si="208"/>
        <v>114</v>
      </c>
      <c r="P57" s="189">
        <f t="shared" si="208"/>
        <v>114</v>
      </c>
      <c r="Q57" s="189">
        <f t="shared" si="208"/>
        <v>114</v>
      </c>
      <c r="R57" s="189">
        <f t="shared" si="208"/>
        <v>114</v>
      </c>
      <c r="S57" s="189">
        <f t="shared" si="208"/>
        <v>114</v>
      </c>
      <c r="T57" s="189">
        <f t="shared" si="208"/>
        <v>114</v>
      </c>
      <c r="U57" s="189">
        <f t="shared" si="208"/>
        <v>114</v>
      </c>
      <c r="V57" s="189">
        <f t="shared" si="208"/>
        <v>114</v>
      </c>
    </row>
    <row r="58" spans="1:23">
      <c r="A58" s="192" t="s">
        <v>1737</v>
      </c>
      <c r="B58" s="189">
        <v>10</v>
      </c>
      <c r="C58" s="189">
        <f>B58+1</f>
        <v>11</v>
      </c>
      <c r="D58" s="189">
        <f t="shared" ref="D58:V58" si="209">C58+1</f>
        <v>12</v>
      </c>
      <c r="E58" s="189">
        <f t="shared" si="209"/>
        <v>13</v>
      </c>
      <c r="F58" s="189">
        <f t="shared" si="209"/>
        <v>14</v>
      </c>
      <c r="G58" s="189">
        <f t="shared" si="209"/>
        <v>15</v>
      </c>
      <c r="H58" s="189">
        <f t="shared" si="209"/>
        <v>16</v>
      </c>
      <c r="I58" s="189">
        <f t="shared" si="209"/>
        <v>17</v>
      </c>
      <c r="J58" s="189">
        <f t="shared" si="209"/>
        <v>18</v>
      </c>
      <c r="K58" s="189">
        <f t="shared" si="209"/>
        <v>19</v>
      </c>
      <c r="L58" s="189">
        <f t="shared" si="209"/>
        <v>20</v>
      </c>
      <c r="M58" s="189">
        <f t="shared" si="209"/>
        <v>21</v>
      </c>
      <c r="N58" s="189">
        <f t="shared" si="209"/>
        <v>22</v>
      </c>
      <c r="O58" s="189">
        <f t="shared" si="209"/>
        <v>23</v>
      </c>
      <c r="P58" s="189">
        <f t="shared" si="209"/>
        <v>24</v>
      </c>
      <c r="Q58" s="189">
        <f t="shared" si="209"/>
        <v>25</v>
      </c>
      <c r="R58" s="189">
        <f t="shared" si="209"/>
        <v>26</v>
      </c>
      <c r="S58" s="189">
        <f t="shared" si="209"/>
        <v>27</v>
      </c>
      <c r="T58" s="189">
        <f t="shared" si="209"/>
        <v>28</v>
      </c>
      <c r="U58" s="189">
        <f t="shared" si="209"/>
        <v>29</v>
      </c>
      <c r="V58" s="189">
        <f t="shared" si="209"/>
        <v>30</v>
      </c>
    </row>
    <row r="59" spans="1:23">
      <c r="A59" s="193" t="s">
        <v>1738</v>
      </c>
      <c r="B59" s="189">
        <f>All!H435</f>
        <v>1</v>
      </c>
      <c r="C59" s="189">
        <f>All!I435</f>
        <v>0</v>
      </c>
      <c r="D59" s="189">
        <f>All!J435</f>
        <v>3</v>
      </c>
      <c r="E59" s="189">
        <f>All!K435</f>
        <v>2</v>
      </c>
      <c r="F59" s="189">
        <f>All!L435</f>
        <v>2</v>
      </c>
      <c r="G59" s="189">
        <f>All!M435</f>
        <v>7</v>
      </c>
      <c r="H59" s="189">
        <f>All!N435</f>
        <v>3</v>
      </c>
      <c r="I59" s="189">
        <f>All!O435</f>
        <v>0</v>
      </c>
      <c r="J59" s="189">
        <f>All!P435</f>
        <v>3</v>
      </c>
      <c r="K59" s="189">
        <f>All!Q435</f>
        <v>2</v>
      </c>
      <c r="L59" s="189">
        <f>All!R435</f>
        <v>2</v>
      </c>
      <c r="M59" s="189">
        <f>All!S435</f>
        <v>0</v>
      </c>
      <c r="N59" s="189">
        <f>All!T435</f>
        <v>0</v>
      </c>
      <c r="O59" s="189">
        <f>All!U435</f>
        <v>4</v>
      </c>
      <c r="P59" s="189">
        <f>All!V435</f>
        <v>0</v>
      </c>
      <c r="Q59" s="189">
        <f>All!W435</f>
        <v>2</v>
      </c>
      <c r="R59" s="189">
        <f>All!X435</f>
        <v>1</v>
      </c>
      <c r="S59" s="189">
        <f>All!Y435</f>
        <v>0</v>
      </c>
      <c r="T59" s="189">
        <f>All!Z435</f>
        <v>0</v>
      </c>
      <c r="U59" s="189">
        <f>All!AA435</f>
        <v>0</v>
      </c>
      <c r="V59" s="189">
        <f>All!AB435</f>
        <v>0</v>
      </c>
      <c r="W59" s="198">
        <f>SUM(B59:V59)</f>
        <v>32</v>
      </c>
    </row>
    <row r="60" spans="1:23" ht="15.75" thickBot="1">
      <c r="A60" s="190" t="s">
        <v>1992</v>
      </c>
      <c r="B60" s="191">
        <f>All!H460</f>
        <v>1</v>
      </c>
      <c r="C60" s="191">
        <f>All!I460</f>
        <v>0</v>
      </c>
      <c r="D60" s="191">
        <f>All!J460</f>
        <v>3</v>
      </c>
      <c r="E60" s="191">
        <f>All!K460</f>
        <v>2</v>
      </c>
      <c r="F60" s="191">
        <f>All!L460</f>
        <v>1</v>
      </c>
      <c r="G60" s="191">
        <f>All!M460</f>
        <v>4</v>
      </c>
      <c r="H60" s="191">
        <f>All!N460</f>
        <v>2</v>
      </c>
      <c r="I60" s="191">
        <f>All!O460</f>
        <v>0</v>
      </c>
      <c r="J60" s="191">
        <f>All!P460</f>
        <v>2</v>
      </c>
      <c r="K60" s="191">
        <f>All!Q460</f>
        <v>1</v>
      </c>
      <c r="L60" s="191">
        <f>All!R460</f>
        <v>2</v>
      </c>
      <c r="M60" s="191">
        <f>All!S460</f>
        <v>0</v>
      </c>
      <c r="N60" s="191">
        <f>All!T460</f>
        <v>0</v>
      </c>
      <c r="O60" s="191">
        <f>All!U460</f>
        <v>2</v>
      </c>
      <c r="P60" s="191">
        <f>All!V460</f>
        <v>0</v>
      </c>
      <c r="Q60" s="191">
        <f>All!W460</f>
        <v>2</v>
      </c>
      <c r="R60" s="191">
        <f>All!X460</f>
        <v>1</v>
      </c>
      <c r="S60" s="191">
        <f>All!Y460</f>
        <v>0</v>
      </c>
      <c r="T60" s="191">
        <f>All!Z460</f>
        <v>0</v>
      </c>
      <c r="U60" s="191">
        <f>All!AA460</f>
        <v>0</v>
      </c>
      <c r="V60" s="191">
        <f>All!AB460</f>
        <v>0</v>
      </c>
    </row>
    <row r="61" spans="1:23">
      <c r="A61" s="192" t="str">
        <f>All!C436</f>
        <v>Political science</v>
      </c>
      <c r="B61" s="189">
        <v>115</v>
      </c>
      <c r="C61" s="189">
        <f>B61</f>
        <v>115</v>
      </c>
      <c r="D61" s="189">
        <f t="shared" ref="D61:V61" si="210">C61</f>
        <v>115</v>
      </c>
      <c r="E61" s="189">
        <f t="shared" si="210"/>
        <v>115</v>
      </c>
      <c r="F61" s="189">
        <f t="shared" si="210"/>
        <v>115</v>
      </c>
      <c r="G61" s="189">
        <f t="shared" si="210"/>
        <v>115</v>
      </c>
      <c r="H61" s="189">
        <f t="shared" si="210"/>
        <v>115</v>
      </c>
      <c r="I61" s="189">
        <f t="shared" si="210"/>
        <v>115</v>
      </c>
      <c r="J61" s="189">
        <f t="shared" si="210"/>
        <v>115</v>
      </c>
      <c r="K61" s="189">
        <f t="shared" si="210"/>
        <v>115</v>
      </c>
      <c r="L61" s="189">
        <f t="shared" si="210"/>
        <v>115</v>
      </c>
      <c r="M61" s="189">
        <f t="shared" si="210"/>
        <v>115</v>
      </c>
      <c r="N61" s="189">
        <f t="shared" si="210"/>
        <v>115</v>
      </c>
      <c r="O61" s="189">
        <f t="shared" si="210"/>
        <v>115</v>
      </c>
      <c r="P61" s="189">
        <f t="shared" si="210"/>
        <v>115</v>
      </c>
      <c r="Q61" s="189">
        <f t="shared" si="210"/>
        <v>115</v>
      </c>
      <c r="R61" s="189">
        <f t="shared" si="210"/>
        <v>115</v>
      </c>
      <c r="S61" s="189">
        <f t="shared" si="210"/>
        <v>115</v>
      </c>
      <c r="T61" s="189">
        <f t="shared" si="210"/>
        <v>115</v>
      </c>
      <c r="U61" s="189">
        <f t="shared" si="210"/>
        <v>115</v>
      </c>
      <c r="V61" s="189">
        <f t="shared" si="210"/>
        <v>115</v>
      </c>
    </row>
    <row r="62" spans="1:23">
      <c r="A62" s="192" t="s">
        <v>1737</v>
      </c>
      <c r="B62" s="189">
        <v>10</v>
      </c>
      <c r="C62" s="189">
        <f>B62+1</f>
        <v>11</v>
      </c>
      <c r="D62" s="189">
        <f t="shared" ref="D62:V62" si="211">C62+1</f>
        <v>12</v>
      </c>
      <c r="E62" s="189">
        <f t="shared" si="211"/>
        <v>13</v>
      </c>
      <c r="F62" s="189">
        <f t="shared" si="211"/>
        <v>14</v>
      </c>
      <c r="G62" s="189">
        <f t="shared" si="211"/>
        <v>15</v>
      </c>
      <c r="H62" s="189">
        <f t="shared" si="211"/>
        <v>16</v>
      </c>
      <c r="I62" s="189">
        <f t="shared" si="211"/>
        <v>17</v>
      </c>
      <c r="J62" s="189">
        <f t="shared" si="211"/>
        <v>18</v>
      </c>
      <c r="K62" s="189">
        <f t="shared" si="211"/>
        <v>19</v>
      </c>
      <c r="L62" s="189">
        <f t="shared" si="211"/>
        <v>20</v>
      </c>
      <c r="M62" s="189">
        <f t="shared" si="211"/>
        <v>21</v>
      </c>
      <c r="N62" s="189">
        <f t="shared" si="211"/>
        <v>22</v>
      </c>
      <c r="O62" s="189">
        <f t="shared" si="211"/>
        <v>23</v>
      </c>
      <c r="P62" s="189">
        <f t="shared" si="211"/>
        <v>24</v>
      </c>
      <c r="Q62" s="189">
        <f t="shared" si="211"/>
        <v>25</v>
      </c>
      <c r="R62" s="189">
        <f t="shared" si="211"/>
        <v>26</v>
      </c>
      <c r="S62" s="189">
        <f t="shared" si="211"/>
        <v>27</v>
      </c>
      <c r="T62" s="189">
        <f t="shared" si="211"/>
        <v>28</v>
      </c>
      <c r="U62" s="189">
        <f t="shared" si="211"/>
        <v>29</v>
      </c>
      <c r="V62" s="189">
        <f t="shared" si="211"/>
        <v>30</v>
      </c>
    </row>
    <row r="63" spans="1:23">
      <c r="A63" s="193" t="s">
        <v>1738</v>
      </c>
      <c r="B63" s="189">
        <f>All!H436</f>
        <v>1</v>
      </c>
      <c r="C63" s="189">
        <f>All!I436</f>
        <v>2</v>
      </c>
      <c r="D63" s="189">
        <f>All!J436</f>
        <v>0</v>
      </c>
      <c r="E63" s="189">
        <f>All!K436</f>
        <v>0</v>
      </c>
      <c r="F63" s="189">
        <f>All!L436</f>
        <v>6</v>
      </c>
      <c r="G63" s="189">
        <f>All!M436</f>
        <v>7</v>
      </c>
      <c r="H63" s="189">
        <f>All!N436</f>
        <v>1</v>
      </c>
      <c r="I63" s="189">
        <f>All!O436</f>
        <v>0</v>
      </c>
      <c r="J63" s="189">
        <f>All!P436</f>
        <v>0</v>
      </c>
      <c r="K63" s="189">
        <f>All!Q436</f>
        <v>1</v>
      </c>
      <c r="L63" s="189">
        <f>All!R436</f>
        <v>0</v>
      </c>
      <c r="M63" s="189">
        <f>All!S436</f>
        <v>0</v>
      </c>
      <c r="N63" s="189">
        <f>All!T436</f>
        <v>0</v>
      </c>
      <c r="O63" s="189">
        <f>All!U436</f>
        <v>12</v>
      </c>
      <c r="P63" s="189">
        <f>All!V436</f>
        <v>0</v>
      </c>
      <c r="Q63" s="189">
        <f>All!W436</f>
        <v>0</v>
      </c>
      <c r="R63" s="189">
        <f>All!X436</f>
        <v>0</v>
      </c>
      <c r="S63" s="189">
        <f>All!Y436</f>
        <v>0</v>
      </c>
      <c r="T63" s="189">
        <f>All!Z436</f>
        <v>0</v>
      </c>
      <c r="U63" s="189">
        <f>All!AA436</f>
        <v>0</v>
      </c>
      <c r="V63" s="189">
        <f>All!AB436</f>
        <v>0</v>
      </c>
      <c r="W63" s="198">
        <f>SUM(B63:V63)</f>
        <v>30</v>
      </c>
    </row>
    <row r="64" spans="1:23" ht="15.75" thickBot="1">
      <c r="A64" s="190" t="s">
        <v>1992</v>
      </c>
      <c r="B64" s="191">
        <f>All!H461</f>
        <v>1</v>
      </c>
      <c r="C64" s="191">
        <f>All!I461</f>
        <v>1</v>
      </c>
      <c r="D64" s="191">
        <f>All!J461</f>
        <v>0</v>
      </c>
      <c r="E64" s="191">
        <f>All!K461</f>
        <v>0</v>
      </c>
      <c r="F64" s="191">
        <f>All!L461</f>
        <v>0</v>
      </c>
      <c r="G64" s="191">
        <f>All!M461</f>
        <v>0</v>
      </c>
      <c r="H64" s="191">
        <f>All!N461</f>
        <v>0</v>
      </c>
      <c r="I64" s="191">
        <f>All!O461</f>
        <v>0</v>
      </c>
      <c r="J64" s="191">
        <f>All!P461</f>
        <v>0</v>
      </c>
      <c r="K64" s="191">
        <f>All!Q461</f>
        <v>1</v>
      </c>
      <c r="L64" s="191">
        <f>All!R461</f>
        <v>0</v>
      </c>
      <c r="M64" s="191">
        <f>All!S461</f>
        <v>0</v>
      </c>
      <c r="N64" s="191">
        <f>All!T461</f>
        <v>0</v>
      </c>
      <c r="O64" s="191">
        <f>All!U461</f>
        <v>1</v>
      </c>
      <c r="P64" s="191">
        <f>All!V461</f>
        <v>0</v>
      </c>
      <c r="Q64" s="191">
        <f>All!W461</f>
        <v>0</v>
      </c>
      <c r="R64" s="191">
        <f>All!X461</f>
        <v>0</v>
      </c>
      <c r="S64" s="191">
        <f>All!Y461</f>
        <v>0</v>
      </c>
      <c r="T64" s="191">
        <f>All!Z461</f>
        <v>0</v>
      </c>
      <c r="U64" s="191">
        <f>All!AA461</f>
        <v>0</v>
      </c>
      <c r="V64" s="191">
        <f>All!AB461</f>
        <v>0</v>
      </c>
    </row>
    <row r="65" spans="1:23">
      <c r="A65" s="192" t="str">
        <f>All!C437</f>
        <v>Psychology</v>
      </c>
      <c r="B65" s="189">
        <v>116</v>
      </c>
      <c r="C65" s="189">
        <f>B65</f>
        <v>116</v>
      </c>
      <c r="D65" s="189">
        <f t="shared" ref="D65:V65" si="212">C65</f>
        <v>116</v>
      </c>
      <c r="E65" s="189">
        <f t="shared" si="212"/>
        <v>116</v>
      </c>
      <c r="F65" s="189">
        <f t="shared" si="212"/>
        <v>116</v>
      </c>
      <c r="G65" s="189">
        <f t="shared" si="212"/>
        <v>116</v>
      </c>
      <c r="H65" s="189">
        <f t="shared" si="212"/>
        <v>116</v>
      </c>
      <c r="I65" s="189">
        <f t="shared" si="212"/>
        <v>116</v>
      </c>
      <c r="J65" s="189">
        <f t="shared" si="212"/>
        <v>116</v>
      </c>
      <c r="K65" s="189">
        <f t="shared" si="212"/>
        <v>116</v>
      </c>
      <c r="L65" s="189">
        <f t="shared" si="212"/>
        <v>116</v>
      </c>
      <c r="M65" s="189">
        <f t="shared" si="212"/>
        <v>116</v>
      </c>
      <c r="N65" s="189">
        <f t="shared" si="212"/>
        <v>116</v>
      </c>
      <c r="O65" s="189">
        <f t="shared" si="212"/>
        <v>116</v>
      </c>
      <c r="P65" s="189">
        <f t="shared" si="212"/>
        <v>116</v>
      </c>
      <c r="Q65" s="189">
        <f t="shared" si="212"/>
        <v>116</v>
      </c>
      <c r="R65" s="189">
        <f t="shared" si="212"/>
        <v>116</v>
      </c>
      <c r="S65" s="189">
        <f t="shared" si="212"/>
        <v>116</v>
      </c>
      <c r="T65" s="189">
        <f t="shared" si="212"/>
        <v>116</v>
      </c>
      <c r="U65" s="189">
        <f t="shared" si="212"/>
        <v>116</v>
      </c>
      <c r="V65" s="189">
        <f t="shared" si="212"/>
        <v>116</v>
      </c>
    </row>
    <row r="66" spans="1:23">
      <c r="A66" s="192" t="s">
        <v>1737</v>
      </c>
      <c r="B66" s="189">
        <v>10</v>
      </c>
      <c r="C66" s="189">
        <f>B66+1</f>
        <v>11</v>
      </c>
      <c r="D66" s="189">
        <f t="shared" ref="D66:V66" si="213">C66+1</f>
        <v>12</v>
      </c>
      <c r="E66" s="189">
        <f t="shared" si="213"/>
        <v>13</v>
      </c>
      <c r="F66" s="189">
        <f t="shared" si="213"/>
        <v>14</v>
      </c>
      <c r="G66" s="189">
        <f t="shared" si="213"/>
        <v>15</v>
      </c>
      <c r="H66" s="189">
        <f t="shared" si="213"/>
        <v>16</v>
      </c>
      <c r="I66" s="189">
        <f t="shared" si="213"/>
        <v>17</v>
      </c>
      <c r="J66" s="189">
        <f t="shared" si="213"/>
        <v>18</v>
      </c>
      <c r="K66" s="189">
        <f t="shared" si="213"/>
        <v>19</v>
      </c>
      <c r="L66" s="189">
        <f t="shared" si="213"/>
        <v>20</v>
      </c>
      <c r="M66" s="189">
        <f t="shared" si="213"/>
        <v>21</v>
      </c>
      <c r="N66" s="189">
        <f t="shared" si="213"/>
        <v>22</v>
      </c>
      <c r="O66" s="189">
        <f t="shared" si="213"/>
        <v>23</v>
      </c>
      <c r="P66" s="189">
        <f t="shared" si="213"/>
        <v>24</v>
      </c>
      <c r="Q66" s="189">
        <f t="shared" si="213"/>
        <v>25</v>
      </c>
      <c r="R66" s="189">
        <f t="shared" si="213"/>
        <v>26</v>
      </c>
      <c r="S66" s="189">
        <f t="shared" si="213"/>
        <v>27</v>
      </c>
      <c r="T66" s="189">
        <f t="shared" si="213"/>
        <v>28</v>
      </c>
      <c r="U66" s="189">
        <f t="shared" si="213"/>
        <v>29</v>
      </c>
      <c r="V66" s="189">
        <f t="shared" si="213"/>
        <v>30</v>
      </c>
    </row>
    <row r="67" spans="1:23">
      <c r="A67" s="193" t="s">
        <v>1738</v>
      </c>
      <c r="B67" s="189">
        <f>All!H437</f>
        <v>0</v>
      </c>
      <c r="C67" s="189">
        <f>All!I437</f>
        <v>0</v>
      </c>
      <c r="D67" s="189">
        <f>All!J437</f>
        <v>0</v>
      </c>
      <c r="E67" s="189">
        <f>All!K437</f>
        <v>0</v>
      </c>
      <c r="F67" s="189">
        <f>All!L437</f>
        <v>0</v>
      </c>
      <c r="G67" s="189">
        <f>All!M437</f>
        <v>3</v>
      </c>
      <c r="H67" s="189">
        <f>All!N437</f>
        <v>0</v>
      </c>
      <c r="I67" s="189">
        <f>All!O437</f>
        <v>0</v>
      </c>
      <c r="J67" s="189">
        <f>All!P437</f>
        <v>0</v>
      </c>
      <c r="K67" s="189">
        <f>All!Q437</f>
        <v>0</v>
      </c>
      <c r="L67" s="189">
        <f>All!R437</f>
        <v>0</v>
      </c>
      <c r="M67" s="189">
        <f>All!S437</f>
        <v>0</v>
      </c>
      <c r="N67" s="189">
        <f>All!T437</f>
        <v>3</v>
      </c>
      <c r="O67" s="189">
        <f>All!U437</f>
        <v>2</v>
      </c>
      <c r="P67" s="189">
        <f>All!V437</f>
        <v>0</v>
      </c>
      <c r="Q67" s="189">
        <f>All!W437</f>
        <v>0</v>
      </c>
      <c r="R67" s="189">
        <f>All!X437</f>
        <v>0</v>
      </c>
      <c r="S67" s="189">
        <f>All!Y437</f>
        <v>3</v>
      </c>
      <c r="T67" s="189">
        <f>All!Z437</f>
        <v>0</v>
      </c>
      <c r="U67" s="189">
        <f>All!AA437</f>
        <v>3</v>
      </c>
      <c r="V67" s="189">
        <f>All!AB437</f>
        <v>0</v>
      </c>
      <c r="W67" s="198">
        <f>SUM(B67:V67)</f>
        <v>14</v>
      </c>
    </row>
    <row r="68" spans="1:23" ht="15.75" thickBot="1">
      <c r="A68" s="190" t="s">
        <v>1992</v>
      </c>
      <c r="B68" s="191">
        <f>All!H462</f>
        <v>0</v>
      </c>
      <c r="C68" s="191">
        <f>All!I462</f>
        <v>0</v>
      </c>
      <c r="D68" s="191">
        <f>All!J462</f>
        <v>0</v>
      </c>
      <c r="E68" s="191">
        <f>All!K462</f>
        <v>0</v>
      </c>
      <c r="F68" s="191">
        <f>All!L462</f>
        <v>0</v>
      </c>
      <c r="G68" s="191">
        <f>All!M462</f>
        <v>0</v>
      </c>
      <c r="H68" s="191">
        <f>All!N462</f>
        <v>0</v>
      </c>
      <c r="I68" s="191">
        <f>All!O462</f>
        <v>0</v>
      </c>
      <c r="J68" s="191">
        <f>All!P462</f>
        <v>0</v>
      </c>
      <c r="K68" s="191">
        <f>All!Q462</f>
        <v>0</v>
      </c>
      <c r="L68" s="191">
        <f>All!R462</f>
        <v>0</v>
      </c>
      <c r="M68" s="191">
        <f>All!S462</f>
        <v>0</v>
      </c>
      <c r="N68" s="191">
        <f>All!T462</f>
        <v>0</v>
      </c>
      <c r="O68" s="191">
        <f>All!U462</f>
        <v>0</v>
      </c>
      <c r="P68" s="191">
        <f>All!V462</f>
        <v>0</v>
      </c>
      <c r="Q68" s="191">
        <f>All!W462</f>
        <v>0</v>
      </c>
      <c r="R68" s="191">
        <f>All!X462</f>
        <v>0</v>
      </c>
      <c r="S68" s="191">
        <f>All!Y462</f>
        <v>0</v>
      </c>
      <c r="T68" s="191">
        <f>All!Z462</f>
        <v>0</v>
      </c>
      <c r="U68" s="191">
        <f>All!AA462</f>
        <v>0</v>
      </c>
      <c r="V68" s="191">
        <f>All!AB462</f>
        <v>0</v>
      </c>
    </row>
    <row r="69" spans="1:23">
      <c r="A69" s="192" t="str">
        <f>All!C438</f>
        <v>Public health</v>
      </c>
      <c r="B69" s="189">
        <v>117</v>
      </c>
      <c r="C69" s="189">
        <f>B69</f>
        <v>117</v>
      </c>
      <c r="D69" s="189">
        <f t="shared" ref="D69:V69" si="214">C69</f>
        <v>117</v>
      </c>
      <c r="E69" s="189">
        <f t="shared" si="214"/>
        <v>117</v>
      </c>
      <c r="F69" s="189">
        <f t="shared" si="214"/>
        <v>117</v>
      </c>
      <c r="G69" s="189">
        <f t="shared" si="214"/>
        <v>117</v>
      </c>
      <c r="H69" s="189">
        <f t="shared" si="214"/>
        <v>117</v>
      </c>
      <c r="I69" s="189">
        <f t="shared" si="214"/>
        <v>117</v>
      </c>
      <c r="J69" s="189">
        <f t="shared" si="214"/>
        <v>117</v>
      </c>
      <c r="K69" s="189">
        <f t="shared" si="214"/>
        <v>117</v>
      </c>
      <c r="L69" s="189">
        <f t="shared" si="214"/>
        <v>117</v>
      </c>
      <c r="M69" s="189">
        <f t="shared" si="214"/>
        <v>117</v>
      </c>
      <c r="N69" s="189">
        <f t="shared" si="214"/>
        <v>117</v>
      </c>
      <c r="O69" s="189">
        <f t="shared" si="214"/>
        <v>117</v>
      </c>
      <c r="P69" s="189">
        <f t="shared" si="214"/>
        <v>117</v>
      </c>
      <c r="Q69" s="189">
        <f t="shared" si="214"/>
        <v>117</v>
      </c>
      <c r="R69" s="189">
        <f t="shared" si="214"/>
        <v>117</v>
      </c>
      <c r="S69" s="189">
        <f t="shared" si="214"/>
        <v>117</v>
      </c>
      <c r="T69" s="189">
        <f t="shared" si="214"/>
        <v>117</v>
      </c>
      <c r="U69" s="189">
        <f t="shared" si="214"/>
        <v>117</v>
      </c>
      <c r="V69" s="189">
        <f t="shared" si="214"/>
        <v>117</v>
      </c>
    </row>
    <row r="70" spans="1:23">
      <c r="A70" s="192" t="s">
        <v>1737</v>
      </c>
      <c r="B70" s="189">
        <v>10</v>
      </c>
      <c r="C70" s="189">
        <f>B70+1</f>
        <v>11</v>
      </c>
      <c r="D70" s="189">
        <f t="shared" ref="D70:V70" si="215">C70+1</f>
        <v>12</v>
      </c>
      <c r="E70" s="189">
        <f t="shared" si="215"/>
        <v>13</v>
      </c>
      <c r="F70" s="189">
        <f t="shared" si="215"/>
        <v>14</v>
      </c>
      <c r="G70" s="189">
        <f t="shared" si="215"/>
        <v>15</v>
      </c>
      <c r="H70" s="189">
        <f t="shared" si="215"/>
        <v>16</v>
      </c>
      <c r="I70" s="189">
        <f t="shared" si="215"/>
        <v>17</v>
      </c>
      <c r="J70" s="189">
        <f t="shared" si="215"/>
        <v>18</v>
      </c>
      <c r="K70" s="189">
        <f t="shared" si="215"/>
        <v>19</v>
      </c>
      <c r="L70" s="189">
        <f t="shared" si="215"/>
        <v>20</v>
      </c>
      <c r="M70" s="189">
        <f t="shared" si="215"/>
        <v>21</v>
      </c>
      <c r="N70" s="189">
        <f t="shared" si="215"/>
        <v>22</v>
      </c>
      <c r="O70" s="189">
        <f t="shared" si="215"/>
        <v>23</v>
      </c>
      <c r="P70" s="189">
        <f t="shared" si="215"/>
        <v>24</v>
      </c>
      <c r="Q70" s="189">
        <f t="shared" si="215"/>
        <v>25</v>
      </c>
      <c r="R70" s="189">
        <f t="shared" si="215"/>
        <v>26</v>
      </c>
      <c r="S70" s="189">
        <f t="shared" si="215"/>
        <v>27</v>
      </c>
      <c r="T70" s="189">
        <f t="shared" si="215"/>
        <v>28</v>
      </c>
      <c r="U70" s="189">
        <f t="shared" si="215"/>
        <v>29</v>
      </c>
      <c r="V70" s="189">
        <f t="shared" si="215"/>
        <v>30</v>
      </c>
    </row>
    <row r="71" spans="1:23">
      <c r="A71" s="193" t="s">
        <v>1738</v>
      </c>
      <c r="B71" s="189">
        <f>All!H438</f>
        <v>0</v>
      </c>
      <c r="C71" s="189">
        <f>All!I438</f>
        <v>0</v>
      </c>
      <c r="D71" s="189">
        <f>All!J438</f>
        <v>0</v>
      </c>
      <c r="E71" s="189">
        <f>All!K438</f>
        <v>2</v>
      </c>
      <c r="F71" s="189">
        <f>All!L438</f>
        <v>1</v>
      </c>
      <c r="G71" s="189">
        <f>All!M438</f>
        <v>4</v>
      </c>
      <c r="H71" s="189">
        <f>All!N438</f>
        <v>0</v>
      </c>
      <c r="I71" s="189">
        <f>All!O438</f>
        <v>14</v>
      </c>
      <c r="J71" s="189">
        <f>All!P438</f>
        <v>1</v>
      </c>
      <c r="K71" s="189">
        <f>All!Q438</f>
        <v>1</v>
      </c>
      <c r="L71" s="189">
        <f>All!R438</f>
        <v>1</v>
      </c>
      <c r="M71" s="189">
        <f>All!S438</f>
        <v>1</v>
      </c>
      <c r="N71" s="189">
        <f>All!T438</f>
        <v>3</v>
      </c>
      <c r="O71" s="189">
        <f>All!U438</f>
        <v>2</v>
      </c>
      <c r="P71" s="189">
        <f>All!V438</f>
        <v>6</v>
      </c>
      <c r="Q71" s="189">
        <f>All!W438</f>
        <v>6</v>
      </c>
      <c r="R71" s="189">
        <f>All!X438</f>
        <v>3</v>
      </c>
      <c r="S71" s="189">
        <f>All!Y438</f>
        <v>2</v>
      </c>
      <c r="T71" s="189">
        <f>All!Z438</f>
        <v>3</v>
      </c>
      <c r="U71" s="189">
        <f>All!AA438</f>
        <v>0</v>
      </c>
      <c r="V71" s="189">
        <f>All!AB438</f>
        <v>0</v>
      </c>
      <c r="W71" s="198">
        <f>SUM(B71:V71)</f>
        <v>50</v>
      </c>
    </row>
    <row r="72" spans="1:23" ht="15.75" thickBot="1">
      <c r="A72" s="190" t="s">
        <v>1992</v>
      </c>
      <c r="B72" s="191">
        <f>All!H463</f>
        <v>0</v>
      </c>
      <c r="C72" s="191">
        <f>All!I463</f>
        <v>0</v>
      </c>
      <c r="D72" s="191">
        <f>All!J463</f>
        <v>0</v>
      </c>
      <c r="E72" s="191">
        <f>All!K463</f>
        <v>2</v>
      </c>
      <c r="F72" s="191">
        <f>All!L463</f>
        <v>1</v>
      </c>
      <c r="G72" s="191">
        <f>All!M463</f>
        <v>1</v>
      </c>
      <c r="H72" s="191">
        <f>All!N463</f>
        <v>0</v>
      </c>
      <c r="I72" s="191">
        <f>All!O463</f>
        <v>3</v>
      </c>
      <c r="J72" s="191">
        <f>All!P463</f>
        <v>0</v>
      </c>
      <c r="K72" s="191">
        <f>All!Q463</f>
        <v>0</v>
      </c>
      <c r="L72" s="191">
        <f>All!R463</f>
        <v>1</v>
      </c>
      <c r="M72" s="191">
        <f>All!S463</f>
        <v>0</v>
      </c>
      <c r="N72" s="191">
        <f>All!T463</f>
        <v>1</v>
      </c>
      <c r="O72" s="191">
        <f>All!U463</f>
        <v>0</v>
      </c>
      <c r="P72" s="191">
        <f>All!V463</f>
        <v>2</v>
      </c>
      <c r="Q72" s="191">
        <f>All!W463</f>
        <v>3</v>
      </c>
      <c r="R72" s="191">
        <f>All!X463</f>
        <v>2</v>
      </c>
      <c r="S72" s="191">
        <f>All!Y463</f>
        <v>0</v>
      </c>
      <c r="T72" s="191">
        <f>All!Z463</f>
        <v>2</v>
      </c>
      <c r="U72" s="191">
        <f>All!AA463</f>
        <v>0</v>
      </c>
      <c r="V72" s="191">
        <f>All!AB463</f>
        <v>0</v>
      </c>
    </row>
    <row r="73" spans="1:23">
      <c r="A73" s="192" t="str">
        <f>All!C439</f>
        <v>Sociology</v>
      </c>
      <c r="B73" s="189">
        <v>118</v>
      </c>
      <c r="C73" s="189">
        <f>B73</f>
        <v>118</v>
      </c>
      <c r="D73" s="189">
        <f t="shared" ref="D73:V73" si="216">C73</f>
        <v>118</v>
      </c>
      <c r="E73" s="189">
        <f t="shared" si="216"/>
        <v>118</v>
      </c>
      <c r="F73" s="189">
        <f t="shared" si="216"/>
        <v>118</v>
      </c>
      <c r="G73" s="189">
        <f t="shared" si="216"/>
        <v>118</v>
      </c>
      <c r="H73" s="189">
        <f t="shared" si="216"/>
        <v>118</v>
      </c>
      <c r="I73" s="189">
        <f t="shared" si="216"/>
        <v>118</v>
      </c>
      <c r="J73" s="189">
        <f t="shared" si="216"/>
        <v>118</v>
      </c>
      <c r="K73" s="189">
        <f t="shared" si="216"/>
        <v>118</v>
      </c>
      <c r="L73" s="189">
        <f t="shared" si="216"/>
        <v>118</v>
      </c>
      <c r="M73" s="189">
        <f t="shared" si="216"/>
        <v>118</v>
      </c>
      <c r="N73" s="189">
        <f t="shared" si="216"/>
        <v>118</v>
      </c>
      <c r="O73" s="189">
        <f t="shared" si="216"/>
        <v>118</v>
      </c>
      <c r="P73" s="189">
        <f t="shared" si="216"/>
        <v>118</v>
      </c>
      <c r="Q73" s="189">
        <f t="shared" si="216"/>
        <v>118</v>
      </c>
      <c r="R73" s="189">
        <f t="shared" si="216"/>
        <v>118</v>
      </c>
      <c r="S73" s="189">
        <f t="shared" si="216"/>
        <v>118</v>
      </c>
      <c r="T73" s="189">
        <f t="shared" si="216"/>
        <v>118</v>
      </c>
      <c r="U73" s="189">
        <f t="shared" si="216"/>
        <v>118</v>
      </c>
      <c r="V73" s="189">
        <f t="shared" si="216"/>
        <v>118</v>
      </c>
    </row>
    <row r="74" spans="1:23">
      <c r="A74" s="192" t="s">
        <v>1737</v>
      </c>
      <c r="B74" s="189">
        <v>10</v>
      </c>
      <c r="C74" s="189">
        <f>B74+1</f>
        <v>11</v>
      </c>
      <c r="D74" s="189">
        <f t="shared" ref="D74:V74" si="217">C74+1</f>
        <v>12</v>
      </c>
      <c r="E74" s="189">
        <f t="shared" si="217"/>
        <v>13</v>
      </c>
      <c r="F74" s="189">
        <f t="shared" si="217"/>
        <v>14</v>
      </c>
      <c r="G74" s="189">
        <f t="shared" si="217"/>
        <v>15</v>
      </c>
      <c r="H74" s="189">
        <f t="shared" si="217"/>
        <v>16</v>
      </c>
      <c r="I74" s="189">
        <f t="shared" si="217"/>
        <v>17</v>
      </c>
      <c r="J74" s="189">
        <f t="shared" si="217"/>
        <v>18</v>
      </c>
      <c r="K74" s="189">
        <f t="shared" si="217"/>
        <v>19</v>
      </c>
      <c r="L74" s="189">
        <f t="shared" si="217"/>
        <v>20</v>
      </c>
      <c r="M74" s="189">
        <f t="shared" si="217"/>
        <v>21</v>
      </c>
      <c r="N74" s="189">
        <f t="shared" si="217"/>
        <v>22</v>
      </c>
      <c r="O74" s="189">
        <f t="shared" si="217"/>
        <v>23</v>
      </c>
      <c r="P74" s="189">
        <f t="shared" si="217"/>
        <v>24</v>
      </c>
      <c r="Q74" s="189">
        <f t="shared" si="217"/>
        <v>25</v>
      </c>
      <c r="R74" s="189">
        <f t="shared" si="217"/>
        <v>26</v>
      </c>
      <c r="S74" s="189">
        <f t="shared" si="217"/>
        <v>27</v>
      </c>
      <c r="T74" s="189">
        <f t="shared" si="217"/>
        <v>28</v>
      </c>
      <c r="U74" s="189">
        <f t="shared" si="217"/>
        <v>29</v>
      </c>
      <c r="V74" s="189">
        <f t="shared" si="217"/>
        <v>30</v>
      </c>
    </row>
    <row r="75" spans="1:23">
      <c r="A75" s="193" t="s">
        <v>1738</v>
      </c>
      <c r="B75" s="189">
        <f>All!H439</f>
        <v>0</v>
      </c>
      <c r="C75" s="189">
        <f>All!I439</f>
        <v>0</v>
      </c>
      <c r="D75" s="189">
        <f>All!J439</f>
        <v>0</v>
      </c>
      <c r="E75" s="189">
        <f>All!K439</f>
        <v>0</v>
      </c>
      <c r="F75" s="189">
        <f>All!L439</f>
        <v>0</v>
      </c>
      <c r="G75" s="189">
        <f>All!M439</f>
        <v>3</v>
      </c>
      <c r="H75" s="189">
        <f>All!N439</f>
        <v>1</v>
      </c>
      <c r="I75" s="189">
        <f>All!O439</f>
        <v>0</v>
      </c>
      <c r="J75" s="189">
        <f>All!P439</f>
        <v>1</v>
      </c>
      <c r="K75" s="189">
        <f>All!Q439</f>
        <v>0</v>
      </c>
      <c r="L75" s="189">
        <f>All!R439</f>
        <v>0</v>
      </c>
      <c r="M75" s="189">
        <f>All!S439</f>
        <v>0</v>
      </c>
      <c r="N75" s="189">
        <f>All!T439</f>
        <v>0</v>
      </c>
      <c r="O75" s="189">
        <f>All!U439</f>
        <v>1</v>
      </c>
      <c r="P75" s="189">
        <f>All!V439</f>
        <v>0</v>
      </c>
      <c r="Q75" s="189">
        <f>All!W439</f>
        <v>0</v>
      </c>
      <c r="R75" s="189">
        <f>All!X439</f>
        <v>0</v>
      </c>
      <c r="S75" s="189">
        <f>All!Y439</f>
        <v>0</v>
      </c>
      <c r="T75" s="189">
        <f>All!Z439</f>
        <v>0</v>
      </c>
      <c r="U75" s="189">
        <f>All!AA439</f>
        <v>0</v>
      </c>
      <c r="V75" s="189">
        <f>All!AB439</f>
        <v>0</v>
      </c>
      <c r="W75" s="198">
        <f>SUM(B75:V75)</f>
        <v>6</v>
      </c>
    </row>
    <row r="76" spans="1:23" ht="15.75" thickBot="1">
      <c r="A76" s="190" t="s">
        <v>1992</v>
      </c>
      <c r="B76" s="191">
        <f>All!H464</f>
        <v>0</v>
      </c>
      <c r="C76" s="191">
        <f>All!I464</f>
        <v>0</v>
      </c>
      <c r="D76" s="191">
        <f>All!J464</f>
        <v>0</v>
      </c>
      <c r="E76" s="191">
        <f>All!K464</f>
        <v>0</v>
      </c>
      <c r="F76" s="191">
        <f>All!L464</f>
        <v>0</v>
      </c>
      <c r="G76" s="191">
        <f>All!M464</f>
        <v>0</v>
      </c>
      <c r="H76" s="191">
        <f>All!N464</f>
        <v>0</v>
      </c>
      <c r="I76" s="191">
        <f>All!O464</f>
        <v>0</v>
      </c>
      <c r="J76" s="191">
        <f>All!P464</f>
        <v>0</v>
      </c>
      <c r="K76" s="191">
        <f>All!Q464</f>
        <v>0</v>
      </c>
      <c r="L76" s="191">
        <f>All!R464</f>
        <v>0</v>
      </c>
      <c r="M76" s="191">
        <f>All!S464</f>
        <v>0</v>
      </c>
      <c r="N76" s="191">
        <f>All!T464</f>
        <v>0</v>
      </c>
      <c r="O76" s="191">
        <f>All!U464</f>
        <v>0</v>
      </c>
      <c r="P76" s="191">
        <f>All!V464</f>
        <v>0</v>
      </c>
      <c r="Q76" s="191">
        <f>All!W464</f>
        <v>0</v>
      </c>
      <c r="R76" s="191">
        <f>All!X464</f>
        <v>0</v>
      </c>
      <c r="S76" s="191">
        <f>All!Y464</f>
        <v>0</v>
      </c>
      <c r="T76" s="191">
        <f>All!Z464</f>
        <v>0</v>
      </c>
      <c r="U76" s="191">
        <f>All!AA464</f>
        <v>0</v>
      </c>
      <c r="V76" s="191">
        <f>All!AB464</f>
        <v>0</v>
      </c>
    </row>
    <row r="77" spans="1:23">
      <c r="A77" s="294" t="str">
        <f>All!C440</f>
        <v>SOM</v>
      </c>
      <c r="B77" s="295">
        <v>119</v>
      </c>
      <c r="C77" s="295">
        <f>B77</f>
        <v>119</v>
      </c>
      <c r="D77" s="295">
        <f t="shared" ref="D77:V77" si="218">C77</f>
        <v>119</v>
      </c>
      <c r="E77" s="295">
        <f t="shared" si="218"/>
        <v>119</v>
      </c>
      <c r="F77" s="295">
        <f t="shared" si="218"/>
        <v>119</v>
      </c>
      <c r="G77" s="295">
        <f t="shared" si="218"/>
        <v>119</v>
      </c>
      <c r="H77" s="295">
        <f t="shared" si="218"/>
        <v>119</v>
      </c>
      <c r="I77" s="295">
        <f t="shared" si="218"/>
        <v>119</v>
      </c>
      <c r="J77" s="295">
        <f t="shared" si="218"/>
        <v>119</v>
      </c>
      <c r="K77" s="295">
        <f t="shared" si="218"/>
        <v>119</v>
      </c>
      <c r="L77" s="295">
        <f t="shared" si="218"/>
        <v>119</v>
      </c>
      <c r="M77" s="295">
        <f t="shared" si="218"/>
        <v>119</v>
      </c>
      <c r="N77" s="295">
        <f t="shared" si="218"/>
        <v>119</v>
      </c>
      <c r="O77" s="295">
        <f t="shared" si="218"/>
        <v>119</v>
      </c>
      <c r="P77" s="295">
        <f t="shared" si="218"/>
        <v>119</v>
      </c>
      <c r="Q77" s="295">
        <f t="shared" si="218"/>
        <v>119</v>
      </c>
      <c r="R77" s="295">
        <f t="shared" si="218"/>
        <v>119</v>
      </c>
      <c r="S77" s="295">
        <f t="shared" si="218"/>
        <v>119</v>
      </c>
      <c r="T77" s="295">
        <f t="shared" si="218"/>
        <v>119</v>
      </c>
      <c r="U77" s="295">
        <f t="shared" si="218"/>
        <v>119</v>
      </c>
      <c r="V77" s="295">
        <f t="shared" si="218"/>
        <v>119</v>
      </c>
    </row>
    <row r="78" spans="1:23">
      <c r="A78" s="294" t="s">
        <v>1737</v>
      </c>
      <c r="B78" s="295">
        <v>10</v>
      </c>
      <c r="C78" s="295">
        <f>B78+1</f>
        <v>11</v>
      </c>
      <c r="D78" s="295">
        <f t="shared" ref="D78:V78" si="219">C78+1</f>
        <v>12</v>
      </c>
      <c r="E78" s="295">
        <f t="shared" si="219"/>
        <v>13</v>
      </c>
      <c r="F78" s="295">
        <f t="shared" si="219"/>
        <v>14</v>
      </c>
      <c r="G78" s="295">
        <f t="shared" si="219"/>
        <v>15</v>
      </c>
      <c r="H78" s="295">
        <f t="shared" si="219"/>
        <v>16</v>
      </c>
      <c r="I78" s="295">
        <f t="shared" si="219"/>
        <v>17</v>
      </c>
      <c r="J78" s="295">
        <f t="shared" si="219"/>
        <v>18</v>
      </c>
      <c r="K78" s="295">
        <f t="shared" si="219"/>
        <v>19</v>
      </c>
      <c r="L78" s="295">
        <f t="shared" si="219"/>
        <v>20</v>
      </c>
      <c r="M78" s="295">
        <f t="shared" si="219"/>
        <v>21</v>
      </c>
      <c r="N78" s="295">
        <f t="shared" si="219"/>
        <v>22</v>
      </c>
      <c r="O78" s="295">
        <f t="shared" si="219"/>
        <v>23</v>
      </c>
      <c r="P78" s="295">
        <f t="shared" si="219"/>
        <v>24</v>
      </c>
      <c r="Q78" s="295">
        <f t="shared" si="219"/>
        <v>25</v>
      </c>
      <c r="R78" s="295">
        <f t="shared" si="219"/>
        <v>26</v>
      </c>
      <c r="S78" s="295">
        <f t="shared" si="219"/>
        <v>27</v>
      </c>
      <c r="T78" s="295">
        <f t="shared" si="219"/>
        <v>28</v>
      </c>
      <c r="U78" s="295">
        <f t="shared" si="219"/>
        <v>29</v>
      </c>
      <c r="V78" s="295">
        <f t="shared" si="219"/>
        <v>30</v>
      </c>
    </row>
    <row r="79" spans="1:23">
      <c r="A79" s="296" t="s">
        <v>1738</v>
      </c>
      <c r="B79" s="295">
        <f>All!H440</f>
        <v>23</v>
      </c>
      <c r="C79" s="295">
        <f>All!I440</f>
        <v>21</v>
      </c>
      <c r="D79" s="295">
        <f>All!J440</f>
        <v>22</v>
      </c>
      <c r="E79" s="295">
        <f>All!K440</f>
        <v>4</v>
      </c>
      <c r="F79" s="295">
        <f>All!L440</f>
        <v>6</v>
      </c>
      <c r="G79" s="295">
        <f>All!M440</f>
        <v>5</v>
      </c>
      <c r="H79" s="295">
        <f>All!N440</f>
        <v>3</v>
      </c>
      <c r="I79" s="295">
        <f>All!O440</f>
        <v>0</v>
      </c>
      <c r="J79" s="295">
        <f>All!P440</f>
        <v>1</v>
      </c>
      <c r="K79" s="295">
        <f>All!Q440</f>
        <v>10</v>
      </c>
      <c r="L79" s="295">
        <f>All!R440</f>
        <v>5</v>
      </c>
      <c r="M79" s="295">
        <f>All!S440</f>
        <v>4</v>
      </c>
      <c r="N79" s="295">
        <f>All!T440</f>
        <v>2</v>
      </c>
      <c r="O79" s="295">
        <f>All!U440</f>
        <v>11</v>
      </c>
      <c r="P79" s="295">
        <f>All!V440</f>
        <v>0</v>
      </c>
      <c r="Q79" s="295">
        <f>All!W440</f>
        <v>0</v>
      </c>
      <c r="R79" s="295">
        <f>All!X440</f>
        <v>0</v>
      </c>
      <c r="S79" s="295">
        <f>All!Y440</f>
        <v>0</v>
      </c>
      <c r="T79" s="295">
        <f>All!Z440</f>
        <v>0</v>
      </c>
      <c r="U79" s="295">
        <f>All!AA440</f>
        <v>0</v>
      </c>
      <c r="V79" s="295">
        <f>All!AB440</f>
        <v>0</v>
      </c>
      <c r="W79" s="198">
        <f>SUM(B79:V79)</f>
        <v>117</v>
      </c>
    </row>
    <row r="80" spans="1:23" ht="15.75" thickBot="1">
      <c r="A80" s="297" t="s">
        <v>1992</v>
      </c>
      <c r="B80" s="298">
        <f>All!H465</f>
        <v>5</v>
      </c>
      <c r="C80" s="298">
        <f>All!I465</f>
        <v>12</v>
      </c>
      <c r="D80" s="298">
        <f>All!J465</f>
        <v>7</v>
      </c>
      <c r="E80" s="298">
        <f>All!K465</f>
        <v>4</v>
      </c>
      <c r="F80" s="298">
        <f>All!L465</f>
        <v>4</v>
      </c>
      <c r="G80" s="298">
        <f>All!M465</f>
        <v>1</v>
      </c>
      <c r="H80" s="298">
        <f>All!N465</f>
        <v>1</v>
      </c>
      <c r="I80" s="298">
        <f>All!O465</f>
        <v>0</v>
      </c>
      <c r="J80" s="298">
        <f>All!P465</f>
        <v>0</v>
      </c>
      <c r="K80" s="298">
        <f>All!Q465</f>
        <v>8</v>
      </c>
      <c r="L80" s="298">
        <f>All!R465</f>
        <v>5</v>
      </c>
      <c r="M80" s="298">
        <f>All!S465</f>
        <v>0</v>
      </c>
      <c r="N80" s="298">
        <f>All!T465</f>
        <v>2</v>
      </c>
      <c r="O80" s="298">
        <f>All!U465</f>
        <v>8</v>
      </c>
      <c r="P80" s="298">
        <f>All!V465</f>
        <v>0</v>
      </c>
      <c r="Q80" s="298">
        <f>All!W465</f>
        <v>0</v>
      </c>
      <c r="R80" s="298">
        <f>All!X465</f>
        <v>0</v>
      </c>
      <c r="S80" s="298">
        <f>All!Y465</f>
        <v>0</v>
      </c>
      <c r="T80" s="298">
        <f>All!Z465</f>
        <v>0</v>
      </c>
      <c r="U80" s="298">
        <f>All!AA465</f>
        <v>0</v>
      </c>
      <c r="V80" s="298">
        <f>All!AB465</f>
        <v>0</v>
      </c>
    </row>
    <row r="81" spans="1:23">
      <c r="A81" s="192" t="str">
        <f>All!C441</f>
        <v>South asian studies</v>
      </c>
      <c r="B81" s="189">
        <v>120</v>
      </c>
      <c r="C81" s="189">
        <f>B81</f>
        <v>120</v>
      </c>
      <c r="D81" s="189">
        <f t="shared" ref="D81:V81" si="220">C81</f>
        <v>120</v>
      </c>
      <c r="E81" s="189">
        <f t="shared" si="220"/>
        <v>120</v>
      </c>
      <c r="F81" s="189">
        <f t="shared" si="220"/>
        <v>120</v>
      </c>
      <c r="G81" s="189">
        <f t="shared" si="220"/>
        <v>120</v>
      </c>
      <c r="H81" s="189">
        <f t="shared" si="220"/>
        <v>120</v>
      </c>
      <c r="I81" s="189">
        <f t="shared" si="220"/>
        <v>120</v>
      </c>
      <c r="J81" s="189">
        <f t="shared" si="220"/>
        <v>120</v>
      </c>
      <c r="K81" s="189">
        <f t="shared" si="220"/>
        <v>120</v>
      </c>
      <c r="L81" s="189">
        <f t="shared" si="220"/>
        <v>120</v>
      </c>
      <c r="M81" s="189">
        <f t="shared" si="220"/>
        <v>120</v>
      </c>
      <c r="N81" s="189">
        <f t="shared" si="220"/>
        <v>120</v>
      </c>
      <c r="O81" s="189">
        <f t="shared" si="220"/>
        <v>120</v>
      </c>
      <c r="P81" s="189">
        <f t="shared" si="220"/>
        <v>120</v>
      </c>
      <c r="Q81" s="189">
        <f t="shared" si="220"/>
        <v>120</v>
      </c>
      <c r="R81" s="189">
        <f t="shared" si="220"/>
        <v>120</v>
      </c>
      <c r="S81" s="189">
        <f t="shared" si="220"/>
        <v>120</v>
      </c>
      <c r="T81" s="189">
        <f t="shared" si="220"/>
        <v>120</v>
      </c>
      <c r="U81" s="189">
        <f t="shared" si="220"/>
        <v>120</v>
      </c>
      <c r="V81" s="189">
        <f t="shared" si="220"/>
        <v>120</v>
      </c>
    </row>
    <row r="82" spans="1:23">
      <c r="A82" s="192" t="s">
        <v>1737</v>
      </c>
      <c r="B82" s="189">
        <v>10</v>
      </c>
      <c r="C82" s="189">
        <f>B82+1</f>
        <v>11</v>
      </c>
      <c r="D82" s="189">
        <f t="shared" ref="D82:V82" si="221">C82+1</f>
        <v>12</v>
      </c>
      <c r="E82" s="189">
        <f t="shared" si="221"/>
        <v>13</v>
      </c>
      <c r="F82" s="189">
        <f t="shared" si="221"/>
        <v>14</v>
      </c>
      <c r="G82" s="189">
        <f t="shared" si="221"/>
        <v>15</v>
      </c>
      <c r="H82" s="189">
        <f t="shared" si="221"/>
        <v>16</v>
      </c>
      <c r="I82" s="189">
        <f t="shared" si="221"/>
        <v>17</v>
      </c>
      <c r="J82" s="189">
        <f t="shared" si="221"/>
        <v>18</v>
      </c>
      <c r="K82" s="189">
        <f t="shared" si="221"/>
        <v>19</v>
      </c>
      <c r="L82" s="189">
        <f t="shared" si="221"/>
        <v>20</v>
      </c>
      <c r="M82" s="189">
        <f t="shared" si="221"/>
        <v>21</v>
      </c>
      <c r="N82" s="189">
        <f t="shared" si="221"/>
        <v>22</v>
      </c>
      <c r="O82" s="189">
        <f t="shared" si="221"/>
        <v>23</v>
      </c>
      <c r="P82" s="189">
        <f t="shared" si="221"/>
        <v>24</v>
      </c>
      <c r="Q82" s="189">
        <f t="shared" si="221"/>
        <v>25</v>
      </c>
      <c r="R82" s="189">
        <f t="shared" si="221"/>
        <v>26</v>
      </c>
      <c r="S82" s="189">
        <f t="shared" si="221"/>
        <v>27</v>
      </c>
      <c r="T82" s="189">
        <f t="shared" si="221"/>
        <v>28</v>
      </c>
      <c r="U82" s="189">
        <f t="shared" si="221"/>
        <v>29</v>
      </c>
      <c r="V82" s="189">
        <f t="shared" si="221"/>
        <v>30</v>
      </c>
    </row>
    <row r="83" spans="1:23">
      <c r="A83" s="193" t="s">
        <v>1738</v>
      </c>
      <c r="B83" s="189">
        <f>All!H441</f>
        <v>0</v>
      </c>
      <c r="C83" s="189">
        <f>All!I441</f>
        <v>0</v>
      </c>
      <c r="D83" s="189">
        <f>All!J441</f>
        <v>0</v>
      </c>
      <c r="E83" s="189">
        <f>All!K441</f>
        <v>0</v>
      </c>
      <c r="F83" s="189">
        <f>All!L441</f>
        <v>1</v>
      </c>
      <c r="G83" s="189">
        <f>All!M441</f>
        <v>2</v>
      </c>
      <c r="H83" s="189">
        <f>All!N441</f>
        <v>0</v>
      </c>
      <c r="I83" s="189">
        <f>All!O441</f>
        <v>1</v>
      </c>
      <c r="J83" s="189">
        <f>All!P441</f>
        <v>0</v>
      </c>
      <c r="K83" s="189">
        <f>All!Q441</f>
        <v>0</v>
      </c>
      <c r="L83" s="189">
        <f>All!R441</f>
        <v>1</v>
      </c>
      <c r="M83" s="189">
        <f>All!S441</f>
        <v>0</v>
      </c>
      <c r="N83" s="189">
        <f>All!T441</f>
        <v>0</v>
      </c>
      <c r="O83" s="189">
        <f>All!U441</f>
        <v>2</v>
      </c>
      <c r="P83" s="189">
        <f>All!V441</f>
        <v>0</v>
      </c>
      <c r="Q83" s="189">
        <f>All!W441</f>
        <v>0</v>
      </c>
      <c r="R83" s="189">
        <f>All!X441</f>
        <v>0</v>
      </c>
      <c r="S83" s="189">
        <f>All!Y441</f>
        <v>0</v>
      </c>
      <c r="T83" s="189">
        <f>All!Z441</f>
        <v>1</v>
      </c>
      <c r="U83" s="189">
        <f>All!AA441</f>
        <v>0</v>
      </c>
      <c r="V83" s="189">
        <f>All!AB441</f>
        <v>0</v>
      </c>
      <c r="W83" s="198">
        <f>SUM(B83:V83)</f>
        <v>8</v>
      </c>
    </row>
    <row r="84" spans="1:23" ht="15.75" thickBot="1">
      <c r="A84" s="190" t="s">
        <v>1992</v>
      </c>
      <c r="B84" s="191">
        <f>All!H466</f>
        <v>0</v>
      </c>
      <c r="C84" s="191">
        <f>All!I466</f>
        <v>0</v>
      </c>
      <c r="D84" s="191">
        <f>All!J466</f>
        <v>0</v>
      </c>
      <c r="E84" s="191">
        <f>All!K466</f>
        <v>0</v>
      </c>
      <c r="F84" s="191">
        <f>All!L466</f>
        <v>0</v>
      </c>
      <c r="G84" s="191">
        <f>All!M466</f>
        <v>0</v>
      </c>
      <c r="H84" s="191">
        <f>All!N466</f>
        <v>0</v>
      </c>
      <c r="I84" s="191">
        <f>All!O466</f>
        <v>0</v>
      </c>
      <c r="J84" s="191">
        <f>All!P466</f>
        <v>0</v>
      </c>
      <c r="K84" s="191">
        <f>All!Q466</f>
        <v>0</v>
      </c>
      <c r="L84" s="191">
        <f>All!R466</f>
        <v>0</v>
      </c>
      <c r="M84" s="191">
        <f>All!S466</f>
        <v>0</v>
      </c>
      <c r="N84" s="191">
        <f>All!T466</f>
        <v>0</v>
      </c>
      <c r="O84" s="191">
        <f>All!U466</f>
        <v>0</v>
      </c>
      <c r="P84" s="191">
        <f>All!V466</f>
        <v>0</v>
      </c>
      <c r="Q84" s="191">
        <f>All!W466</f>
        <v>0</v>
      </c>
      <c r="R84" s="191">
        <f>All!X466</f>
        <v>0</v>
      </c>
      <c r="S84" s="191">
        <f>All!Y466</f>
        <v>0</v>
      </c>
      <c r="T84" s="191">
        <f>All!Z466</f>
        <v>0</v>
      </c>
      <c r="U84" s="191">
        <f>All!AA466</f>
        <v>0</v>
      </c>
      <c r="V84" s="191">
        <f>All!AB466</f>
        <v>0</v>
      </c>
    </row>
    <row r="85" spans="1:23">
      <c r="A85" s="192" t="str">
        <f>All!C442</f>
        <v>Women's, gender, and sexuality studies</v>
      </c>
      <c r="B85" s="189">
        <v>121</v>
      </c>
      <c r="C85" s="189">
        <f>B85</f>
        <v>121</v>
      </c>
      <c r="D85" s="189">
        <f t="shared" ref="D85:V85" si="222">C85</f>
        <v>121</v>
      </c>
      <c r="E85" s="189">
        <f t="shared" si="222"/>
        <v>121</v>
      </c>
      <c r="F85" s="189">
        <f t="shared" si="222"/>
        <v>121</v>
      </c>
      <c r="G85" s="189">
        <f t="shared" si="222"/>
        <v>121</v>
      </c>
      <c r="H85" s="189">
        <f t="shared" si="222"/>
        <v>121</v>
      </c>
      <c r="I85" s="189">
        <f t="shared" si="222"/>
        <v>121</v>
      </c>
      <c r="J85" s="189">
        <f t="shared" si="222"/>
        <v>121</v>
      </c>
      <c r="K85" s="189">
        <f t="shared" si="222"/>
        <v>121</v>
      </c>
      <c r="L85" s="189">
        <f t="shared" si="222"/>
        <v>121</v>
      </c>
      <c r="M85" s="189">
        <f t="shared" si="222"/>
        <v>121</v>
      </c>
      <c r="N85" s="189">
        <f t="shared" si="222"/>
        <v>121</v>
      </c>
      <c r="O85" s="189">
        <f t="shared" si="222"/>
        <v>121</v>
      </c>
      <c r="P85" s="189">
        <f t="shared" si="222"/>
        <v>121</v>
      </c>
      <c r="Q85" s="189">
        <f t="shared" si="222"/>
        <v>121</v>
      </c>
      <c r="R85" s="189">
        <f t="shared" si="222"/>
        <v>121</v>
      </c>
      <c r="S85" s="189">
        <f t="shared" si="222"/>
        <v>121</v>
      </c>
      <c r="T85" s="189">
        <f t="shared" si="222"/>
        <v>121</v>
      </c>
      <c r="U85" s="189">
        <f t="shared" si="222"/>
        <v>121</v>
      </c>
      <c r="V85" s="189">
        <f t="shared" si="222"/>
        <v>121</v>
      </c>
    </row>
    <row r="86" spans="1:23">
      <c r="A86" s="192" t="s">
        <v>1737</v>
      </c>
      <c r="B86" s="189">
        <v>10</v>
      </c>
      <c r="C86" s="189">
        <f>B86+1</f>
        <v>11</v>
      </c>
      <c r="D86" s="189">
        <f t="shared" ref="D86:V86" si="223">C86+1</f>
        <v>12</v>
      </c>
      <c r="E86" s="189">
        <f t="shared" si="223"/>
        <v>13</v>
      </c>
      <c r="F86" s="189">
        <f t="shared" si="223"/>
        <v>14</v>
      </c>
      <c r="G86" s="189">
        <f t="shared" si="223"/>
        <v>15</v>
      </c>
      <c r="H86" s="189">
        <f t="shared" si="223"/>
        <v>16</v>
      </c>
      <c r="I86" s="189">
        <f t="shared" si="223"/>
        <v>17</v>
      </c>
      <c r="J86" s="189">
        <f t="shared" si="223"/>
        <v>18</v>
      </c>
      <c r="K86" s="189">
        <f t="shared" si="223"/>
        <v>19</v>
      </c>
      <c r="L86" s="189">
        <f t="shared" si="223"/>
        <v>20</v>
      </c>
      <c r="M86" s="189">
        <f t="shared" si="223"/>
        <v>21</v>
      </c>
      <c r="N86" s="189">
        <f t="shared" si="223"/>
        <v>22</v>
      </c>
      <c r="O86" s="189">
        <f t="shared" si="223"/>
        <v>23</v>
      </c>
      <c r="P86" s="189">
        <f t="shared" si="223"/>
        <v>24</v>
      </c>
      <c r="Q86" s="189">
        <f t="shared" si="223"/>
        <v>25</v>
      </c>
      <c r="R86" s="189">
        <f t="shared" si="223"/>
        <v>26</v>
      </c>
      <c r="S86" s="189">
        <f t="shared" si="223"/>
        <v>27</v>
      </c>
      <c r="T86" s="189">
        <f t="shared" si="223"/>
        <v>28</v>
      </c>
      <c r="U86" s="189">
        <f t="shared" si="223"/>
        <v>29</v>
      </c>
      <c r="V86" s="189">
        <f t="shared" si="223"/>
        <v>30</v>
      </c>
    </row>
    <row r="87" spans="1:23">
      <c r="A87" s="193" t="s">
        <v>1738</v>
      </c>
      <c r="B87" s="189">
        <f>All!H442</f>
        <v>0</v>
      </c>
      <c r="C87" s="189">
        <f>All!I442</f>
        <v>0</v>
      </c>
      <c r="D87" s="189">
        <f>All!J442</f>
        <v>0</v>
      </c>
      <c r="E87" s="189">
        <f>All!K442</f>
        <v>0</v>
      </c>
      <c r="F87" s="189">
        <f>All!L442</f>
        <v>0</v>
      </c>
      <c r="G87" s="189">
        <f>All!M442</f>
        <v>1</v>
      </c>
      <c r="H87" s="189">
        <f>All!N442</f>
        <v>0</v>
      </c>
      <c r="I87" s="189">
        <f>All!O442</f>
        <v>1</v>
      </c>
      <c r="J87" s="189">
        <f>All!P442</f>
        <v>0</v>
      </c>
      <c r="K87" s="189">
        <f>All!Q442</f>
        <v>0</v>
      </c>
      <c r="L87" s="189">
        <f>All!R442</f>
        <v>0</v>
      </c>
      <c r="M87" s="189">
        <f>All!S442</f>
        <v>0</v>
      </c>
      <c r="N87" s="189">
        <f>All!T442</f>
        <v>0</v>
      </c>
      <c r="O87" s="189">
        <f>All!U442</f>
        <v>0</v>
      </c>
      <c r="P87" s="189">
        <f>All!V442</f>
        <v>0</v>
      </c>
      <c r="Q87" s="189">
        <f>All!W442</f>
        <v>0</v>
      </c>
      <c r="R87" s="189">
        <f>All!X442</f>
        <v>0</v>
      </c>
      <c r="S87" s="189">
        <f>All!Y442</f>
        <v>1</v>
      </c>
      <c r="T87" s="189">
        <f>All!Z442</f>
        <v>0</v>
      </c>
      <c r="U87" s="189">
        <f>All!AA442</f>
        <v>1</v>
      </c>
      <c r="V87" s="189">
        <f>All!AB442</f>
        <v>0</v>
      </c>
      <c r="W87" s="198">
        <f>SUM(B87:V87)</f>
        <v>4</v>
      </c>
    </row>
    <row r="88" spans="1:23" ht="15.75" thickBot="1">
      <c r="A88" s="190" t="s">
        <v>1992</v>
      </c>
      <c r="B88" s="191">
        <f>All!H467</f>
        <v>0</v>
      </c>
      <c r="C88" s="191">
        <f>All!I467</f>
        <v>0</v>
      </c>
      <c r="D88" s="191">
        <f>All!J467</f>
        <v>0</v>
      </c>
      <c r="E88" s="191">
        <f>All!K467</f>
        <v>0</v>
      </c>
      <c r="F88" s="191">
        <f>All!L467</f>
        <v>0</v>
      </c>
      <c r="G88" s="191">
        <f>All!M467</f>
        <v>0</v>
      </c>
      <c r="H88" s="191">
        <f>All!N467</f>
        <v>0</v>
      </c>
      <c r="I88" s="191">
        <f>All!O467</f>
        <v>0</v>
      </c>
      <c r="J88" s="191">
        <f>All!P467</f>
        <v>0</v>
      </c>
      <c r="K88" s="191">
        <f>All!Q467</f>
        <v>0</v>
      </c>
      <c r="L88" s="191">
        <f>All!R467</f>
        <v>0</v>
      </c>
      <c r="M88" s="191">
        <f>All!S467</f>
        <v>0</v>
      </c>
      <c r="N88" s="191">
        <f>All!T467</f>
        <v>0</v>
      </c>
      <c r="O88" s="191">
        <f>All!U467</f>
        <v>0</v>
      </c>
      <c r="P88" s="191">
        <f>All!V467</f>
        <v>0</v>
      </c>
      <c r="Q88" s="191">
        <f>All!W467</f>
        <v>0</v>
      </c>
      <c r="R88" s="191">
        <f>All!X467</f>
        <v>0</v>
      </c>
      <c r="S88" s="191">
        <f>All!Y467</f>
        <v>0</v>
      </c>
      <c r="T88" s="191">
        <f>All!Z467</f>
        <v>0</v>
      </c>
      <c r="U88" s="191">
        <f>All!AA467</f>
        <v>0</v>
      </c>
      <c r="V88" s="191">
        <f>All!AB467</f>
        <v>0</v>
      </c>
    </row>
    <row r="89" spans="1:23">
      <c r="A89" s="301" t="s">
        <v>2187</v>
      </c>
      <c r="B89" s="302">
        <v>122</v>
      </c>
      <c r="C89" s="302">
        <f>B89</f>
        <v>122</v>
      </c>
      <c r="D89" s="302">
        <f t="shared" ref="D89" si="224">C89</f>
        <v>122</v>
      </c>
      <c r="E89" s="302">
        <f t="shared" ref="E89" si="225">D89</f>
        <v>122</v>
      </c>
      <c r="F89" s="302">
        <f t="shared" ref="F89" si="226">E89</f>
        <v>122</v>
      </c>
      <c r="G89" s="302">
        <f t="shared" ref="G89" si="227">F89</f>
        <v>122</v>
      </c>
      <c r="H89" s="302">
        <f t="shared" ref="H89" si="228">G89</f>
        <v>122</v>
      </c>
      <c r="I89" s="302">
        <f t="shared" ref="I89" si="229">H89</f>
        <v>122</v>
      </c>
      <c r="J89" s="302">
        <f t="shared" ref="J89" si="230">I89</f>
        <v>122</v>
      </c>
      <c r="K89" s="302">
        <f t="shared" ref="K89" si="231">J89</f>
        <v>122</v>
      </c>
      <c r="L89" s="302">
        <f t="shared" ref="L89" si="232">K89</f>
        <v>122</v>
      </c>
      <c r="M89" s="302">
        <f t="shared" ref="M89" si="233">L89</f>
        <v>122</v>
      </c>
      <c r="N89" s="302">
        <f t="shared" ref="N89" si="234">M89</f>
        <v>122</v>
      </c>
      <c r="O89" s="302">
        <f t="shared" ref="O89" si="235">N89</f>
        <v>122</v>
      </c>
      <c r="P89" s="302">
        <f t="shared" ref="P89" si="236">O89</f>
        <v>122</v>
      </c>
      <c r="Q89" s="302">
        <f t="shared" ref="Q89" si="237">P89</f>
        <v>122</v>
      </c>
      <c r="R89" s="302">
        <f t="shared" ref="R89" si="238">Q89</f>
        <v>122</v>
      </c>
      <c r="S89" s="302">
        <f t="shared" ref="S89" si="239">R89</f>
        <v>122</v>
      </c>
      <c r="T89" s="302">
        <f t="shared" ref="T89" si="240">S89</f>
        <v>122</v>
      </c>
      <c r="U89" s="302">
        <f t="shared" ref="U89" si="241">T89</f>
        <v>122</v>
      </c>
      <c r="V89" s="303">
        <f t="shared" ref="V89" si="242">U89</f>
        <v>122</v>
      </c>
      <c r="W89" s="119"/>
    </row>
    <row r="90" spans="1:23">
      <c r="A90" s="304" t="s">
        <v>1737</v>
      </c>
      <c r="B90" s="299">
        <v>10</v>
      </c>
      <c r="C90" s="299">
        <f>B90+1</f>
        <v>11</v>
      </c>
      <c r="D90" s="299">
        <f t="shared" ref="D90" si="243">C90+1</f>
        <v>12</v>
      </c>
      <c r="E90" s="299">
        <f t="shared" ref="E90" si="244">D90+1</f>
        <v>13</v>
      </c>
      <c r="F90" s="299">
        <f t="shared" ref="F90" si="245">E90+1</f>
        <v>14</v>
      </c>
      <c r="G90" s="299">
        <f t="shared" ref="G90" si="246">F90+1</f>
        <v>15</v>
      </c>
      <c r="H90" s="299">
        <f t="shared" ref="H90" si="247">G90+1</f>
        <v>16</v>
      </c>
      <c r="I90" s="299">
        <f t="shared" ref="I90" si="248">H90+1</f>
        <v>17</v>
      </c>
      <c r="J90" s="299">
        <f t="shared" ref="J90" si="249">I90+1</f>
        <v>18</v>
      </c>
      <c r="K90" s="299">
        <f t="shared" ref="K90" si="250">J90+1</f>
        <v>19</v>
      </c>
      <c r="L90" s="299">
        <f t="shared" ref="L90" si="251">K90+1</f>
        <v>20</v>
      </c>
      <c r="M90" s="299">
        <f t="shared" ref="M90" si="252">L90+1</f>
        <v>21</v>
      </c>
      <c r="N90" s="299">
        <f t="shared" ref="N90" si="253">M90+1</f>
        <v>22</v>
      </c>
      <c r="O90" s="299">
        <f t="shared" ref="O90" si="254">N90+1</f>
        <v>23</v>
      </c>
      <c r="P90" s="299">
        <f t="shared" ref="P90" si="255">O90+1</f>
        <v>24</v>
      </c>
      <c r="Q90" s="299">
        <f t="shared" ref="Q90" si="256">P90+1</f>
        <v>25</v>
      </c>
      <c r="R90" s="299">
        <f t="shared" ref="R90" si="257">Q90+1</f>
        <v>26</v>
      </c>
      <c r="S90" s="299">
        <f t="shared" ref="S90" si="258">R90+1</f>
        <v>27</v>
      </c>
      <c r="T90" s="299">
        <f t="shared" ref="T90" si="259">S90+1</f>
        <v>28</v>
      </c>
      <c r="U90" s="299">
        <f t="shared" ref="U90" si="260">T90+1</f>
        <v>29</v>
      </c>
      <c r="V90" s="305">
        <f t="shared" ref="V90" si="261">U90+1</f>
        <v>30</v>
      </c>
      <c r="W90" s="119"/>
    </row>
    <row r="91" spans="1:23">
      <c r="A91" s="306" t="s">
        <v>1738</v>
      </c>
      <c r="B91" s="299">
        <f>B87+B83+B75+B71+B67+B63+B59+B55+B51+B47+B43+B31+B23+B19+B11+B7+B3</f>
        <v>6</v>
      </c>
      <c r="C91" s="299">
        <f t="shared" ref="C91:V91" si="262">C87+C83+C75+C71+C67+C63+C59+C55+C51+C47+C43+C31+C23+C19+C11+C7+C3</f>
        <v>4</v>
      </c>
      <c r="D91" s="299">
        <f t="shared" si="262"/>
        <v>6</v>
      </c>
      <c r="E91" s="299">
        <f t="shared" si="262"/>
        <v>24</v>
      </c>
      <c r="F91" s="299">
        <f t="shared" si="262"/>
        <v>25</v>
      </c>
      <c r="G91" s="299">
        <f t="shared" si="262"/>
        <v>47</v>
      </c>
      <c r="H91" s="299">
        <f t="shared" si="262"/>
        <v>8</v>
      </c>
      <c r="I91" s="299">
        <f t="shared" si="262"/>
        <v>22</v>
      </c>
      <c r="J91" s="299">
        <f t="shared" si="262"/>
        <v>18</v>
      </c>
      <c r="K91" s="299">
        <f t="shared" si="262"/>
        <v>5</v>
      </c>
      <c r="L91" s="299">
        <f t="shared" si="262"/>
        <v>24</v>
      </c>
      <c r="M91" s="299">
        <f t="shared" si="262"/>
        <v>12</v>
      </c>
      <c r="N91" s="299">
        <f t="shared" si="262"/>
        <v>24</v>
      </c>
      <c r="O91" s="299">
        <f t="shared" si="262"/>
        <v>45</v>
      </c>
      <c r="P91" s="299">
        <f t="shared" si="262"/>
        <v>15</v>
      </c>
      <c r="Q91" s="299">
        <f t="shared" si="262"/>
        <v>21</v>
      </c>
      <c r="R91" s="299">
        <f t="shared" si="262"/>
        <v>17</v>
      </c>
      <c r="S91" s="299">
        <f t="shared" si="262"/>
        <v>18</v>
      </c>
      <c r="T91" s="299">
        <f t="shared" si="262"/>
        <v>23</v>
      </c>
      <c r="U91" s="299">
        <f t="shared" si="262"/>
        <v>16</v>
      </c>
      <c r="V91" s="305">
        <f t="shared" si="262"/>
        <v>3</v>
      </c>
      <c r="W91" s="198">
        <f>SUM(B91:V91)</f>
        <v>383</v>
      </c>
    </row>
    <row r="92" spans="1:23" ht="15.75" thickBot="1">
      <c r="A92" s="300" t="s">
        <v>1992</v>
      </c>
      <c r="B92" s="307">
        <f>B88+B84+B76+B72+B68+B64+B60+B56+B52+B48+B44+B32+B24+B20+B12+B8+B4</f>
        <v>3</v>
      </c>
      <c r="C92" s="307">
        <f t="shared" ref="C92:V92" si="263">C88+C84+C76+C72+C68+C64+C60+C56+C52+C48+C44+C32+C24+C20+C12+C8+C4</f>
        <v>1</v>
      </c>
      <c r="D92" s="307">
        <f t="shared" si="263"/>
        <v>3</v>
      </c>
      <c r="E92" s="307">
        <f t="shared" si="263"/>
        <v>10</v>
      </c>
      <c r="F92" s="307">
        <f t="shared" si="263"/>
        <v>4</v>
      </c>
      <c r="G92" s="307">
        <f t="shared" si="263"/>
        <v>8</v>
      </c>
      <c r="H92" s="307">
        <f t="shared" si="263"/>
        <v>3</v>
      </c>
      <c r="I92" s="307">
        <f t="shared" si="263"/>
        <v>6</v>
      </c>
      <c r="J92" s="307">
        <f t="shared" si="263"/>
        <v>6</v>
      </c>
      <c r="K92" s="307">
        <f t="shared" si="263"/>
        <v>3</v>
      </c>
      <c r="L92" s="307">
        <f t="shared" si="263"/>
        <v>10</v>
      </c>
      <c r="M92" s="307">
        <f t="shared" si="263"/>
        <v>6</v>
      </c>
      <c r="N92" s="307">
        <f t="shared" si="263"/>
        <v>7</v>
      </c>
      <c r="O92" s="307">
        <f t="shared" si="263"/>
        <v>6</v>
      </c>
      <c r="P92" s="307">
        <f t="shared" si="263"/>
        <v>8</v>
      </c>
      <c r="Q92" s="307">
        <f t="shared" si="263"/>
        <v>10</v>
      </c>
      <c r="R92" s="307">
        <f t="shared" si="263"/>
        <v>8</v>
      </c>
      <c r="S92" s="307">
        <f t="shared" si="263"/>
        <v>6</v>
      </c>
      <c r="T92" s="307">
        <f t="shared" si="263"/>
        <v>10</v>
      </c>
      <c r="U92" s="307">
        <f t="shared" si="263"/>
        <v>3</v>
      </c>
      <c r="V92" s="308">
        <f t="shared" si="263"/>
        <v>2</v>
      </c>
    </row>
    <row r="93" spans="1:23">
      <c r="W93" s="197">
        <f>W91+W79+W39+W35+W27+W15</f>
        <v>1384</v>
      </c>
    </row>
    <row r="97" spans="1:41" ht="23.25">
      <c r="E97" s="199" t="s">
        <v>1993</v>
      </c>
    </row>
    <row r="99" spans="1:41">
      <c r="A99" s="119"/>
      <c r="B99" s="119"/>
      <c r="C99" s="119"/>
      <c r="D99" s="119"/>
      <c r="E99" s="119"/>
      <c r="F99" s="119"/>
      <c r="G99" s="119"/>
      <c r="H99" s="119"/>
      <c r="I99" s="119"/>
      <c r="J99" s="119"/>
      <c r="K99" s="119"/>
      <c r="L99" s="119"/>
      <c r="M99" s="119"/>
      <c r="N99" s="119"/>
      <c r="O99" s="119"/>
      <c r="P99" s="119"/>
      <c r="Q99" s="119"/>
      <c r="R99" s="119"/>
      <c r="S99" s="119"/>
      <c r="T99" s="119"/>
      <c r="U99" s="119"/>
      <c r="V99" s="119"/>
      <c r="W99" s="119"/>
    </row>
    <row r="100" spans="1:41">
      <c r="A100" s="192"/>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19"/>
    </row>
    <row r="101" spans="1:41">
      <c r="A101" s="192"/>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19"/>
    </row>
    <row r="102" spans="1:41">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row>
    <row r="103" spans="1:41" ht="32.25">
      <c r="A103" s="192"/>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19"/>
      <c r="AO103" s="309"/>
    </row>
    <row r="104" spans="1:41">
      <c r="A104" s="192"/>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19"/>
    </row>
    <row r="105" spans="1:4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row>
    <row r="106" spans="1:41">
      <c r="A106" s="192"/>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19"/>
    </row>
    <row r="107" spans="1:41">
      <c r="A107" s="192"/>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19"/>
    </row>
    <row r="108" spans="1:4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row>
    <row r="109" spans="1:41">
      <c r="A109" s="192"/>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19"/>
    </row>
    <row r="110" spans="1:41">
      <c r="A110" s="192"/>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19"/>
    </row>
    <row r="111" spans="1:4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row>
    <row r="112" spans="1:41">
      <c r="A112" s="192"/>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19"/>
    </row>
    <row r="113" spans="1:23">
      <c r="A113" s="192"/>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19"/>
    </row>
    <row r="114" spans="1:23">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row>
    <row r="115" spans="1:23">
      <c r="A115" s="192"/>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19"/>
    </row>
    <row r="116" spans="1:23">
      <c r="A116" s="192"/>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19"/>
    </row>
    <row r="117" spans="1:23">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row>
    <row r="118" spans="1:23">
      <c r="A118" s="192"/>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19"/>
    </row>
    <row r="119" spans="1:23">
      <c r="A119" s="192"/>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19"/>
    </row>
    <row r="120" spans="1:23">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row>
    <row r="121" spans="1:23">
      <c r="A121" s="192"/>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19"/>
    </row>
    <row r="122" spans="1:23">
      <c r="A122" s="192"/>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19"/>
    </row>
    <row r="123" spans="1:23">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row>
    <row r="124" spans="1:23">
      <c r="A124" s="192"/>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19"/>
    </row>
    <row r="125" spans="1:23">
      <c r="A125" s="192"/>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19"/>
    </row>
    <row r="126" spans="1:23">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row>
    <row r="127" spans="1:23">
      <c r="A127" s="192"/>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19"/>
    </row>
    <row r="128" spans="1:23">
      <c r="A128" s="192"/>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19"/>
    </row>
    <row r="129" spans="1:23">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row>
    <row r="130" spans="1:23">
      <c r="A130" s="192"/>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19"/>
    </row>
    <row r="131" spans="1:23">
      <c r="A131" s="192"/>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19"/>
    </row>
    <row r="132" spans="1:23">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row>
    <row r="133" spans="1:23">
      <c r="A133" s="192"/>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19"/>
    </row>
    <row r="134" spans="1:23">
      <c r="A134" s="192"/>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19"/>
    </row>
    <row r="135" spans="1:23">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row>
    <row r="136" spans="1:23">
      <c r="A136" s="192"/>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19"/>
    </row>
    <row r="137" spans="1:23">
      <c r="A137" s="192"/>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19"/>
    </row>
    <row r="138" spans="1:23">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row>
    <row r="139" spans="1:23">
      <c r="A139" s="192"/>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19"/>
    </row>
    <row r="140" spans="1:23">
      <c r="A140" s="192"/>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19"/>
    </row>
    <row r="141" spans="1:23">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row>
    <row r="142" spans="1:23">
      <c r="A142" s="192"/>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19"/>
    </row>
    <row r="143" spans="1:23">
      <c r="A143" s="192"/>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19"/>
    </row>
    <row r="144" spans="1:23">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row>
    <row r="145" spans="1:23">
      <c r="A145" s="192"/>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19"/>
    </row>
    <row r="146" spans="1:23">
      <c r="A146" s="192"/>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19"/>
    </row>
    <row r="147" spans="1:23">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row>
    <row r="148" spans="1:23">
      <c r="A148" s="192"/>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19"/>
    </row>
    <row r="149" spans="1:23">
      <c r="A149" s="192"/>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19"/>
    </row>
    <row r="150" spans="1:23">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row>
    <row r="151" spans="1:23">
      <c r="A151" s="192"/>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19"/>
    </row>
    <row r="152" spans="1:23">
      <c r="A152" s="192"/>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19"/>
    </row>
    <row r="153" spans="1:23">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row>
    <row r="154" spans="1:23">
      <c r="A154" s="192"/>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19"/>
    </row>
    <row r="155" spans="1:23">
      <c r="A155" s="192"/>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19"/>
    </row>
    <row r="156" spans="1:23">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row>
    <row r="157" spans="1:23">
      <c r="A157" s="192"/>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19"/>
    </row>
    <row r="158" spans="1:23">
      <c r="A158" s="192"/>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19"/>
    </row>
    <row r="159" spans="1:23">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row>
    <row r="160" spans="1:23">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row>
    <row r="161" spans="1:23">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row>
    <row r="162" spans="1:23">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row>
    <row r="163" spans="1:23">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row>
    <row r="164" spans="1:23">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row>
    <row r="165" spans="1:23">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row>
    <row r="166" spans="1:23">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row>
    <row r="167" spans="1:23">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row>
    <row r="168" spans="1:23">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row>
    <row r="169" spans="1:23">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row>
    <row r="170" spans="1:23">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row>
    <row r="171" spans="1:23">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row>
    <row r="172" spans="1:23">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row>
    <row r="173" spans="1:23">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row>
    <row r="174" spans="1:23">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row>
    <row r="175" spans="1:23">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row>
    <row r="176" spans="1:23">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row>
    <row r="177" spans="1:23">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row>
    <row r="178" spans="1:23">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row>
    <row r="179" spans="1:23">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row>
    <row r="180" spans="1:23">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row>
    <row r="181" spans="1:23">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row>
    <row r="182" spans="1:23">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row>
    <row r="183" spans="1:23">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row>
    <row r="184" spans="1:23">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row>
    <row r="185" spans="1:23">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row>
    <row r="186" spans="1:23">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row>
    <row r="187" spans="1:23">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row>
    <row r="188" spans="1:23">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row>
    <row r="189" spans="1:23">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row>
    <row r="190" spans="1:23">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row>
    <row r="191" spans="1:23">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row>
    <row r="192" spans="1:23">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row>
    <row r="193" spans="1:23">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row>
    <row r="194" spans="1:23">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row>
    <row r="195" spans="1:23">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row>
    <row r="196" spans="1:23">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row>
    <row r="197" spans="1:23">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row>
    <row r="198" spans="1:23">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row>
    <row r="199" spans="1:23">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row>
    <row r="200" spans="1:23">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row>
    <row r="201" spans="1:23">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row>
    <row r="202" spans="1:23">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row>
    <row r="203" spans="1:23">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row>
    <row r="204" spans="1:23">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row>
    <row r="205" spans="1:23">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row>
    <row r="206" spans="1:23">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row>
    <row r="207" spans="1:23">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row>
    <row r="208" spans="1:23">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row>
    <row r="209" spans="1:23">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row>
    <row r="210" spans="1:23">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row>
    <row r="211" spans="1:23">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row>
    <row r="212" spans="1:23">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row>
    <row r="213" spans="1:23">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row>
    <row r="214" spans="1:23">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row>
    <row r="215" spans="1:23">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row>
    <row r="216" spans="1:23">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row>
    <row r="217" spans="1:23">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row>
    <row r="218" spans="1:23">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row>
    <row r="219" spans="1:23">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row>
    <row r="220" spans="1:23">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row>
    <row r="221" spans="1:23">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row>
    <row r="222" spans="1:23">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row>
    <row r="223" spans="1:23">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row>
    <row r="224" spans="1:23">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row>
    <row r="225" spans="1:23">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row>
    <row r="226" spans="1:23">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row>
  </sheetData>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AK454"/>
  <sheetViews>
    <sheetView workbookViewId="0">
      <pane ySplit="2" topLeftCell="A134" activePane="bottomLeft" state="frozen"/>
      <selection activeCell="A2" sqref="A2"/>
      <selection pane="bottomLeft" activeCell="A134" sqref="A134"/>
    </sheetView>
  </sheetViews>
  <sheetFormatPr defaultRowHeight="15"/>
  <cols>
    <col min="1" max="1" width="25.85546875" style="1" customWidth="1"/>
    <col min="2" max="2" width="11.28515625" style="1" customWidth="1"/>
    <col min="3" max="3" width="37.42578125" style="1" customWidth="1"/>
    <col min="4" max="4" width="5.5703125" style="1" customWidth="1"/>
    <col min="5" max="5" width="3.5703125" style="1" customWidth="1"/>
    <col min="6" max="6" width="3.42578125" style="1" customWidth="1"/>
    <col min="7" max="7" width="11.7109375" style="124"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style="128"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t="s">
        <v>1027</v>
      </c>
      <c r="Y1" s="543"/>
      <c r="Z1" s="543"/>
      <c r="AA1" s="543"/>
      <c r="AB1" s="544"/>
      <c r="AE1" s="124"/>
      <c r="AI1" s="1"/>
    </row>
    <row r="2" spans="1:37" s="32" customFormat="1" ht="110.25" customHeight="1">
      <c r="A2" s="129" t="s">
        <v>5</v>
      </c>
      <c r="B2" s="130" t="s">
        <v>7</v>
      </c>
      <c r="C2" s="129" t="s">
        <v>6</v>
      </c>
      <c r="D2" s="131" t="s">
        <v>13</v>
      </c>
      <c r="E2" s="132" t="s">
        <v>621</v>
      </c>
      <c r="F2" s="132" t="s">
        <v>622</v>
      </c>
      <c r="G2" s="133" t="s">
        <v>4</v>
      </c>
      <c r="H2" s="131" t="s">
        <v>15</v>
      </c>
      <c r="I2" s="131" t="s">
        <v>0</v>
      </c>
      <c r="J2" s="131" t="s">
        <v>1</v>
      </c>
      <c r="K2" s="131" t="s">
        <v>16</v>
      </c>
      <c r="L2" s="131" t="s">
        <v>32</v>
      </c>
      <c r="M2" s="131" t="s">
        <v>31</v>
      </c>
      <c r="N2" s="131" t="s">
        <v>30</v>
      </c>
      <c r="O2" s="131" t="s">
        <v>19</v>
      </c>
      <c r="P2" s="131" t="s">
        <v>2</v>
      </c>
      <c r="Q2" s="134" t="s">
        <v>17</v>
      </c>
      <c r="R2" s="135" t="s">
        <v>18</v>
      </c>
      <c r="S2" s="135" t="s">
        <v>20</v>
      </c>
      <c r="T2" s="136" t="s">
        <v>21</v>
      </c>
      <c r="U2" s="136" t="s">
        <v>22</v>
      </c>
      <c r="V2" s="136" t="s">
        <v>33</v>
      </c>
      <c r="W2" s="136" t="s">
        <v>34</v>
      </c>
      <c r="X2" s="131" t="s">
        <v>23</v>
      </c>
      <c r="Y2" s="131" t="s">
        <v>26</v>
      </c>
      <c r="Z2" s="131" t="s">
        <v>24</v>
      </c>
      <c r="AA2" s="131" t="s">
        <v>27</v>
      </c>
      <c r="AB2" s="131" t="s">
        <v>25</v>
      </c>
      <c r="AC2" s="137" t="s">
        <v>28</v>
      </c>
      <c r="AD2" s="137" t="s">
        <v>29</v>
      </c>
      <c r="AE2" s="138" t="s">
        <v>11</v>
      </c>
      <c r="AF2" s="129" t="s">
        <v>10</v>
      </c>
      <c r="AG2" s="129" t="s">
        <v>9</v>
      </c>
      <c r="AH2" s="129" t="s">
        <v>12</v>
      </c>
      <c r="AI2" s="129" t="s">
        <v>8</v>
      </c>
      <c r="AJ2" s="139" t="s">
        <v>620</v>
      </c>
      <c r="AK2" s="129" t="s">
        <v>14</v>
      </c>
    </row>
    <row r="3" spans="1:37" ht="11.25" customHeight="1">
      <c r="A3" s="1" t="s">
        <v>1045</v>
      </c>
      <c r="B3" s="1" t="s">
        <v>1046</v>
      </c>
      <c r="C3" s="34" t="s">
        <v>1044</v>
      </c>
      <c r="D3" s="4" t="s">
        <v>739</v>
      </c>
      <c r="E3" s="4"/>
      <c r="F3" s="4"/>
      <c r="G3" s="124">
        <v>0</v>
      </c>
      <c r="AA3" s="5" t="s">
        <v>388</v>
      </c>
      <c r="AB3" s="5"/>
      <c r="AC3" s="8"/>
      <c r="AD3" s="8"/>
      <c r="AE3" s="85" t="s">
        <v>648</v>
      </c>
      <c r="AF3" s="8" t="s">
        <v>394</v>
      </c>
      <c r="AG3" s="2" t="s">
        <v>1047</v>
      </c>
      <c r="AH3" s="2"/>
      <c r="AI3" s="1"/>
      <c r="AK3" s="2"/>
    </row>
    <row r="4" spans="1:37" ht="11.25" customHeight="1">
      <c r="A4" s="95" t="s">
        <v>526</v>
      </c>
      <c r="B4" s="1" t="s">
        <v>530</v>
      </c>
      <c r="C4" s="1" t="s">
        <v>531</v>
      </c>
      <c r="D4" s="4" t="s">
        <v>387</v>
      </c>
      <c r="E4" s="4" t="s">
        <v>626</v>
      </c>
      <c r="F4" s="4"/>
      <c r="G4" s="85">
        <v>0</v>
      </c>
      <c r="J4" s="5" t="s">
        <v>623</v>
      </c>
      <c r="AB4" s="5"/>
      <c r="AC4" s="8"/>
      <c r="AD4" s="8"/>
      <c r="AE4" s="124">
        <v>2</v>
      </c>
      <c r="AF4" s="5" t="s">
        <v>394</v>
      </c>
      <c r="AG4" s="1" t="s">
        <v>532</v>
      </c>
      <c r="AH4" s="2"/>
      <c r="AI4" s="2"/>
      <c r="AK4" s="2"/>
    </row>
    <row r="5" spans="1:37" ht="11.25" customHeight="1">
      <c r="A5" s="95" t="s">
        <v>732</v>
      </c>
      <c r="B5" s="2" t="s">
        <v>730</v>
      </c>
      <c r="C5" s="2" t="s">
        <v>731</v>
      </c>
      <c r="D5" s="34" t="s">
        <v>387</v>
      </c>
      <c r="E5" s="34"/>
      <c r="F5" s="34"/>
      <c r="G5" s="85">
        <v>0</v>
      </c>
      <c r="H5" s="6"/>
      <c r="I5" s="6"/>
      <c r="J5" s="6"/>
      <c r="K5" s="6" t="s">
        <v>388</v>
      </c>
      <c r="L5" s="6"/>
      <c r="M5" s="6"/>
      <c r="N5" s="6"/>
      <c r="O5" s="6" t="s">
        <v>388</v>
      </c>
      <c r="P5" s="6"/>
      <c r="Q5" s="6"/>
      <c r="R5" s="6"/>
      <c r="S5" s="6"/>
      <c r="T5" s="6" t="s">
        <v>388</v>
      </c>
      <c r="U5" s="6"/>
      <c r="V5" s="6"/>
      <c r="W5" s="6" t="s">
        <v>388</v>
      </c>
      <c r="X5" s="6" t="s">
        <v>388</v>
      </c>
      <c r="Y5" s="6"/>
      <c r="Z5" s="6" t="s">
        <v>388</v>
      </c>
      <c r="AA5" s="6"/>
      <c r="AB5" s="6"/>
      <c r="AC5" s="12"/>
      <c r="AD5" s="12"/>
      <c r="AE5" s="85" t="s">
        <v>648</v>
      </c>
      <c r="AF5" s="6" t="s">
        <v>394</v>
      </c>
      <c r="AG5" s="2"/>
      <c r="AH5" s="2"/>
      <c r="AI5" s="2"/>
      <c r="AJ5" s="2"/>
      <c r="AK5" s="2"/>
    </row>
    <row r="6" spans="1:37" ht="11.25" customHeight="1">
      <c r="A6" s="95" t="s">
        <v>435</v>
      </c>
      <c r="B6" s="2" t="s">
        <v>436</v>
      </c>
      <c r="C6" s="2" t="s">
        <v>437</v>
      </c>
      <c r="D6" s="34" t="s">
        <v>387</v>
      </c>
      <c r="E6" s="34" t="s">
        <v>626</v>
      </c>
      <c r="F6" s="34"/>
      <c r="G6" s="85">
        <v>0</v>
      </c>
      <c r="H6" s="6"/>
      <c r="I6" s="6"/>
      <c r="J6" s="6"/>
      <c r="K6" s="6"/>
      <c r="L6" s="6"/>
      <c r="M6" s="6"/>
      <c r="N6" s="6"/>
      <c r="O6" s="6"/>
      <c r="P6" s="6"/>
      <c r="Q6" s="6"/>
      <c r="R6" s="6"/>
      <c r="S6" s="6"/>
      <c r="T6" s="6"/>
      <c r="U6" s="6"/>
      <c r="V6" s="6"/>
      <c r="W6" s="6"/>
      <c r="X6" s="6"/>
      <c r="Y6" s="6"/>
      <c r="Z6" s="6"/>
      <c r="AA6" s="6"/>
      <c r="AB6" s="6"/>
      <c r="AC6" s="6"/>
      <c r="AD6" s="6"/>
      <c r="AE6" s="124">
        <v>4</v>
      </c>
      <c r="AF6" s="5" t="s">
        <v>394</v>
      </c>
      <c r="AG6" s="1" t="s">
        <v>615</v>
      </c>
      <c r="AH6" s="2"/>
      <c r="AI6" s="2"/>
      <c r="AJ6" s="2"/>
      <c r="AK6" s="2"/>
    </row>
    <row r="7" spans="1:37" s="2" customFormat="1" ht="11.25" customHeight="1">
      <c r="A7" s="95" t="s">
        <v>428</v>
      </c>
      <c r="B7" s="2" t="s">
        <v>429</v>
      </c>
      <c r="C7" s="2" t="s">
        <v>430</v>
      </c>
      <c r="D7" s="34" t="s">
        <v>387</v>
      </c>
      <c r="E7" s="34" t="s">
        <v>626</v>
      </c>
      <c r="F7" s="34"/>
      <c r="G7" s="85">
        <v>0</v>
      </c>
      <c r="H7" s="6"/>
      <c r="I7" s="6"/>
      <c r="J7" s="6"/>
      <c r="K7" s="6"/>
      <c r="L7" s="6"/>
      <c r="M7" s="6"/>
      <c r="N7" s="6"/>
      <c r="O7" s="6"/>
      <c r="P7" s="6"/>
      <c r="Q7" s="6"/>
      <c r="R7" s="6"/>
      <c r="S7" s="6"/>
      <c r="T7" s="6"/>
      <c r="U7" s="6"/>
      <c r="V7" s="6"/>
      <c r="W7" s="6"/>
      <c r="X7" s="6"/>
      <c r="Y7" s="6"/>
      <c r="Z7" s="6"/>
      <c r="AA7" s="6"/>
      <c r="AB7" s="6"/>
      <c r="AC7" s="10"/>
      <c r="AD7" s="10"/>
      <c r="AE7" s="124">
        <v>4</v>
      </c>
      <c r="AF7" s="5" t="s">
        <v>394</v>
      </c>
      <c r="AG7" s="1" t="s">
        <v>431</v>
      </c>
    </row>
    <row r="8" spans="1:37" ht="11.25" customHeight="1">
      <c r="A8" s="95" t="s">
        <v>418</v>
      </c>
      <c r="B8" s="1" t="s">
        <v>419</v>
      </c>
      <c r="C8" s="1" t="s">
        <v>420</v>
      </c>
      <c r="D8" s="4" t="s">
        <v>387</v>
      </c>
      <c r="E8" s="4" t="s">
        <v>626</v>
      </c>
      <c r="F8" s="4"/>
      <c r="G8" s="124">
        <v>0</v>
      </c>
      <c r="H8" s="5" t="s">
        <v>623</v>
      </c>
      <c r="AB8" s="5"/>
      <c r="AC8" s="8"/>
      <c r="AD8" s="8"/>
      <c r="AE8" s="124">
        <v>4</v>
      </c>
      <c r="AF8" s="5" t="s">
        <v>394</v>
      </c>
      <c r="AG8" s="1" t="s">
        <v>421</v>
      </c>
      <c r="AH8" s="2"/>
      <c r="AI8" s="1"/>
      <c r="AK8" s="2"/>
    </row>
    <row r="9" spans="1:37" ht="11.25" customHeight="1">
      <c r="A9" s="95" t="s">
        <v>441</v>
      </c>
      <c r="B9" s="2" t="s">
        <v>1649</v>
      </c>
      <c r="C9" s="2" t="s">
        <v>442</v>
      </c>
      <c r="D9" s="34" t="s">
        <v>387</v>
      </c>
      <c r="E9" s="34" t="s">
        <v>626</v>
      </c>
      <c r="F9" s="34"/>
      <c r="G9" s="85">
        <v>0</v>
      </c>
      <c r="H9" s="6"/>
      <c r="I9" s="6"/>
      <c r="J9" s="6" t="s">
        <v>623</v>
      </c>
      <c r="K9" s="6"/>
      <c r="L9" s="6"/>
      <c r="M9" s="6"/>
      <c r="N9" s="6"/>
      <c r="O9" s="6"/>
      <c r="P9" s="6"/>
      <c r="Q9" s="6"/>
      <c r="R9" s="6"/>
      <c r="S9" s="6"/>
      <c r="T9" s="6"/>
      <c r="U9" s="6"/>
      <c r="V9" s="6"/>
      <c r="W9" s="6"/>
      <c r="X9" s="6"/>
      <c r="Y9" s="6"/>
      <c r="Z9" s="6"/>
      <c r="AA9" s="6"/>
      <c r="AB9" s="6"/>
      <c r="AC9" s="6"/>
      <c r="AD9" s="6"/>
      <c r="AE9" s="124">
        <v>4</v>
      </c>
      <c r="AF9" s="5" t="s">
        <v>394</v>
      </c>
      <c r="AG9" s="1" t="s">
        <v>443</v>
      </c>
      <c r="AH9" s="2"/>
      <c r="AI9" s="2"/>
      <c r="AJ9" s="2"/>
      <c r="AK9" s="2"/>
    </row>
    <row r="10" spans="1:37" ht="11.25" customHeight="1">
      <c r="A10" s="95" t="s">
        <v>447</v>
      </c>
      <c r="B10" s="1" t="s">
        <v>556</v>
      </c>
      <c r="C10" s="2" t="s">
        <v>557</v>
      </c>
      <c r="D10" s="34" t="s">
        <v>387</v>
      </c>
      <c r="E10" s="34" t="s">
        <v>626</v>
      </c>
      <c r="F10" s="34"/>
      <c r="G10" s="124">
        <v>0</v>
      </c>
      <c r="J10" s="5" t="s">
        <v>623</v>
      </c>
      <c r="AB10" s="5"/>
      <c r="AC10" s="8"/>
      <c r="AD10" s="8"/>
      <c r="AE10" s="124">
        <v>2</v>
      </c>
      <c r="AF10" s="5" t="s">
        <v>394</v>
      </c>
      <c r="AG10" s="1" t="s">
        <v>443</v>
      </c>
      <c r="AH10" s="2"/>
      <c r="AI10" s="1"/>
      <c r="AK10" s="2"/>
    </row>
    <row r="11" spans="1:37" s="2" customFormat="1" ht="11.25" customHeight="1">
      <c r="A11" s="95" t="s">
        <v>447</v>
      </c>
      <c r="B11" s="2" t="s">
        <v>448</v>
      </c>
      <c r="C11" s="2" t="s">
        <v>449</v>
      </c>
      <c r="D11" s="34" t="s">
        <v>387</v>
      </c>
      <c r="E11" s="34" t="s">
        <v>626</v>
      </c>
      <c r="F11" s="34"/>
      <c r="G11" s="85">
        <v>0</v>
      </c>
      <c r="H11" s="6"/>
      <c r="I11" s="6"/>
      <c r="J11" s="6"/>
      <c r="K11" s="6"/>
      <c r="L11" s="6"/>
      <c r="M11" s="6"/>
      <c r="N11" s="6"/>
      <c r="O11" s="6"/>
      <c r="P11" s="6"/>
      <c r="Q11" s="6"/>
      <c r="R11" s="6"/>
      <c r="S11" s="6"/>
      <c r="T11" s="6"/>
      <c r="U11" s="6"/>
      <c r="V11" s="6"/>
      <c r="W11" s="6"/>
      <c r="X11" s="6"/>
      <c r="Y11" s="6"/>
      <c r="Z11" s="6"/>
      <c r="AA11" s="6"/>
      <c r="AB11" s="6"/>
      <c r="AC11" s="6"/>
      <c r="AD11" s="6"/>
      <c r="AE11" s="124">
        <v>4</v>
      </c>
      <c r="AF11" s="5" t="s">
        <v>394</v>
      </c>
      <c r="AG11" s="1" t="s">
        <v>443</v>
      </c>
    </row>
    <row r="12" spans="1:37" s="2" customFormat="1" ht="11.25" customHeight="1">
      <c r="A12" s="95" t="s">
        <v>488</v>
      </c>
      <c r="B12" s="2" t="s">
        <v>489</v>
      </c>
      <c r="C12" s="2" t="s">
        <v>490</v>
      </c>
      <c r="D12" s="34" t="s">
        <v>387</v>
      </c>
      <c r="E12" s="34" t="s">
        <v>626</v>
      </c>
      <c r="F12" s="34"/>
      <c r="G12" s="85">
        <v>0</v>
      </c>
      <c r="H12" s="6"/>
      <c r="I12" s="6"/>
      <c r="J12" s="6"/>
      <c r="K12" s="6"/>
      <c r="L12" s="6"/>
      <c r="M12" s="6"/>
      <c r="N12" s="6"/>
      <c r="O12" s="6"/>
      <c r="P12" s="6"/>
      <c r="Q12" s="6"/>
      <c r="R12" s="6"/>
      <c r="S12" s="6"/>
      <c r="T12" s="6"/>
      <c r="U12" s="6"/>
      <c r="V12" s="6"/>
      <c r="W12" s="6"/>
      <c r="X12" s="6"/>
      <c r="Y12" s="6"/>
      <c r="Z12" s="6"/>
      <c r="AA12" s="6"/>
      <c r="AB12" s="6"/>
      <c r="AC12" s="6"/>
      <c r="AD12" s="6"/>
      <c r="AE12" s="124">
        <v>4</v>
      </c>
      <c r="AF12" s="5" t="s">
        <v>394</v>
      </c>
      <c r="AG12" s="1" t="s">
        <v>491</v>
      </c>
    </row>
    <row r="13" spans="1:37" ht="11.25" customHeight="1">
      <c r="A13" s="95" t="s">
        <v>651</v>
      </c>
      <c r="B13" s="2" t="s">
        <v>679</v>
      </c>
      <c r="C13" s="2" t="s">
        <v>678</v>
      </c>
      <c r="D13" s="34" t="s">
        <v>387</v>
      </c>
      <c r="E13" s="34"/>
      <c r="F13" s="34"/>
      <c r="G13" s="85">
        <v>0</v>
      </c>
      <c r="H13" s="6"/>
      <c r="I13" s="6"/>
      <c r="J13" s="6"/>
      <c r="K13" s="6"/>
      <c r="L13" s="6"/>
      <c r="M13" s="6"/>
      <c r="N13" s="6"/>
      <c r="O13" s="6"/>
      <c r="P13" s="6" t="s">
        <v>388</v>
      </c>
      <c r="Q13" s="6"/>
      <c r="R13" s="6"/>
      <c r="S13" s="6"/>
      <c r="T13" s="6"/>
      <c r="U13" s="6"/>
      <c r="V13" s="6"/>
      <c r="W13" s="6"/>
      <c r="X13" s="6"/>
      <c r="Y13" s="6"/>
      <c r="Z13" s="6"/>
      <c r="AA13" s="6"/>
      <c r="AB13" s="6"/>
      <c r="AC13" s="12"/>
      <c r="AD13" s="12"/>
      <c r="AE13" s="85" t="s">
        <v>648</v>
      </c>
      <c r="AF13" s="6" t="s">
        <v>389</v>
      </c>
      <c r="AG13" s="2" t="s">
        <v>680</v>
      </c>
      <c r="AH13" s="2"/>
      <c r="AI13" s="2"/>
      <c r="AJ13" s="2"/>
      <c r="AK13" s="2"/>
    </row>
    <row r="14" spans="1:37" ht="11.25" customHeight="1">
      <c r="A14" s="95" t="s">
        <v>504</v>
      </c>
      <c r="B14" s="2" t="s">
        <v>508</v>
      </c>
      <c r="C14" s="2" t="s">
        <v>509</v>
      </c>
      <c r="D14" s="34" t="s">
        <v>387</v>
      </c>
      <c r="E14" s="34" t="s">
        <v>626</v>
      </c>
      <c r="F14" s="34"/>
      <c r="G14" s="85">
        <v>0</v>
      </c>
      <c r="H14" s="6"/>
      <c r="I14" s="6"/>
      <c r="J14" s="6"/>
      <c r="K14" s="6"/>
      <c r="L14" s="6"/>
      <c r="M14" s="6"/>
      <c r="N14" s="6"/>
      <c r="O14" s="6"/>
      <c r="P14" s="6"/>
      <c r="Q14" s="6"/>
      <c r="R14" s="6"/>
      <c r="S14" s="6"/>
      <c r="T14" s="6"/>
      <c r="U14" s="6"/>
      <c r="V14" s="6"/>
      <c r="W14" s="6"/>
      <c r="X14" s="6"/>
      <c r="Y14" s="6"/>
      <c r="Z14" s="6"/>
      <c r="AA14" s="6"/>
      <c r="AB14" s="6"/>
      <c r="AC14" s="6"/>
      <c r="AD14" s="6"/>
      <c r="AE14" s="124">
        <v>4</v>
      </c>
      <c r="AF14" s="5" t="s">
        <v>394</v>
      </c>
      <c r="AG14" s="1" t="s">
        <v>510</v>
      </c>
      <c r="AH14" s="2"/>
      <c r="AI14" s="2"/>
      <c r="AJ14" s="2"/>
      <c r="AK14" s="2"/>
    </row>
    <row r="15" spans="1:37" ht="11.25" customHeight="1">
      <c r="A15" s="95" t="s">
        <v>504</v>
      </c>
      <c r="B15" s="45" t="s">
        <v>505</v>
      </c>
      <c r="C15" s="45" t="s">
        <v>506</v>
      </c>
      <c r="D15" s="47" t="s">
        <v>387</v>
      </c>
      <c r="E15" s="47" t="s">
        <v>626</v>
      </c>
      <c r="F15" s="47"/>
      <c r="G15" s="125">
        <v>0</v>
      </c>
      <c r="H15" s="48"/>
      <c r="I15" s="48"/>
      <c r="J15" s="48"/>
      <c r="K15" s="48"/>
      <c r="L15" s="48"/>
      <c r="M15" s="48"/>
      <c r="N15" s="48"/>
      <c r="O15" s="48"/>
      <c r="P15" s="48"/>
      <c r="Q15" s="48"/>
      <c r="R15" s="48"/>
      <c r="S15" s="48"/>
      <c r="T15" s="48"/>
      <c r="U15" s="48" t="s">
        <v>388</v>
      </c>
      <c r="V15" s="48"/>
      <c r="W15" s="48"/>
      <c r="X15" s="48"/>
      <c r="Y15" s="48"/>
      <c r="Z15" s="48"/>
      <c r="AA15" s="48"/>
      <c r="AB15" s="48"/>
      <c r="AC15" s="49"/>
      <c r="AD15" s="49"/>
      <c r="AE15" s="125">
        <v>4</v>
      </c>
      <c r="AF15" s="48" t="s">
        <v>394</v>
      </c>
      <c r="AG15" s="45" t="s">
        <v>507</v>
      </c>
      <c r="AH15" s="45"/>
      <c r="AI15" s="45"/>
      <c r="AJ15" s="45"/>
      <c r="AK15" s="45"/>
    </row>
    <row r="16" spans="1:37" ht="11.25" customHeight="1">
      <c r="A16" s="95" t="s">
        <v>608</v>
      </c>
      <c r="B16" s="1" t="s">
        <v>609</v>
      </c>
      <c r="C16" s="1" t="s">
        <v>610</v>
      </c>
      <c r="D16" s="4" t="s">
        <v>387</v>
      </c>
      <c r="E16" s="4" t="s">
        <v>626</v>
      </c>
      <c r="F16" s="4"/>
      <c r="G16" s="85">
        <v>0</v>
      </c>
      <c r="AB16" s="5"/>
      <c r="AC16" s="8"/>
      <c r="AD16" s="8"/>
      <c r="AE16" s="124">
        <v>4</v>
      </c>
      <c r="AF16" s="5" t="s">
        <v>394</v>
      </c>
      <c r="AG16" s="1" t="s">
        <v>611</v>
      </c>
      <c r="AH16" s="2"/>
      <c r="AI16" s="2"/>
      <c r="AK16" s="2"/>
    </row>
    <row r="17" spans="1:37" ht="11.25" customHeight="1">
      <c r="A17" s="95" t="s">
        <v>461</v>
      </c>
      <c r="B17" s="2" t="s">
        <v>462</v>
      </c>
      <c r="C17" s="2" t="s">
        <v>463</v>
      </c>
      <c r="D17" s="34" t="s">
        <v>387</v>
      </c>
      <c r="E17" s="34" t="s">
        <v>626</v>
      </c>
      <c r="F17" s="34"/>
      <c r="G17" s="85">
        <v>0</v>
      </c>
      <c r="H17" s="6"/>
      <c r="I17" s="6"/>
      <c r="J17" s="6"/>
      <c r="K17" s="6"/>
      <c r="L17" s="6"/>
      <c r="M17" s="6"/>
      <c r="N17" s="6"/>
      <c r="O17" s="6"/>
      <c r="P17" s="6"/>
      <c r="Q17" s="6"/>
      <c r="R17" s="6"/>
      <c r="S17" s="6"/>
      <c r="T17" s="6"/>
      <c r="U17" s="6"/>
      <c r="V17" s="6"/>
      <c r="W17" s="6"/>
      <c r="X17" s="6"/>
      <c r="Y17" s="6"/>
      <c r="Z17" s="6"/>
      <c r="AA17" s="6"/>
      <c r="AB17" s="6"/>
      <c r="AC17" s="6"/>
      <c r="AD17" s="6"/>
      <c r="AE17" s="124">
        <v>4</v>
      </c>
      <c r="AF17" s="5" t="s">
        <v>394</v>
      </c>
      <c r="AG17" s="1" t="s">
        <v>618</v>
      </c>
      <c r="AH17" s="2"/>
      <c r="AI17" s="2"/>
      <c r="AJ17" s="2"/>
      <c r="AK17" s="2"/>
    </row>
    <row r="18" spans="1:37" ht="11.25" customHeight="1">
      <c r="A18" s="95" t="s">
        <v>461</v>
      </c>
      <c r="B18" s="2" t="s">
        <v>464</v>
      </c>
      <c r="C18" s="2" t="s">
        <v>465</v>
      </c>
      <c r="D18" s="34" t="s">
        <v>387</v>
      </c>
      <c r="E18" s="34" t="s">
        <v>626</v>
      </c>
      <c r="F18" s="34"/>
      <c r="G18" s="85">
        <v>0</v>
      </c>
      <c r="H18" s="6"/>
      <c r="I18" s="6"/>
      <c r="J18" s="6"/>
      <c r="K18" s="6"/>
      <c r="L18" s="6"/>
      <c r="M18" s="6" t="s">
        <v>623</v>
      </c>
      <c r="N18" s="6"/>
      <c r="O18" s="6"/>
      <c r="P18" s="6"/>
      <c r="Q18" s="6"/>
      <c r="R18" s="6"/>
      <c r="S18" s="6"/>
      <c r="T18" s="6"/>
      <c r="U18" s="6"/>
      <c r="V18" s="6"/>
      <c r="W18" s="6"/>
      <c r="X18" s="6"/>
      <c r="Y18" s="6"/>
      <c r="Z18" s="6"/>
      <c r="AA18" s="6"/>
      <c r="AB18" s="6"/>
      <c r="AC18" s="6"/>
      <c r="AD18" s="6"/>
      <c r="AE18" s="124">
        <v>4</v>
      </c>
      <c r="AF18" s="5" t="s">
        <v>394</v>
      </c>
      <c r="AG18" s="1" t="s">
        <v>619</v>
      </c>
      <c r="AH18" s="2"/>
      <c r="AI18" s="2"/>
      <c r="AJ18" s="2"/>
      <c r="AK18" s="2"/>
    </row>
    <row r="19" spans="1:37" ht="11.25" customHeight="1">
      <c r="A19" s="95" t="s">
        <v>604</v>
      </c>
      <c r="B19" s="2" t="s">
        <v>605</v>
      </c>
      <c r="C19" s="2" t="s">
        <v>606</v>
      </c>
      <c r="D19" s="34" t="s">
        <v>387</v>
      </c>
      <c r="E19" s="34" t="s">
        <v>626</v>
      </c>
      <c r="F19" s="34"/>
      <c r="G19" s="85">
        <v>0</v>
      </c>
      <c r="H19" s="6"/>
      <c r="I19" s="6"/>
      <c r="J19" s="6"/>
      <c r="K19" s="6"/>
      <c r="L19" s="6"/>
      <c r="M19" s="6"/>
      <c r="N19" s="6"/>
      <c r="O19" s="6"/>
      <c r="P19" s="6"/>
      <c r="Q19" s="6"/>
      <c r="R19" s="6"/>
      <c r="S19" s="6"/>
      <c r="T19" s="6"/>
      <c r="U19" s="6"/>
      <c r="V19" s="6"/>
      <c r="W19" s="6"/>
      <c r="X19" s="6"/>
      <c r="Y19" s="6"/>
      <c r="Z19" s="6"/>
      <c r="AA19" s="6"/>
      <c r="AB19" s="6"/>
      <c r="AC19" s="6"/>
      <c r="AD19" s="6"/>
      <c r="AE19" s="124">
        <v>2</v>
      </c>
      <c r="AF19" s="5" t="s">
        <v>394</v>
      </c>
      <c r="AG19" s="1" t="s">
        <v>607</v>
      </c>
      <c r="AH19" s="2"/>
      <c r="AI19" s="2"/>
      <c r="AJ19" s="2"/>
      <c r="AK19" s="2"/>
    </row>
    <row r="20" spans="1:37" ht="11.25" customHeight="1">
      <c r="A20" s="95" t="s">
        <v>695</v>
      </c>
      <c r="B20" s="2" t="s">
        <v>694</v>
      </c>
      <c r="C20" s="2" t="s">
        <v>696</v>
      </c>
      <c r="D20" s="2" t="s">
        <v>387</v>
      </c>
      <c r="E20" s="34"/>
      <c r="F20" s="34"/>
      <c r="G20" s="85">
        <v>0</v>
      </c>
      <c r="H20" s="6"/>
      <c r="I20" s="6"/>
      <c r="J20" s="6"/>
      <c r="K20" s="6"/>
      <c r="L20" s="6"/>
      <c r="M20" s="6"/>
      <c r="N20" s="6"/>
      <c r="O20" s="6" t="s">
        <v>388</v>
      </c>
      <c r="P20" s="6"/>
      <c r="Q20" s="6"/>
      <c r="R20" s="6"/>
      <c r="S20" s="6"/>
      <c r="T20" s="6"/>
      <c r="U20" s="6" t="s">
        <v>388</v>
      </c>
      <c r="V20" s="6"/>
      <c r="W20" s="6"/>
      <c r="X20" s="6"/>
      <c r="Y20" s="6"/>
      <c r="Z20" s="6"/>
      <c r="AA20" s="6"/>
      <c r="AB20" s="6"/>
      <c r="AC20" s="12"/>
      <c r="AD20" s="12" t="s">
        <v>388</v>
      </c>
      <c r="AE20" s="85" t="s">
        <v>648</v>
      </c>
      <c r="AF20" s="6" t="s">
        <v>394</v>
      </c>
      <c r="AG20" s="2" t="s">
        <v>705</v>
      </c>
      <c r="AH20" s="2"/>
      <c r="AI20" s="2"/>
      <c r="AJ20" s="2"/>
      <c r="AK20" s="2"/>
    </row>
    <row r="21" spans="1:37" ht="11.25" customHeight="1">
      <c r="A21" s="1" t="s">
        <v>1079</v>
      </c>
      <c r="B21" s="1" t="s">
        <v>1081</v>
      </c>
      <c r="C21" s="1" t="s">
        <v>1080</v>
      </c>
      <c r="D21" s="4" t="s">
        <v>739</v>
      </c>
      <c r="E21" s="4"/>
      <c r="F21" s="4"/>
      <c r="G21" s="124">
        <v>0</v>
      </c>
      <c r="K21" s="5" t="s">
        <v>388</v>
      </c>
      <c r="AA21" s="5" t="s">
        <v>388</v>
      </c>
      <c r="AB21" s="5"/>
      <c r="AC21" s="8"/>
      <c r="AD21" s="8"/>
      <c r="AE21" s="124"/>
      <c r="AF21" s="1" t="s">
        <v>389</v>
      </c>
      <c r="AG21" s="1" t="s">
        <v>1082</v>
      </c>
      <c r="AI21" s="1"/>
      <c r="AK21" s="2"/>
    </row>
    <row r="22" spans="1:37" ht="11.25" customHeight="1">
      <c r="A22" s="95" t="s">
        <v>691</v>
      </c>
      <c r="B22" s="2" t="s">
        <v>690</v>
      </c>
      <c r="C22" s="2" t="s">
        <v>692</v>
      </c>
      <c r="D22" s="2" t="s">
        <v>387</v>
      </c>
      <c r="E22" s="34"/>
      <c r="F22" s="34"/>
      <c r="G22" s="85">
        <v>0</v>
      </c>
      <c r="H22" s="6"/>
      <c r="I22" s="6"/>
      <c r="J22" s="6"/>
      <c r="K22" s="6"/>
      <c r="L22" s="6"/>
      <c r="M22" s="6"/>
      <c r="N22" s="6"/>
      <c r="O22" s="6" t="s">
        <v>388</v>
      </c>
      <c r="P22" s="6"/>
      <c r="Q22" s="6"/>
      <c r="R22" s="6"/>
      <c r="S22" s="6"/>
      <c r="T22" s="6"/>
      <c r="U22" s="6"/>
      <c r="V22" s="6"/>
      <c r="W22" s="6"/>
      <c r="X22" s="6"/>
      <c r="Y22" s="6"/>
      <c r="Z22" s="6"/>
      <c r="AA22" s="6"/>
      <c r="AB22" s="6"/>
      <c r="AC22" s="12" t="s">
        <v>388</v>
      </c>
      <c r="AD22" s="12"/>
      <c r="AE22" s="85" t="s">
        <v>648</v>
      </c>
      <c r="AF22" s="6" t="s">
        <v>389</v>
      </c>
      <c r="AG22" s="2" t="s">
        <v>693</v>
      </c>
      <c r="AH22" s="2"/>
      <c r="AI22" s="2"/>
      <c r="AJ22" s="2"/>
      <c r="AK22" s="2"/>
    </row>
    <row r="23" spans="1:37" ht="11.25" customHeight="1">
      <c r="A23" s="95" t="s">
        <v>444</v>
      </c>
      <c r="B23" s="2" t="s">
        <v>445</v>
      </c>
      <c r="C23" s="2" t="s">
        <v>446</v>
      </c>
      <c r="D23" s="34" t="s">
        <v>387</v>
      </c>
      <c r="E23" s="34" t="s">
        <v>626</v>
      </c>
      <c r="F23" s="34"/>
      <c r="G23" s="85">
        <v>0</v>
      </c>
      <c r="H23" s="6"/>
      <c r="I23" s="6"/>
      <c r="J23" s="6" t="s">
        <v>623</v>
      </c>
      <c r="K23" s="6"/>
      <c r="L23" s="6"/>
      <c r="M23" s="6"/>
      <c r="N23" s="6"/>
      <c r="O23" s="6"/>
      <c r="P23" s="6"/>
      <c r="Q23" s="6"/>
      <c r="R23" s="6"/>
      <c r="S23" s="6"/>
      <c r="T23" s="6"/>
      <c r="U23" s="6"/>
      <c r="V23" s="6"/>
      <c r="W23" s="6"/>
      <c r="X23" s="6"/>
      <c r="Y23" s="6"/>
      <c r="Z23" s="6"/>
      <c r="AA23" s="6"/>
      <c r="AB23" s="6"/>
      <c r="AC23" s="6"/>
      <c r="AD23" s="6"/>
      <c r="AE23" s="124">
        <v>4</v>
      </c>
      <c r="AF23" s="5" t="s">
        <v>394</v>
      </c>
      <c r="AG23" s="1" t="s">
        <v>443</v>
      </c>
      <c r="AH23" s="2"/>
      <c r="AI23" s="2"/>
      <c r="AJ23" s="2"/>
      <c r="AK23" s="2"/>
    </row>
    <row r="24" spans="1:37" ht="11.25" customHeight="1">
      <c r="A24" s="95" t="s">
        <v>473</v>
      </c>
      <c r="B24" s="2" t="s">
        <v>474</v>
      </c>
      <c r="C24" s="3" t="s">
        <v>475</v>
      </c>
      <c r="D24" s="13" t="s">
        <v>387</v>
      </c>
      <c r="E24" s="13" t="s">
        <v>626</v>
      </c>
      <c r="F24" s="13"/>
      <c r="G24" s="124">
        <v>0</v>
      </c>
      <c r="H24" s="5" t="s">
        <v>623</v>
      </c>
      <c r="AB24" s="5"/>
      <c r="AC24" s="8"/>
      <c r="AD24" s="8"/>
      <c r="AE24" s="124">
        <v>4</v>
      </c>
      <c r="AF24" s="5" t="s">
        <v>394</v>
      </c>
      <c r="AG24" s="1" t="s">
        <v>476</v>
      </c>
      <c r="AH24" s="2"/>
      <c r="AI24" s="1"/>
      <c r="AK24" s="2"/>
    </row>
    <row r="25" spans="1:37" ht="11.25" customHeight="1">
      <c r="A25" s="1" t="s">
        <v>1078</v>
      </c>
      <c r="B25" s="1" t="s">
        <v>1077</v>
      </c>
      <c r="C25" s="34" t="s">
        <v>1076</v>
      </c>
      <c r="D25" s="4" t="s">
        <v>739</v>
      </c>
      <c r="E25" s="4"/>
      <c r="F25" s="4"/>
      <c r="G25" s="124">
        <v>0</v>
      </c>
      <c r="K25" s="5" t="s">
        <v>388</v>
      </c>
      <c r="T25" s="5" t="s">
        <v>388</v>
      </c>
      <c r="W25" s="5" t="s">
        <v>388</v>
      </c>
      <c r="Z25" s="5" t="s">
        <v>388</v>
      </c>
      <c r="AA25" s="5" t="s">
        <v>388</v>
      </c>
      <c r="AB25" s="5"/>
      <c r="AC25" s="8"/>
      <c r="AD25" s="8"/>
      <c r="AE25" s="85"/>
      <c r="AF25" s="8" t="s">
        <v>389</v>
      </c>
      <c r="AG25" s="2" t="s">
        <v>1075</v>
      </c>
      <c r="AH25" s="2"/>
      <c r="AI25" s="1"/>
      <c r="AK25" s="2"/>
    </row>
    <row r="26" spans="1:37" ht="11.25" customHeight="1">
      <c r="A26" s="95" t="s">
        <v>511</v>
      </c>
      <c r="B26" s="1" t="s">
        <v>512</v>
      </c>
      <c r="C26" s="1" t="s">
        <v>513</v>
      </c>
      <c r="D26" s="4" t="s">
        <v>387</v>
      </c>
      <c r="E26" s="4" t="s">
        <v>626</v>
      </c>
      <c r="F26" s="4"/>
      <c r="G26" s="85">
        <v>0</v>
      </c>
      <c r="J26" s="5" t="s">
        <v>623</v>
      </c>
      <c r="M26" s="5" t="s">
        <v>623</v>
      </c>
      <c r="AB26" s="5"/>
      <c r="AC26" s="8" t="s">
        <v>623</v>
      </c>
      <c r="AD26" s="8"/>
      <c r="AE26" s="124">
        <v>2</v>
      </c>
      <c r="AF26" s="5" t="s">
        <v>394</v>
      </c>
      <c r="AG26" s="1" t="s">
        <v>514</v>
      </c>
      <c r="AH26" s="2"/>
      <c r="AI26" s="2"/>
      <c r="AK26" s="2"/>
    </row>
    <row r="27" spans="1:37" ht="11.25" customHeight="1">
      <c r="A27" s="95" t="s">
        <v>511</v>
      </c>
      <c r="B27" s="2" t="s">
        <v>512</v>
      </c>
      <c r="C27" s="2" t="s">
        <v>513</v>
      </c>
      <c r="D27" s="34" t="s">
        <v>387</v>
      </c>
      <c r="E27" s="34" t="s">
        <v>626</v>
      </c>
      <c r="F27" s="34"/>
      <c r="G27" s="85">
        <v>0</v>
      </c>
      <c r="H27" s="6"/>
      <c r="I27" s="6"/>
      <c r="J27" s="6" t="s">
        <v>623</v>
      </c>
      <c r="K27" s="6"/>
      <c r="L27" s="6"/>
      <c r="M27" s="6" t="s">
        <v>623</v>
      </c>
      <c r="N27" s="6"/>
      <c r="O27" s="6"/>
      <c r="P27" s="6"/>
      <c r="Q27" s="6"/>
      <c r="R27" s="6"/>
      <c r="S27" s="6"/>
      <c r="T27" s="6"/>
      <c r="U27" s="6"/>
      <c r="V27" s="6"/>
      <c r="W27" s="6"/>
      <c r="X27" s="6"/>
      <c r="Y27" s="6"/>
      <c r="Z27" s="6"/>
      <c r="AA27" s="6"/>
      <c r="AB27" s="6"/>
      <c r="AC27" s="6" t="s">
        <v>623</v>
      </c>
      <c r="AD27" s="6"/>
      <c r="AE27" s="124">
        <v>4</v>
      </c>
      <c r="AF27" s="5" t="s">
        <v>394</v>
      </c>
      <c r="AG27" s="1" t="s">
        <v>514</v>
      </c>
      <c r="AH27" s="2"/>
      <c r="AI27" s="2"/>
      <c r="AJ27" s="2"/>
      <c r="AK27" s="2"/>
    </row>
    <row r="28" spans="1:37" ht="11.25" customHeight="1">
      <c r="A28" s="95" t="s">
        <v>687</v>
      </c>
      <c r="B28" s="2" t="s">
        <v>685</v>
      </c>
      <c r="C28" s="2" t="s">
        <v>686</v>
      </c>
      <c r="D28" s="2" t="s">
        <v>688</v>
      </c>
      <c r="E28" s="34"/>
      <c r="F28" s="34"/>
      <c r="G28" s="85">
        <v>0</v>
      </c>
      <c r="H28" s="6"/>
      <c r="I28" s="6"/>
      <c r="J28" s="6"/>
      <c r="K28" s="6"/>
      <c r="L28" s="6"/>
      <c r="M28" s="6"/>
      <c r="N28" s="6"/>
      <c r="O28" s="6" t="s">
        <v>388</v>
      </c>
      <c r="P28" s="6"/>
      <c r="Q28" s="6"/>
      <c r="R28" s="6"/>
      <c r="S28" s="6"/>
      <c r="T28" s="6"/>
      <c r="U28" s="6"/>
      <c r="V28" s="6"/>
      <c r="W28" s="6"/>
      <c r="X28" s="6"/>
      <c r="Y28" s="6"/>
      <c r="Z28" s="6"/>
      <c r="AA28" s="6"/>
      <c r="AB28" s="6"/>
      <c r="AC28" s="12"/>
      <c r="AD28" s="12" t="s">
        <v>388</v>
      </c>
      <c r="AE28" s="85" t="s">
        <v>648</v>
      </c>
      <c r="AF28" s="6" t="s">
        <v>394</v>
      </c>
      <c r="AG28" s="2" t="s">
        <v>689</v>
      </c>
      <c r="AH28" s="2"/>
      <c r="AI28" s="2"/>
      <c r="AJ28" s="2"/>
      <c r="AK28" s="2"/>
    </row>
    <row r="29" spans="1:37" ht="11.25" customHeight="1">
      <c r="A29" s="95" t="s">
        <v>450</v>
      </c>
      <c r="B29" s="2" t="s">
        <v>451</v>
      </c>
      <c r="C29" s="2" t="s">
        <v>452</v>
      </c>
      <c r="D29" s="34" t="s">
        <v>387</v>
      </c>
      <c r="E29" s="34" t="s">
        <v>626</v>
      </c>
      <c r="F29" s="34"/>
      <c r="G29" s="85">
        <v>0</v>
      </c>
      <c r="H29" s="6"/>
      <c r="I29" s="6"/>
      <c r="J29" s="6"/>
      <c r="K29" s="6"/>
      <c r="L29" s="6"/>
      <c r="M29" s="6"/>
      <c r="N29" s="6"/>
      <c r="O29" s="6"/>
      <c r="P29" s="6"/>
      <c r="Q29" s="6"/>
      <c r="R29" s="6"/>
      <c r="S29" s="6"/>
      <c r="T29" s="6"/>
      <c r="U29" s="6"/>
      <c r="V29" s="6"/>
      <c r="W29" s="6"/>
      <c r="X29" s="6"/>
      <c r="Y29" s="6"/>
      <c r="Z29" s="6"/>
      <c r="AA29" s="6"/>
      <c r="AB29" s="6"/>
      <c r="AC29" s="6"/>
      <c r="AD29" s="6"/>
      <c r="AE29" s="124">
        <v>4</v>
      </c>
      <c r="AF29" s="5" t="s">
        <v>394</v>
      </c>
      <c r="AG29" s="1" t="s">
        <v>616</v>
      </c>
      <c r="AH29" s="2"/>
      <c r="AI29" s="2"/>
      <c r="AJ29" s="2"/>
      <c r="AK29" s="2"/>
    </row>
    <row r="30" spans="1:37" ht="11.25" customHeight="1">
      <c r="A30" s="95" t="s">
        <v>450</v>
      </c>
      <c r="B30" s="2" t="s">
        <v>453</v>
      </c>
      <c r="C30" s="2" t="s">
        <v>454</v>
      </c>
      <c r="D30" s="34" t="s">
        <v>387</v>
      </c>
      <c r="E30" s="34" t="s">
        <v>626</v>
      </c>
      <c r="F30" s="34"/>
      <c r="G30" s="85">
        <v>0</v>
      </c>
      <c r="H30" s="6"/>
      <c r="I30" s="6" t="s">
        <v>623</v>
      </c>
      <c r="J30" s="6"/>
      <c r="K30" s="6"/>
      <c r="L30" s="6"/>
      <c r="M30" s="6"/>
      <c r="N30" s="6"/>
      <c r="O30" s="6"/>
      <c r="P30" s="6"/>
      <c r="Q30" s="6"/>
      <c r="R30" s="6"/>
      <c r="S30" s="6"/>
      <c r="T30" s="6"/>
      <c r="U30" s="6"/>
      <c r="V30" s="6"/>
      <c r="W30" s="6"/>
      <c r="X30" s="6"/>
      <c r="Y30" s="6"/>
      <c r="Z30" s="6"/>
      <c r="AA30" s="6"/>
      <c r="AB30" s="6"/>
      <c r="AC30" s="6"/>
      <c r="AD30" s="6"/>
      <c r="AE30" s="124">
        <v>4</v>
      </c>
      <c r="AF30" s="5" t="s">
        <v>394</v>
      </c>
      <c r="AG30" s="1" t="s">
        <v>616</v>
      </c>
      <c r="AH30" s="2"/>
      <c r="AI30" s="2"/>
      <c r="AJ30" s="2"/>
      <c r="AK30" s="2"/>
    </row>
    <row r="31" spans="1:37" ht="11.25" customHeight="1">
      <c r="A31" s="95" t="s">
        <v>851</v>
      </c>
      <c r="B31" s="2" t="s">
        <v>849</v>
      </c>
      <c r="C31" s="2" t="s">
        <v>850</v>
      </c>
      <c r="D31" s="34" t="s">
        <v>739</v>
      </c>
      <c r="E31" s="34"/>
      <c r="F31" s="34"/>
      <c r="G31" s="85">
        <v>0</v>
      </c>
      <c r="H31" s="6"/>
      <c r="I31" s="6"/>
      <c r="J31" s="6"/>
      <c r="K31" s="6"/>
      <c r="L31" s="6"/>
      <c r="M31" s="6"/>
      <c r="N31" s="6" t="s">
        <v>388</v>
      </c>
      <c r="O31" s="6"/>
      <c r="P31" s="6"/>
      <c r="Q31" s="6"/>
      <c r="R31" s="6"/>
      <c r="S31" s="6"/>
      <c r="T31" s="6"/>
      <c r="U31" s="6" t="s">
        <v>388</v>
      </c>
      <c r="V31" s="6"/>
      <c r="W31" s="6"/>
      <c r="X31" s="6"/>
      <c r="Y31" s="6"/>
      <c r="Z31" s="6"/>
      <c r="AA31" s="6"/>
      <c r="AB31" s="6"/>
      <c r="AC31" s="12"/>
      <c r="AD31" s="12" t="s">
        <v>388</v>
      </c>
      <c r="AE31" s="85" t="s">
        <v>648</v>
      </c>
      <c r="AF31" s="6" t="s">
        <v>394</v>
      </c>
      <c r="AG31" s="2" t="s">
        <v>852</v>
      </c>
      <c r="AH31" s="2"/>
      <c r="AI31" s="2"/>
      <c r="AJ31" s="2" t="s">
        <v>832</v>
      </c>
      <c r="AK31" s="2"/>
    </row>
    <row r="32" spans="1:37" ht="11.25" customHeight="1">
      <c r="A32" s="95" t="s">
        <v>562</v>
      </c>
      <c r="B32" s="2" t="s">
        <v>563</v>
      </c>
      <c r="C32" s="3" t="s">
        <v>564</v>
      </c>
      <c r="D32" s="13" t="s">
        <v>387</v>
      </c>
      <c r="E32" s="13" t="s">
        <v>626</v>
      </c>
      <c r="F32" s="13"/>
      <c r="G32" s="124">
        <v>0</v>
      </c>
      <c r="AB32" s="5"/>
      <c r="AC32" s="8"/>
      <c r="AD32" s="8"/>
      <c r="AE32" s="124">
        <v>2</v>
      </c>
      <c r="AF32" s="5" t="s">
        <v>394</v>
      </c>
      <c r="AG32" s="1" t="s">
        <v>565</v>
      </c>
      <c r="AH32" s="2"/>
      <c r="AI32" s="1"/>
      <c r="AK32" s="2"/>
    </row>
    <row r="33" spans="1:37" s="2" customFormat="1" ht="11.25" customHeight="1">
      <c r="A33" s="95" t="s">
        <v>721</v>
      </c>
      <c r="B33" s="2" t="s">
        <v>1658</v>
      </c>
      <c r="C33" s="2" t="s">
        <v>722</v>
      </c>
      <c r="D33" s="34" t="s">
        <v>387</v>
      </c>
      <c r="E33" s="34"/>
      <c r="F33" s="34"/>
      <c r="G33" s="85">
        <v>0</v>
      </c>
      <c r="H33" s="6"/>
      <c r="I33" s="6"/>
      <c r="J33" s="6"/>
      <c r="K33" s="6"/>
      <c r="L33" s="6"/>
      <c r="M33" s="6"/>
      <c r="N33" s="6"/>
      <c r="O33" s="6" t="s">
        <v>388</v>
      </c>
      <c r="P33" s="6"/>
      <c r="Q33" s="6"/>
      <c r="R33" s="6"/>
      <c r="S33" s="6"/>
      <c r="T33" s="6"/>
      <c r="U33" s="6"/>
      <c r="V33" s="6" t="s">
        <v>388</v>
      </c>
      <c r="W33" s="6"/>
      <c r="X33" s="6"/>
      <c r="Y33" s="6"/>
      <c r="Z33" s="6"/>
      <c r="AA33" s="6"/>
      <c r="AB33" s="6"/>
      <c r="AC33" s="12"/>
      <c r="AD33" s="12"/>
      <c r="AE33" s="85" t="s">
        <v>648</v>
      </c>
      <c r="AF33" s="6" t="s">
        <v>723</v>
      </c>
    </row>
    <row r="34" spans="1:37" ht="11.25" customHeight="1">
      <c r="A34" s="95" t="s">
        <v>779</v>
      </c>
      <c r="B34" s="2" t="s">
        <v>853</v>
      </c>
      <c r="C34" s="2" t="s">
        <v>854</v>
      </c>
      <c r="D34" s="34" t="s">
        <v>739</v>
      </c>
      <c r="E34" s="34"/>
      <c r="F34" s="34"/>
      <c r="G34" s="85">
        <v>0</v>
      </c>
      <c r="H34" s="6"/>
      <c r="I34" s="6"/>
      <c r="J34" s="6"/>
      <c r="K34" s="6"/>
      <c r="L34" s="6"/>
      <c r="M34" s="6"/>
      <c r="N34" s="6" t="s">
        <v>388</v>
      </c>
      <c r="O34" s="6"/>
      <c r="P34" s="6"/>
      <c r="Q34" s="6"/>
      <c r="R34" s="6"/>
      <c r="S34" s="6"/>
      <c r="T34" s="6"/>
      <c r="U34" s="6" t="s">
        <v>388</v>
      </c>
      <c r="V34" s="6"/>
      <c r="W34" s="6"/>
      <c r="X34" s="6"/>
      <c r="Y34" s="6"/>
      <c r="Z34" s="6"/>
      <c r="AA34" s="6"/>
      <c r="AB34" s="6"/>
      <c r="AC34" s="12"/>
      <c r="AD34" s="12" t="s">
        <v>388</v>
      </c>
      <c r="AE34" s="85" t="s">
        <v>648</v>
      </c>
      <c r="AF34" s="6" t="s">
        <v>389</v>
      </c>
      <c r="AG34" s="2" t="s">
        <v>855</v>
      </c>
      <c r="AH34" s="2"/>
      <c r="AI34" s="2"/>
      <c r="AJ34" s="2" t="s">
        <v>831</v>
      </c>
      <c r="AK34" s="2"/>
    </row>
    <row r="35" spans="1:37" ht="11.25" customHeight="1">
      <c r="A35" s="95" t="s">
        <v>494</v>
      </c>
      <c r="B35" s="2" t="s">
        <v>495</v>
      </c>
      <c r="C35" s="2" t="s">
        <v>496</v>
      </c>
      <c r="D35" s="34" t="s">
        <v>387</v>
      </c>
      <c r="E35" s="34" t="s">
        <v>626</v>
      </c>
      <c r="F35" s="34"/>
      <c r="G35" s="85">
        <v>0</v>
      </c>
      <c r="H35" s="6" t="s">
        <v>388</v>
      </c>
      <c r="I35" s="6"/>
      <c r="J35" s="6"/>
      <c r="K35" s="6"/>
      <c r="L35" s="6"/>
      <c r="M35" s="6"/>
      <c r="N35" s="6"/>
      <c r="O35" s="6"/>
      <c r="P35" s="6"/>
      <c r="Q35" s="6"/>
      <c r="R35" s="6"/>
      <c r="S35" s="6"/>
      <c r="T35" s="6"/>
      <c r="U35" s="6" t="s">
        <v>388</v>
      </c>
      <c r="V35" s="6"/>
      <c r="W35" s="6"/>
      <c r="X35" s="6"/>
      <c r="Y35" s="6"/>
      <c r="Z35" s="6"/>
      <c r="AA35" s="6"/>
      <c r="AB35" s="6"/>
      <c r="AC35" s="12"/>
      <c r="AD35" s="12"/>
      <c r="AE35" s="85">
        <v>4</v>
      </c>
      <c r="AF35" s="6" t="s">
        <v>394</v>
      </c>
      <c r="AG35" s="2" t="s">
        <v>682</v>
      </c>
      <c r="AH35" s="2"/>
      <c r="AI35" s="2" t="s">
        <v>681</v>
      </c>
      <c r="AJ35" s="2"/>
      <c r="AK35" s="2"/>
    </row>
    <row r="36" spans="1:37" ht="11.25" customHeight="1">
      <c r="A36" s="95" t="s">
        <v>455</v>
      </c>
      <c r="B36" s="2" t="s">
        <v>456</v>
      </c>
      <c r="C36" s="2" t="s">
        <v>457</v>
      </c>
      <c r="D36" s="34" t="s">
        <v>387</v>
      </c>
      <c r="E36" s="34" t="s">
        <v>626</v>
      </c>
      <c r="F36" s="34"/>
      <c r="G36" s="85">
        <v>0</v>
      </c>
      <c r="H36" s="6"/>
      <c r="I36" s="6" t="s">
        <v>623</v>
      </c>
      <c r="J36" s="6"/>
      <c r="K36" s="6"/>
      <c r="L36" s="6"/>
      <c r="M36" s="6"/>
      <c r="N36" s="6"/>
      <c r="O36" s="6"/>
      <c r="P36" s="6"/>
      <c r="Q36" s="6"/>
      <c r="R36" s="6"/>
      <c r="S36" s="6"/>
      <c r="T36" s="6"/>
      <c r="U36" s="6"/>
      <c r="V36" s="6"/>
      <c r="W36" s="6"/>
      <c r="X36" s="6"/>
      <c r="Y36" s="6"/>
      <c r="Z36" s="6"/>
      <c r="AA36" s="6"/>
      <c r="AB36" s="6"/>
      <c r="AC36" s="6"/>
      <c r="AD36" s="6"/>
      <c r="AE36" s="124">
        <v>4</v>
      </c>
      <c r="AF36" s="5" t="s">
        <v>394</v>
      </c>
      <c r="AG36" s="1" t="s">
        <v>617</v>
      </c>
      <c r="AH36" s="2"/>
      <c r="AI36" s="2"/>
      <c r="AJ36" s="2"/>
      <c r="AK36" s="2"/>
    </row>
    <row r="37" spans="1:37" ht="11.25" customHeight="1">
      <c r="A37" s="95" t="s">
        <v>566</v>
      </c>
      <c r="B37" s="1" t="s">
        <v>569</v>
      </c>
      <c r="C37" s="1" t="s">
        <v>570</v>
      </c>
      <c r="D37" s="4" t="s">
        <v>387</v>
      </c>
      <c r="E37" s="4" t="s">
        <v>626</v>
      </c>
      <c r="F37" s="4"/>
      <c r="G37" s="85">
        <v>0</v>
      </c>
      <c r="AB37" s="5"/>
      <c r="AC37" s="8"/>
      <c r="AD37" s="8"/>
      <c r="AE37" s="124">
        <v>2</v>
      </c>
      <c r="AF37" s="5" t="s">
        <v>394</v>
      </c>
      <c r="AG37" s="1" t="s">
        <v>491</v>
      </c>
      <c r="AH37" s="2"/>
      <c r="AI37" s="2"/>
      <c r="AK37" s="2"/>
    </row>
    <row r="38" spans="1:37" ht="11.25" customHeight="1">
      <c r="A38" s="95" t="s">
        <v>458</v>
      </c>
      <c r="B38" s="2" t="s">
        <v>459</v>
      </c>
      <c r="C38" s="2" t="s">
        <v>460</v>
      </c>
      <c r="D38" s="34" t="s">
        <v>387</v>
      </c>
      <c r="E38" s="34" t="s">
        <v>626</v>
      </c>
      <c r="F38" s="34"/>
      <c r="G38" s="85">
        <v>0</v>
      </c>
      <c r="H38" s="6"/>
      <c r="I38" s="6"/>
      <c r="J38" s="6"/>
      <c r="K38" s="6"/>
      <c r="L38" s="6"/>
      <c r="M38" s="6" t="s">
        <v>623</v>
      </c>
      <c r="N38" s="6"/>
      <c r="O38" s="6"/>
      <c r="P38" s="6"/>
      <c r="Q38" s="6"/>
      <c r="R38" s="6"/>
      <c r="S38" s="6"/>
      <c r="T38" s="6"/>
      <c r="U38" s="6"/>
      <c r="V38" s="6"/>
      <c r="W38" s="6"/>
      <c r="X38" s="6"/>
      <c r="Y38" s="6"/>
      <c r="Z38" s="6"/>
      <c r="AA38" s="6"/>
      <c r="AB38" s="6"/>
      <c r="AC38" s="6"/>
      <c r="AD38" s="6"/>
      <c r="AE38" s="124">
        <v>4</v>
      </c>
      <c r="AF38" s="5" t="s">
        <v>394</v>
      </c>
      <c r="AG38" s="1" t="s">
        <v>616</v>
      </c>
      <c r="AH38" s="2"/>
      <c r="AI38" s="2"/>
      <c r="AJ38" s="2"/>
      <c r="AK38" s="2"/>
    </row>
    <row r="39" spans="1:37" ht="11.25" customHeight="1">
      <c r="A39" s="95" t="s">
        <v>458</v>
      </c>
      <c r="B39" s="1" t="s">
        <v>571</v>
      </c>
      <c r="C39" s="1" t="s">
        <v>572</v>
      </c>
      <c r="D39" s="4" t="s">
        <v>387</v>
      </c>
      <c r="E39" s="4" t="s">
        <v>626</v>
      </c>
      <c r="F39" s="4"/>
      <c r="G39" s="85">
        <v>0</v>
      </c>
      <c r="AB39" s="5"/>
      <c r="AC39" s="8"/>
      <c r="AD39" s="8"/>
      <c r="AE39" s="124">
        <v>2</v>
      </c>
      <c r="AF39" s="5" t="s">
        <v>394</v>
      </c>
      <c r="AG39" s="1" t="s">
        <v>491</v>
      </c>
      <c r="AH39" s="2"/>
      <c r="AI39" s="2"/>
      <c r="AK39" s="2"/>
    </row>
    <row r="40" spans="1:37" ht="11.25" customHeight="1">
      <c r="A40" s="95" t="s">
        <v>470</v>
      </c>
      <c r="B40" s="2" t="s">
        <v>471</v>
      </c>
      <c r="C40" s="2" t="s">
        <v>472</v>
      </c>
      <c r="D40" s="34" t="s">
        <v>387</v>
      </c>
      <c r="E40" s="34" t="s">
        <v>626</v>
      </c>
      <c r="F40" s="34"/>
      <c r="G40" s="85">
        <v>0</v>
      </c>
      <c r="H40" s="6"/>
      <c r="I40" s="6"/>
      <c r="J40" s="6"/>
      <c r="K40" s="6"/>
      <c r="L40" s="6"/>
      <c r="M40" s="6"/>
      <c r="N40" s="6"/>
      <c r="O40" s="6"/>
      <c r="P40" s="6"/>
      <c r="Q40" s="6"/>
      <c r="R40" s="6"/>
      <c r="S40" s="6"/>
      <c r="T40" s="6"/>
      <c r="U40" s="6"/>
      <c r="V40" s="6"/>
      <c r="W40" s="6"/>
      <c r="X40" s="6"/>
      <c r="Y40" s="6"/>
      <c r="Z40" s="6"/>
      <c r="AA40" s="6"/>
      <c r="AB40" s="6"/>
      <c r="AC40" s="6"/>
      <c r="AD40" s="6"/>
      <c r="AE40" s="124">
        <v>4</v>
      </c>
      <c r="AF40" s="5" t="s">
        <v>394</v>
      </c>
      <c r="AG40" s="1" t="s">
        <v>431</v>
      </c>
      <c r="AH40" s="2"/>
      <c r="AI40" s="2"/>
      <c r="AJ40" s="2"/>
      <c r="AK40" s="2"/>
    </row>
    <row r="41" spans="1:37" ht="11.25" customHeight="1">
      <c r="A41" s="95" t="s">
        <v>544</v>
      </c>
      <c r="B41" s="1" t="s">
        <v>545</v>
      </c>
      <c r="C41" s="1" t="s">
        <v>546</v>
      </c>
      <c r="D41" s="4" t="s">
        <v>387</v>
      </c>
      <c r="E41" s="4" t="s">
        <v>626</v>
      </c>
      <c r="F41" s="4"/>
      <c r="G41" s="85">
        <v>0</v>
      </c>
      <c r="AB41" s="5"/>
      <c r="AC41" s="8"/>
      <c r="AD41" s="8"/>
      <c r="AE41" s="124">
        <v>2</v>
      </c>
      <c r="AF41" s="5" t="s">
        <v>394</v>
      </c>
      <c r="AG41" s="1" t="s">
        <v>431</v>
      </c>
      <c r="AH41" s="2"/>
      <c r="AI41" s="2"/>
      <c r="AK41" s="2"/>
    </row>
    <row r="42" spans="1:37" ht="11.25" customHeight="1">
      <c r="A42" s="95" t="s">
        <v>537</v>
      </c>
      <c r="B42" s="2" t="s">
        <v>1650</v>
      </c>
      <c r="C42" s="2" t="s">
        <v>538</v>
      </c>
      <c r="D42" s="34" t="s">
        <v>387</v>
      </c>
      <c r="E42" s="34" t="s">
        <v>626</v>
      </c>
      <c r="F42" s="34"/>
      <c r="G42" s="85">
        <v>0</v>
      </c>
      <c r="H42" s="6"/>
      <c r="I42" s="6"/>
      <c r="J42" s="6"/>
      <c r="K42" s="6"/>
      <c r="L42" s="6"/>
      <c r="M42" s="6"/>
      <c r="N42" s="6"/>
      <c r="O42" s="6"/>
      <c r="P42" s="6"/>
      <c r="Q42" s="6"/>
      <c r="R42" s="6"/>
      <c r="S42" s="6"/>
      <c r="T42" s="6"/>
      <c r="U42" s="6"/>
      <c r="V42" s="6"/>
      <c r="W42" s="6"/>
      <c r="X42" s="6"/>
      <c r="Y42" s="6"/>
      <c r="Z42" s="6"/>
      <c r="AA42" s="6"/>
      <c r="AB42" s="6"/>
      <c r="AC42" s="6"/>
      <c r="AD42" s="6"/>
      <c r="AE42" s="124">
        <v>2</v>
      </c>
      <c r="AF42" s="5" t="s">
        <v>394</v>
      </c>
      <c r="AG42" s="1" t="s">
        <v>443</v>
      </c>
      <c r="AH42" s="2"/>
      <c r="AI42" s="2"/>
      <c r="AJ42" s="2"/>
      <c r="AK42" s="2"/>
    </row>
    <row r="43" spans="1:37" ht="11.25" customHeight="1">
      <c r="A43" s="95" t="s">
        <v>522</v>
      </c>
      <c r="B43" s="1" t="s">
        <v>523</v>
      </c>
      <c r="C43" s="1" t="s">
        <v>524</v>
      </c>
      <c r="D43" s="4" t="s">
        <v>387</v>
      </c>
      <c r="E43" s="4" t="s">
        <v>626</v>
      </c>
      <c r="F43" s="4"/>
      <c r="G43" s="85">
        <v>0</v>
      </c>
      <c r="J43" s="5" t="s">
        <v>623</v>
      </c>
      <c r="AB43" s="5"/>
      <c r="AC43" s="8"/>
      <c r="AD43" s="8"/>
      <c r="AE43" s="124">
        <v>2</v>
      </c>
      <c r="AF43" s="5" t="s">
        <v>394</v>
      </c>
      <c r="AG43" s="1" t="s">
        <v>525</v>
      </c>
      <c r="AH43" s="2"/>
      <c r="AI43" s="2"/>
      <c r="AK43" s="2"/>
    </row>
    <row r="44" spans="1:37" s="2" customFormat="1" ht="11.25" customHeight="1">
      <c r="A44" s="95" t="s">
        <v>698</v>
      </c>
      <c r="B44" s="2" t="s">
        <v>697</v>
      </c>
      <c r="C44" s="2" t="s">
        <v>699</v>
      </c>
      <c r="D44" s="2" t="s">
        <v>387</v>
      </c>
      <c r="E44" s="34"/>
      <c r="F44" s="34"/>
      <c r="G44" s="85">
        <v>0</v>
      </c>
      <c r="H44" s="6"/>
      <c r="I44" s="6"/>
      <c r="J44" s="6"/>
      <c r="K44" s="6"/>
      <c r="L44" s="6"/>
      <c r="M44" s="6"/>
      <c r="N44" s="6"/>
      <c r="O44" s="6" t="s">
        <v>388</v>
      </c>
      <c r="P44" s="6"/>
      <c r="Q44" s="6"/>
      <c r="R44" s="6"/>
      <c r="S44" s="6"/>
      <c r="T44" s="6"/>
      <c r="U44" s="6"/>
      <c r="V44" s="6"/>
      <c r="W44" s="6"/>
      <c r="X44" s="6"/>
      <c r="Y44" s="6"/>
      <c r="Z44" s="6"/>
      <c r="AA44" s="6"/>
      <c r="AB44" s="6"/>
      <c r="AC44" s="12"/>
      <c r="AD44" s="12"/>
      <c r="AE44" s="85" t="s">
        <v>648</v>
      </c>
      <c r="AF44" s="6" t="s">
        <v>389</v>
      </c>
      <c r="AG44" s="2" t="s">
        <v>700</v>
      </c>
    </row>
    <row r="45" spans="1:37" ht="11.25" customHeight="1">
      <c r="A45" s="95" t="s">
        <v>713</v>
      </c>
      <c r="B45" s="2" t="s">
        <v>733</v>
      </c>
      <c r="C45" s="2" t="s">
        <v>735</v>
      </c>
      <c r="D45" s="34" t="s">
        <v>387</v>
      </c>
      <c r="E45" s="34"/>
      <c r="F45" s="34"/>
      <c r="G45" s="85">
        <v>0</v>
      </c>
      <c r="H45" s="6"/>
      <c r="I45" s="6"/>
      <c r="J45" s="6"/>
      <c r="K45" s="6"/>
      <c r="L45" s="6"/>
      <c r="M45" s="6"/>
      <c r="N45" s="6"/>
      <c r="O45" s="6" t="s">
        <v>388</v>
      </c>
      <c r="P45" s="6"/>
      <c r="Q45" s="6"/>
      <c r="R45" s="6"/>
      <c r="S45" s="6"/>
      <c r="T45" s="6"/>
      <c r="U45" s="6"/>
      <c r="V45" s="6"/>
      <c r="W45" s="6"/>
      <c r="X45" s="6"/>
      <c r="Y45" s="6"/>
      <c r="Z45" s="6"/>
      <c r="AA45" s="6"/>
      <c r="AB45" s="6"/>
      <c r="AC45" s="12"/>
      <c r="AD45" s="12" t="s">
        <v>388</v>
      </c>
      <c r="AE45" s="85" t="s">
        <v>648</v>
      </c>
      <c r="AF45" s="6" t="s">
        <v>394</v>
      </c>
      <c r="AG45" s="2"/>
      <c r="AH45" s="2"/>
      <c r="AI45" s="2"/>
      <c r="AJ45" s="2" t="s">
        <v>734</v>
      </c>
      <c r="AK45" s="2"/>
    </row>
    <row r="46" spans="1:37" s="2" customFormat="1" ht="11.25" customHeight="1">
      <c r="A46" s="95" t="s">
        <v>713</v>
      </c>
      <c r="B46" s="2" t="s">
        <v>714</v>
      </c>
      <c r="C46" s="2" t="s">
        <v>715</v>
      </c>
      <c r="D46" s="34" t="s">
        <v>387</v>
      </c>
      <c r="E46" s="34"/>
      <c r="F46" s="34"/>
      <c r="G46" s="85">
        <v>0</v>
      </c>
      <c r="H46" s="6"/>
      <c r="I46" s="6"/>
      <c r="J46" s="6"/>
      <c r="K46" s="6"/>
      <c r="L46" s="6"/>
      <c r="M46" s="6" t="s">
        <v>388</v>
      </c>
      <c r="N46" s="6"/>
      <c r="O46" s="6" t="s">
        <v>388</v>
      </c>
      <c r="P46" s="6"/>
      <c r="Q46" s="6"/>
      <c r="R46" s="6"/>
      <c r="S46" s="6"/>
      <c r="T46" s="6"/>
      <c r="U46" s="6"/>
      <c r="V46" s="6"/>
      <c r="W46" s="6"/>
      <c r="X46" s="6"/>
      <c r="Y46" s="6"/>
      <c r="Z46" s="6"/>
      <c r="AA46" s="6"/>
      <c r="AB46" s="6"/>
      <c r="AC46" s="12"/>
      <c r="AD46" s="12"/>
      <c r="AE46" s="85" t="s">
        <v>648</v>
      </c>
      <c r="AF46" s="6" t="s">
        <v>389</v>
      </c>
    </row>
    <row r="47" spans="1:37" ht="11.25" customHeight="1">
      <c r="A47" s="95" t="s">
        <v>716</v>
      </c>
      <c r="B47" s="2" t="s">
        <v>717</v>
      </c>
      <c r="C47" s="2" t="s">
        <v>718</v>
      </c>
      <c r="D47" s="34" t="s">
        <v>387</v>
      </c>
      <c r="E47" s="34"/>
      <c r="F47" s="34"/>
      <c r="G47" s="85">
        <v>0</v>
      </c>
      <c r="H47" s="6"/>
      <c r="I47" s="6"/>
      <c r="J47" s="6"/>
      <c r="K47" s="6"/>
      <c r="L47" s="6"/>
      <c r="M47" s="6"/>
      <c r="N47" s="6"/>
      <c r="O47" s="6" t="s">
        <v>388</v>
      </c>
      <c r="P47" s="6"/>
      <c r="Q47" s="6"/>
      <c r="R47" s="6"/>
      <c r="S47" s="6"/>
      <c r="T47" s="6"/>
      <c r="U47" s="6"/>
      <c r="V47" s="6" t="s">
        <v>388</v>
      </c>
      <c r="W47" s="6"/>
      <c r="X47" s="6"/>
      <c r="Y47" s="6"/>
      <c r="Z47" s="6"/>
      <c r="AA47" s="6"/>
      <c r="AB47" s="6"/>
      <c r="AC47" s="12"/>
      <c r="AD47" s="12"/>
      <c r="AE47" s="85" t="s">
        <v>648</v>
      </c>
      <c r="AF47" s="6" t="s">
        <v>394</v>
      </c>
      <c r="AG47" s="2" t="s">
        <v>719</v>
      </c>
      <c r="AH47" s="2"/>
      <c r="AI47" s="2"/>
      <c r="AJ47" s="2"/>
      <c r="AK47" s="2"/>
    </row>
    <row r="48" spans="1:37" ht="11.25" customHeight="1">
      <c r="A48" s="95" t="s">
        <v>726</v>
      </c>
      <c r="B48" s="2" t="s">
        <v>728</v>
      </c>
      <c r="C48" s="2" t="s">
        <v>727</v>
      </c>
      <c r="D48" s="34" t="s">
        <v>387</v>
      </c>
      <c r="E48" s="34"/>
      <c r="F48" s="34"/>
      <c r="G48" s="85">
        <v>1</v>
      </c>
      <c r="H48" s="6"/>
      <c r="I48" s="6"/>
      <c r="J48" s="6"/>
      <c r="K48" s="6"/>
      <c r="L48" s="6"/>
      <c r="M48" s="6" t="s">
        <v>388</v>
      </c>
      <c r="N48" s="6"/>
      <c r="O48" s="6" t="s">
        <v>388</v>
      </c>
      <c r="P48" s="6"/>
      <c r="Q48" s="6"/>
      <c r="R48" s="6"/>
      <c r="S48" s="6"/>
      <c r="T48" s="6" t="s">
        <v>388</v>
      </c>
      <c r="U48" s="6"/>
      <c r="V48" s="6"/>
      <c r="W48" s="6"/>
      <c r="X48" s="6"/>
      <c r="Y48" s="6" t="s">
        <v>388</v>
      </c>
      <c r="Z48" s="6"/>
      <c r="AA48" s="6"/>
      <c r="AB48" s="6"/>
      <c r="AC48" s="12"/>
      <c r="AD48" s="12"/>
      <c r="AE48" s="85" t="s">
        <v>648</v>
      </c>
      <c r="AF48" s="6" t="s">
        <v>394</v>
      </c>
      <c r="AG48" s="2" t="s">
        <v>729</v>
      </c>
      <c r="AH48" s="2"/>
      <c r="AI48" s="2"/>
      <c r="AJ48" s="2"/>
      <c r="AK48" s="2"/>
    </row>
    <row r="49" spans="1:37" ht="11.25" customHeight="1">
      <c r="A49" s="95" t="s">
        <v>786</v>
      </c>
      <c r="B49" s="2" t="s">
        <v>787</v>
      </c>
      <c r="C49" s="2" t="s">
        <v>782</v>
      </c>
      <c r="D49" s="34" t="s">
        <v>739</v>
      </c>
      <c r="E49" s="34"/>
      <c r="F49" s="34"/>
      <c r="G49" s="85">
        <v>1</v>
      </c>
      <c r="H49" s="6"/>
      <c r="I49" s="6"/>
      <c r="J49" s="6"/>
      <c r="K49" s="6"/>
      <c r="L49" s="6"/>
      <c r="M49" s="6"/>
      <c r="N49" s="6" t="s">
        <v>388</v>
      </c>
      <c r="O49" s="6"/>
      <c r="P49" s="6"/>
      <c r="Q49" s="6"/>
      <c r="R49" s="6"/>
      <c r="S49" s="6"/>
      <c r="T49" s="6"/>
      <c r="U49" s="6"/>
      <c r="V49" s="6"/>
      <c r="W49" s="6"/>
      <c r="X49" s="6"/>
      <c r="Y49" s="6"/>
      <c r="Z49" s="6"/>
      <c r="AA49" s="6"/>
      <c r="AB49" s="6"/>
      <c r="AC49" s="12" t="s">
        <v>388</v>
      </c>
      <c r="AD49" s="12" t="s">
        <v>388</v>
      </c>
      <c r="AE49" s="85">
        <v>3</v>
      </c>
      <c r="AF49" s="6" t="s">
        <v>394</v>
      </c>
      <c r="AG49" s="2" t="s">
        <v>785</v>
      </c>
      <c r="AH49" s="2"/>
      <c r="AI49" s="2"/>
      <c r="AJ49" s="2" t="s">
        <v>788</v>
      </c>
      <c r="AK49" s="2"/>
    </row>
    <row r="50" spans="1:37" ht="11.25" customHeight="1">
      <c r="A50" s="95" t="s">
        <v>35</v>
      </c>
      <c r="B50" s="1" t="s">
        <v>217</v>
      </c>
      <c r="C50" s="1" t="s">
        <v>218</v>
      </c>
      <c r="D50" s="4" t="s">
        <v>387</v>
      </c>
      <c r="E50" s="4"/>
      <c r="F50" s="4"/>
      <c r="G50" s="124">
        <v>1</v>
      </c>
      <c r="N50" s="5" t="s">
        <v>388</v>
      </c>
      <c r="O50" s="5" t="s">
        <v>388</v>
      </c>
      <c r="T50" s="5" t="s">
        <v>388</v>
      </c>
      <c r="V50" s="5" t="s">
        <v>388</v>
      </c>
      <c r="W50" s="5" t="s">
        <v>388</v>
      </c>
      <c r="Z50" s="5" t="s">
        <v>388</v>
      </c>
      <c r="AA50" s="5" t="s">
        <v>388</v>
      </c>
      <c r="AB50" s="5"/>
      <c r="AC50" s="8"/>
      <c r="AD50" s="8"/>
      <c r="AE50" s="124">
        <v>3</v>
      </c>
      <c r="AF50" s="5" t="s">
        <v>389</v>
      </c>
      <c r="AI50" s="1"/>
      <c r="AK50" s="2"/>
    </row>
    <row r="51" spans="1:37" ht="11.25" customHeight="1">
      <c r="A51" s="95" t="s">
        <v>41</v>
      </c>
      <c r="B51" s="1" t="s">
        <v>219</v>
      </c>
      <c r="C51" s="1" t="s">
        <v>220</v>
      </c>
      <c r="D51" s="4" t="s">
        <v>387</v>
      </c>
      <c r="E51" s="4"/>
      <c r="F51" s="4"/>
      <c r="G51" s="124">
        <v>1</v>
      </c>
      <c r="M51" s="5" t="s">
        <v>388</v>
      </c>
      <c r="T51" s="5" t="s">
        <v>388</v>
      </c>
      <c r="Y51" s="5" t="s">
        <v>388</v>
      </c>
      <c r="Z51" s="5" t="s">
        <v>388</v>
      </c>
      <c r="AB51" s="5" t="s">
        <v>388</v>
      </c>
      <c r="AC51" s="8"/>
      <c r="AD51" s="8"/>
      <c r="AE51" s="124">
        <v>3</v>
      </c>
      <c r="AF51" s="5" t="s">
        <v>389</v>
      </c>
      <c r="AI51" s="1"/>
      <c r="AK51" s="2"/>
    </row>
    <row r="52" spans="1:37" ht="11.25" customHeight="1">
      <c r="A52" s="95" t="s">
        <v>41</v>
      </c>
      <c r="B52" s="1" t="s">
        <v>221</v>
      </c>
      <c r="C52" s="1" t="s">
        <v>222</v>
      </c>
      <c r="D52" s="4" t="s">
        <v>387</v>
      </c>
      <c r="E52" s="4"/>
      <c r="F52" s="4"/>
      <c r="G52" s="124">
        <v>1</v>
      </c>
      <c r="T52" s="5" t="s">
        <v>388</v>
      </c>
      <c r="Y52" s="5" t="s">
        <v>388</v>
      </c>
      <c r="Z52" s="5" t="s">
        <v>388</v>
      </c>
      <c r="AA52" s="5" t="s">
        <v>388</v>
      </c>
      <c r="AB52" s="5" t="s">
        <v>388</v>
      </c>
      <c r="AC52" s="8"/>
      <c r="AD52" s="8" t="s">
        <v>388</v>
      </c>
      <c r="AE52" s="124">
        <v>3</v>
      </c>
      <c r="AF52" s="5" t="s">
        <v>389</v>
      </c>
      <c r="AI52" s="1"/>
      <c r="AK52" s="2"/>
    </row>
    <row r="53" spans="1:37" ht="11.25" customHeight="1">
      <c r="A53" s="95" t="s">
        <v>46</v>
      </c>
      <c r="B53" s="1" t="s">
        <v>49</v>
      </c>
      <c r="C53" s="1" t="s">
        <v>50</v>
      </c>
      <c r="D53" s="4" t="s">
        <v>387</v>
      </c>
      <c r="E53" s="4" t="s">
        <v>624</v>
      </c>
      <c r="F53" s="4" t="s">
        <v>625</v>
      </c>
      <c r="G53" s="124">
        <v>1</v>
      </c>
      <c r="K53" s="5" t="s">
        <v>388</v>
      </c>
      <c r="O53" s="5" t="s">
        <v>388</v>
      </c>
      <c r="T53" s="5" t="s">
        <v>388</v>
      </c>
      <c r="V53" s="5" t="s">
        <v>388</v>
      </c>
      <c r="W53" s="5" t="s">
        <v>388</v>
      </c>
      <c r="Z53" s="5" t="s">
        <v>388</v>
      </c>
      <c r="AB53" s="5"/>
      <c r="AC53" s="8"/>
      <c r="AD53" s="8"/>
      <c r="AE53" s="124">
        <v>4</v>
      </c>
      <c r="AF53" s="5" t="s">
        <v>394</v>
      </c>
      <c r="AI53" s="1" t="s">
        <v>51</v>
      </c>
      <c r="AK53" s="2"/>
    </row>
    <row r="54" spans="1:37" ht="11.25" customHeight="1">
      <c r="A54" s="95" t="s">
        <v>46</v>
      </c>
      <c r="B54" s="2" t="s">
        <v>47</v>
      </c>
      <c r="C54" s="2" t="s">
        <v>48</v>
      </c>
      <c r="D54" s="34" t="s">
        <v>387</v>
      </c>
      <c r="E54" s="34" t="s">
        <v>624</v>
      </c>
      <c r="F54" s="34" t="s">
        <v>625</v>
      </c>
      <c r="G54" s="85">
        <v>1</v>
      </c>
      <c r="H54" s="6"/>
      <c r="I54" s="6"/>
      <c r="J54" s="6"/>
      <c r="K54" s="6" t="s">
        <v>388</v>
      </c>
      <c r="L54" s="6"/>
      <c r="M54" s="6" t="s">
        <v>388</v>
      </c>
      <c r="N54" s="6"/>
      <c r="O54" s="6"/>
      <c r="P54" s="6"/>
      <c r="Q54" s="6"/>
      <c r="R54" s="6"/>
      <c r="S54" s="6"/>
      <c r="T54" s="6" t="s">
        <v>388</v>
      </c>
      <c r="U54" s="6"/>
      <c r="V54" s="6"/>
      <c r="W54" s="6"/>
      <c r="X54" s="6" t="s">
        <v>388</v>
      </c>
      <c r="Y54" s="6" t="s">
        <v>388</v>
      </c>
      <c r="Z54" s="6" t="s">
        <v>388</v>
      </c>
      <c r="AA54" s="6" t="s">
        <v>388</v>
      </c>
      <c r="AB54" s="6"/>
      <c r="AC54" s="12" t="s">
        <v>388</v>
      </c>
      <c r="AD54" s="12" t="s">
        <v>388</v>
      </c>
      <c r="AE54" s="85">
        <v>3</v>
      </c>
      <c r="AF54" s="6" t="s">
        <v>394</v>
      </c>
      <c r="AG54" s="2"/>
      <c r="AH54" s="2"/>
      <c r="AI54" s="2"/>
      <c r="AJ54" s="2"/>
      <c r="AK54" s="2"/>
    </row>
    <row r="55" spans="1:37" s="2" customFormat="1" ht="11.25" customHeight="1">
      <c r="A55" s="95" t="s">
        <v>229</v>
      </c>
      <c r="B55" s="1" t="s">
        <v>230</v>
      </c>
      <c r="C55" s="2" t="s">
        <v>231</v>
      </c>
      <c r="D55" s="34" t="s">
        <v>387</v>
      </c>
      <c r="E55" s="34"/>
      <c r="F55" s="34"/>
      <c r="G55" s="124">
        <v>1</v>
      </c>
      <c r="H55" s="5"/>
      <c r="I55" s="5"/>
      <c r="J55" s="5"/>
      <c r="K55" s="5"/>
      <c r="L55" s="5"/>
      <c r="M55" s="5" t="s">
        <v>388</v>
      </c>
      <c r="N55" s="5"/>
      <c r="O55" s="5" t="s">
        <v>388</v>
      </c>
      <c r="P55" s="5"/>
      <c r="Q55" s="5"/>
      <c r="R55" s="5"/>
      <c r="S55" s="5"/>
      <c r="T55" s="5" t="s">
        <v>388</v>
      </c>
      <c r="U55" s="5"/>
      <c r="V55" s="5" t="s">
        <v>388</v>
      </c>
      <c r="W55" s="5" t="s">
        <v>388</v>
      </c>
      <c r="X55" s="5"/>
      <c r="Y55" s="5"/>
      <c r="Z55" s="5" t="s">
        <v>388</v>
      </c>
      <c r="AA55" s="5"/>
      <c r="AB55" s="5"/>
      <c r="AC55" s="8"/>
      <c r="AD55" s="8"/>
      <c r="AE55" s="124">
        <v>1</v>
      </c>
      <c r="AF55" s="5" t="s">
        <v>389</v>
      </c>
      <c r="AG55" s="1"/>
      <c r="AH55" s="1"/>
      <c r="AI55" s="1"/>
      <c r="AJ55" s="1"/>
    </row>
    <row r="56" spans="1:37" ht="11.25" customHeight="1">
      <c r="A56" s="1" t="s">
        <v>1064</v>
      </c>
      <c r="B56" s="1" t="s">
        <v>1063</v>
      </c>
      <c r="C56" s="1" t="s">
        <v>1066</v>
      </c>
      <c r="D56" s="1" t="s">
        <v>739</v>
      </c>
      <c r="G56" s="124">
        <v>1</v>
      </c>
      <c r="K56" s="5" t="s">
        <v>388</v>
      </c>
      <c r="P56" s="5" t="s">
        <v>388</v>
      </c>
      <c r="T56" s="5" t="s">
        <v>388</v>
      </c>
      <c r="U56" s="5" t="s">
        <v>388</v>
      </c>
      <c r="W56" s="5" t="s">
        <v>388</v>
      </c>
      <c r="X56" s="5" t="s">
        <v>388</v>
      </c>
      <c r="Z56" s="5" t="s">
        <v>388</v>
      </c>
      <c r="AA56" s="5" t="s">
        <v>388</v>
      </c>
      <c r="AE56" s="85">
        <v>3</v>
      </c>
      <c r="AF56" s="1" t="s">
        <v>389</v>
      </c>
      <c r="AG56" s="1" t="s">
        <v>1065</v>
      </c>
      <c r="AI56" s="142"/>
    </row>
    <row r="57" spans="1:37" ht="11.25" customHeight="1">
      <c r="A57" s="95" t="s">
        <v>52</v>
      </c>
      <c r="B57" s="2" t="s">
        <v>53</v>
      </c>
      <c r="C57" s="2" t="s">
        <v>54</v>
      </c>
      <c r="D57" s="34" t="s">
        <v>387</v>
      </c>
      <c r="E57" s="34" t="s">
        <v>624</v>
      </c>
      <c r="F57" s="34" t="s">
        <v>625</v>
      </c>
      <c r="G57" s="124">
        <v>1</v>
      </c>
      <c r="T57" s="5" t="s">
        <v>388</v>
      </c>
      <c r="Y57" s="5" t="s">
        <v>388</v>
      </c>
      <c r="AA57" s="5" t="s">
        <v>388</v>
      </c>
      <c r="AB57" s="5" t="s">
        <v>388</v>
      </c>
      <c r="AC57" s="8"/>
      <c r="AD57" s="8" t="s">
        <v>388</v>
      </c>
      <c r="AE57" s="124">
        <v>4</v>
      </c>
      <c r="AF57" s="5" t="s">
        <v>394</v>
      </c>
      <c r="AI57" s="1"/>
      <c r="AK57" s="2"/>
    </row>
    <row r="58" spans="1:37" ht="11.25" customHeight="1">
      <c r="A58" s="95" t="s">
        <v>52</v>
      </c>
      <c r="B58" s="1" t="s">
        <v>55</v>
      </c>
      <c r="C58" s="2" t="s">
        <v>56</v>
      </c>
      <c r="D58" s="34" t="s">
        <v>387</v>
      </c>
      <c r="E58" s="34" t="s">
        <v>624</v>
      </c>
      <c r="F58" s="34" t="s">
        <v>625</v>
      </c>
      <c r="G58" s="124">
        <v>1</v>
      </c>
      <c r="T58" s="5" t="s">
        <v>388</v>
      </c>
      <c r="Y58" s="5" t="s">
        <v>388</v>
      </c>
      <c r="AA58" s="5" t="s">
        <v>388</v>
      </c>
      <c r="AB58" s="5" t="s">
        <v>388</v>
      </c>
      <c r="AC58" s="8" t="s">
        <v>388</v>
      </c>
      <c r="AD58" s="8" t="s">
        <v>388</v>
      </c>
      <c r="AE58" s="124">
        <v>4</v>
      </c>
      <c r="AF58" s="5" t="s">
        <v>394</v>
      </c>
      <c r="AI58" s="1"/>
      <c r="AK58" s="2"/>
    </row>
    <row r="59" spans="1:37" ht="11.25" customHeight="1">
      <c r="A59" s="95" t="s">
        <v>52</v>
      </c>
      <c r="B59" s="1" t="s">
        <v>232</v>
      </c>
      <c r="C59" s="1" t="s">
        <v>233</v>
      </c>
      <c r="D59" s="4" t="s">
        <v>1150</v>
      </c>
      <c r="E59" s="4"/>
      <c r="F59" s="4"/>
      <c r="G59" s="124">
        <v>1</v>
      </c>
      <c r="T59" s="5" t="s">
        <v>388</v>
      </c>
      <c r="AA59" s="5" t="s">
        <v>388</v>
      </c>
      <c r="AB59" s="5" t="s">
        <v>388</v>
      </c>
      <c r="AC59" s="8" t="s">
        <v>388</v>
      </c>
      <c r="AD59" s="8"/>
      <c r="AE59" s="124">
        <v>3</v>
      </c>
      <c r="AF59" s="5" t="s">
        <v>389</v>
      </c>
      <c r="AI59" s="1" t="s">
        <v>1149</v>
      </c>
      <c r="AK59" s="2"/>
    </row>
    <row r="60" spans="1:37" ht="11.25" customHeight="1">
      <c r="A60" s="95" t="s">
        <v>753</v>
      </c>
      <c r="B60" s="2" t="s">
        <v>1660</v>
      </c>
      <c r="C60" s="2" t="s">
        <v>751</v>
      </c>
      <c r="D60" s="2" t="s">
        <v>739</v>
      </c>
      <c r="E60" s="34"/>
      <c r="F60" s="34"/>
      <c r="G60" s="85">
        <v>1</v>
      </c>
      <c r="H60" s="6"/>
      <c r="I60" s="6"/>
      <c r="J60" s="6"/>
      <c r="K60" s="6"/>
      <c r="L60" s="6"/>
      <c r="M60" s="6" t="s">
        <v>388</v>
      </c>
      <c r="N60" s="6" t="s">
        <v>388</v>
      </c>
      <c r="O60" s="6"/>
      <c r="P60" s="6"/>
      <c r="Q60" s="6"/>
      <c r="R60" s="6"/>
      <c r="S60" s="6"/>
      <c r="T60" s="6"/>
      <c r="U60" s="6"/>
      <c r="V60" s="6"/>
      <c r="W60" s="6"/>
      <c r="X60" s="6"/>
      <c r="Y60" s="6"/>
      <c r="Z60" s="6"/>
      <c r="AA60" s="6"/>
      <c r="AB60" s="6"/>
      <c r="AC60" s="12" t="s">
        <v>388</v>
      </c>
      <c r="AD60" s="12"/>
      <c r="AE60" s="85">
        <v>3</v>
      </c>
      <c r="AF60" s="6" t="s">
        <v>641</v>
      </c>
      <c r="AG60" s="2" t="s">
        <v>754</v>
      </c>
      <c r="AH60" s="2"/>
      <c r="AI60" s="2"/>
      <c r="AJ60" s="2"/>
      <c r="AK60" s="2"/>
    </row>
    <row r="61" spans="1:37" ht="11.25" customHeight="1">
      <c r="A61" s="1" t="s">
        <v>1401</v>
      </c>
      <c r="B61" s="2" t="s">
        <v>1402</v>
      </c>
      <c r="C61" s="1" t="s">
        <v>1400</v>
      </c>
      <c r="D61" s="4" t="s">
        <v>739</v>
      </c>
      <c r="E61" s="4"/>
      <c r="F61" s="4"/>
      <c r="G61" s="124">
        <v>1</v>
      </c>
      <c r="T61" s="5" t="s">
        <v>388</v>
      </c>
      <c r="AA61" s="5" t="s">
        <v>388</v>
      </c>
      <c r="AB61" s="5"/>
      <c r="AC61" s="8"/>
      <c r="AD61" s="8"/>
      <c r="AE61" s="124" t="s">
        <v>648</v>
      </c>
      <c r="AF61" s="1" t="s">
        <v>394</v>
      </c>
      <c r="AG61" s="1" t="s">
        <v>1403</v>
      </c>
      <c r="AI61" s="1"/>
      <c r="AJ61" s="1" t="s">
        <v>1404</v>
      </c>
      <c r="AK61" s="2"/>
    </row>
    <row r="62" spans="1:37" ht="11.25" customHeight="1">
      <c r="A62" s="95" t="s">
        <v>818</v>
      </c>
      <c r="B62" s="2" t="s">
        <v>817</v>
      </c>
      <c r="C62" s="2" t="s">
        <v>816</v>
      </c>
      <c r="D62" s="34" t="s">
        <v>739</v>
      </c>
      <c r="E62" s="34"/>
      <c r="F62" s="34"/>
      <c r="G62" s="85">
        <v>1</v>
      </c>
      <c r="H62" s="6"/>
      <c r="I62" s="6"/>
      <c r="J62" s="6" t="s">
        <v>388</v>
      </c>
      <c r="K62" s="6"/>
      <c r="L62" s="6"/>
      <c r="M62" s="6" t="s">
        <v>388</v>
      </c>
      <c r="N62" s="6" t="s">
        <v>388</v>
      </c>
      <c r="O62" s="6"/>
      <c r="P62" s="6"/>
      <c r="Q62" s="6"/>
      <c r="R62" s="6"/>
      <c r="S62" s="6"/>
      <c r="T62" s="6"/>
      <c r="U62" s="6" t="s">
        <v>388</v>
      </c>
      <c r="V62" s="6"/>
      <c r="W62" s="6"/>
      <c r="X62" s="6"/>
      <c r="Y62" s="6"/>
      <c r="Z62" s="6"/>
      <c r="AA62" s="6"/>
      <c r="AB62" s="6"/>
      <c r="AC62" s="12"/>
      <c r="AD62" s="12"/>
      <c r="AE62" s="85" t="s">
        <v>648</v>
      </c>
      <c r="AF62" s="6" t="s">
        <v>394</v>
      </c>
      <c r="AG62" s="2" t="s">
        <v>819</v>
      </c>
      <c r="AH62" s="2"/>
      <c r="AI62" s="2"/>
      <c r="AJ62" s="2" t="s">
        <v>763</v>
      </c>
      <c r="AK62" s="2"/>
    </row>
    <row r="63" spans="1:37" ht="11.25" customHeight="1">
      <c r="A63" s="95" t="s">
        <v>234</v>
      </c>
      <c r="B63" s="1" t="s">
        <v>235</v>
      </c>
      <c r="C63" s="1" t="s">
        <v>236</v>
      </c>
      <c r="D63" s="4" t="s">
        <v>387</v>
      </c>
      <c r="E63" s="4"/>
      <c r="F63" s="4"/>
      <c r="G63" s="124">
        <v>1</v>
      </c>
      <c r="O63" s="5" t="s">
        <v>388</v>
      </c>
      <c r="V63" s="5" t="s">
        <v>388</v>
      </c>
      <c r="W63" s="5" t="s">
        <v>388</v>
      </c>
      <c r="AB63" s="5"/>
      <c r="AC63" s="8" t="s">
        <v>388</v>
      </c>
      <c r="AD63" s="8"/>
      <c r="AE63" s="124">
        <v>3</v>
      </c>
      <c r="AF63" s="5" t="s">
        <v>389</v>
      </c>
      <c r="AI63" s="1" t="s">
        <v>237</v>
      </c>
      <c r="AK63" s="2"/>
    </row>
    <row r="64" spans="1:37" ht="11.25" customHeight="1">
      <c r="A64" s="95" t="s">
        <v>60</v>
      </c>
      <c r="B64" s="2" t="s">
        <v>61</v>
      </c>
      <c r="C64" s="2" t="s">
        <v>62</v>
      </c>
      <c r="D64" s="34" t="s">
        <v>387</v>
      </c>
      <c r="E64" s="34" t="s">
        <v>624</v>
      </c>
      <c r="F64" s="34" t="s">
        <v>625</v>
      </c>
      <c r="G64" s="85">
        <v>1</v>
      </c>
      <c r="H64" s="6"/>
      <c r="I64" s="6"/>
      <c r="J64" s="6"/>
      <c r="K64" s="6" t="s">
        <v>388</v>
      </c>
      <c r="L64" s="6"/>
      <c r="M64" s="6"/>
      <c r="N64" s="6"/>
      <c r="O64" s="6"/>
      <c r="P64" s="6"/>
      <c r="Q64" s="6"/>
      <c r="R64" s="6"/>
      <c r="S64" s="6"/>
      <c r="T64" s="6" t="s">
        <v>388</v>
      </c>
      <c r="U64" s="6"/>
      <c r="V64" s="6" t="s">
        <v>388</v>
      </c>
      <c r="W64" s="6" t="s">
        <v>388</v>
      </c>
      <c r="X64" s="6" t="s">
        <v>388</v>
      </c>
      <c r="Y64" s="6" t="s">
        <v>388</v>
      </c>
      <c r="Z64" s="6" t="s">
        <v>388</v>
      </c>
      <c r="AA64" s="6" t="s">
        <v>388</v>
      </c>
      <c r="AB64" s="6" t="s">
        <v>388</v>
      </c>
      <c r="AC64" s="12"/>
      <c r="AD64" s="12"/>
      <c r="AE64" s="85">
        <v>3</v>
      </c>
      <c r="AF64" s="6" t="s">
        <v>394</v>
      </c>
      <c r="AG64" s="2"/>
      <c r="AH64" s="2"/>
      <c r="AI64" s="2" t="s">
        <v>1105</v>
      </c>
      <c r="AJ64" s="2"/>
      <c r="AK64" s="2"/>
    </row>
    <row r="65" spans="1:37" ht="11.25" customHeight="1">
      <c r="A65" s="95" t="s">
        <v>498</v>
      </c>
      <c r="B65" s="2" t="s">
        <v>499</v>
      </c>
      <c r="C65" s="2" t="s">
        <v>500</v>
      </c>
      <c r="D65" s="34" t="s">
        <v>387</v>
      </c>
      <c r="E65" s="34" t="s">
        <v>626</v>
      </c>
      <c r="F65" s="34"/>
      <c r="G65" s="85">
        <v>1</v>
      </c>
      <c r="H65" s="6"/>
      <c r="I65" s="6"/>
      <c r="J65" s="6"/>
      <c r="K65" s="6" t="s">
        <v>623</v>
      </c>
      <c r="L65" s="6"/>
      <c r="M65" s="6"/>
      <c r="N65" s="6"/>
      <c r="O65" s="6"/>
      <c r="P65" s="6"/>
      <c r="Q65" s="6"/>
      <c r="R65" s="6" t="s">
        <v>623</v>
      </c>
      <c r="S65" s="6"/>
      <c r="T65" s="6"/>
      <c r="U65" s="6"/>
      <c r="V65" s="6"/>
      <c r="W65" s="48" t="s">
        <v>623</v>
      </c>
      <c r="X65" s="6"/>
      <c r="Y65" s="6"/>
      <c r="Z65" s="6"/>
      <c r="AA65" s="6"/>
      <c r="AB65" s="6"/>
      <c r="AC65" s="6"/>
      <c r="AD65" s="6"/>
      <c r="AE65" s="124">
        <v>4</v>
      </c>
      <c r="AF65" s="5" t="s">
        <v>394</v>
      </c>
      <c r="AG65" s="1" t="s">
        <v>497</v>
      </c>
      <c r="AH65" s="2"/>
      <c r="AI65" s="2"/>
      <c r="AJ65" s="2"/>
      <c r="AK65" s="2"/>
    </row>
    <row r="66" spans="1:37" ht="11.25" customHeight="1">
      <c r="A66" s="95" t="s">
        <v>428</v>
      </c>
      <c r="B66" s="1" t="s">
        <v>551</v>
      </c>
      <c r="C66" s="1" t="s">
        <v>552</v>
      </c>
      <c r="D66" s="4" t="s">
        <v>387</v>
      </c>
      <c r="E66" s="4" t="s">
        <v>626</v>
      </c>
      <c r="F66" s="4"/>
      <c r="G66" s="85">
        <v>1</v>
      </c>
      <c r="AB66" s="5"/>
      <c r="AC66" s="8"/>
      <c r="AD66" s="8"/>
      <c r="AE66" s="124">
        <v>2</v>
      </c>
      <c r="AF66" s="5" t="s">
        <v>394</v>
      </c>
      <c r="AG66" s="1" t="s">
        <v>431</v>
      </c>
      <c r="AH66" s="2"/>
      <c r="AI66" s="2"/>
      <c r="AK66" s="2"/>
    </row>
    <row r="67" spans="1:37" ht="11.25" customHeight="1">
      <c r="A67" s="1" t="s">
        <v>1036</v>
      </c>
      <c r="B67" s="9" t="s">
        <v>1038</v>
      </c>
      <c r="C67" s="35" t="s">
        <v>1037</v>
      </c>
      <c r="D67" s="4" t="s">
        <v>739</v>
      </c>
      <c r="E67" s="35"/>
      <c r="F67" s="35"/>
      <c r="G67" s="124">
        <v>1</v>
      </c>
      <c r="M67" s="5" t="s">
        <v>388</v>
      </c>
      <c r="O67" s="6"/>
      <c r="Q67" s="6"/>
      <c r="T67" s="5" t="s">
        <v>388</v>
      </c>
      <c r="Y67" s="5" t="s">
        <v>388</v>
      </c>
      <c r="AA67" s="5" t="s">
        <v>388</v>
      </c>
      <c r="AB67" s="5"/>
      <c r="AC67" s="8"/>
      <c r="AD67" s="8"/>
      <c r="AE67" s="85" t="s">
        <v>648</v>
      </c>
      <c r="AF67" s="8" t="s">
        <v>641</v>
      </c>
      <c r="AG67" s="2" t="s">
        <v>1039</v>
      </c>
      <c r="AH67" s="2"/>
      <c r="AI67" s="1"/>
      <c r="AK67" s="2"/>
    </row>
    <row r="68" spans="1:37" ht="11.25" customHeight="1">
      <c r="A68" s="1" t="s">
        <v>1036</v>
      </c>
      <c r="B68" s="1" t="s">
        <v>1053</v>
      </c>
      <c r="C68" s="1" t="s">
        <v>1052</v>
      </c>
      <c r="D68" s="1" t="s">
        <v>739</v>
      </c>
      <c r="G68" s="124">
        <v>1</v>
      </c>
      <c r="M68" s="5" t="s">
        <v>388</v>
      </c>
      <c r="T68" s="5" t="s">
        <v>388</v>
      </c>
      <c r="Y68" s="5" t="s">
        <v>388</v>
      </c>
      <c r="AA68" s="5" t="s">
        <v>388</v>
      </c>
      <c r="AE68" s="141">
        <v>3</v>
      </c>
      <c r="AF68" s="1" t="s">
        <v>389</v>
      </c>
      <c r="AG68" s="1" t="s">
        <v>1054</v>
      </c>
      <c r="AI68" s="142"/>
    </row>
    <row r="69" spans="1:37" ht="11.25" customHeight="1">
      <c r="A69" s="1" t="s">
        <v>1061</v>
      </c>
      <c r="B69" s="1" t="s">
        <v>1060</v>
      </c>
      <c r="C69" s="1" t="s">
        <v>1059</v>
      </c>
      <c r="D69" s="4" t="s">
        <v>387</v>
      </c>
      <c r="E69" s="4"/>
      <c r="F69" s="4"/>
      <c r="G69" s="124">
        <v>1</v>
      </c>
      <c r="M69" s="5" t="s">
        <v>388</v>
      </c>
      <c r="T69" s="5" t="s">
        <v>388</v>
      </c>
      <c r="Y69" s="5" t="s">
        <v>388</v>
      </c>
      <c r="AA69" s="5" t="s">
        <v>388</v>
      </c>
      <c r="AB69" s="5"/>
      <c r="AC69" s="8"/>
      <c r="AD69" s="8"/>
      <c r="AE69" s="124" t="s">
        <v>648</v>
      </c>
      <c r="AF69" s="1" t="s">
        <v>394</v>
      </c>
      <c r="AG69" s="1" t="s">
        <v>1062</v>
      </c>
      <c r="AI69" s="1"/>
      <c r="AK69" s="2"/>
    </row>
    <row r="70" spans="1:37" ht="11.25" customHeight="1">
      <c r="A70" s="95" t="s">
        <v>71</v>
      </c>
      <c r="B70" s="2" t="s">
        <v>72</v>
      </c>
      <c r="C70" s="1" t="s">
        <v>73</v>
      </c>
      <c r="D70" s="4" t="s">
        <v>387</v>
      </c>
      <c r="E70" s="4" t="s">
        <v>624</v>
      </c>
      <c r="F70" s="4" t="s">
        <v>625</v>
      </c>
      <c r="G70" s="124">
        <v>1</v>
      </c>
      <c r="M70" s="5" t="s">
        <v>388</v>
      </c>
      <c r="N70" s="5" t="s">
        <v>388</v>
      </c>
      <c r="T70" s="5" t="s">
        <v>388</v>
      </c>
      <c r="W70" s="5" t="s">
        <v>388</v>
      </c>
      <c r="Z70" s="5" t="s">
        <v>388</v>
      </c>
      <c r="AA70" s="5" t="s">
        <v>388</v>
      </c>
      <c r="AB70" s="5"/>
      <c r="AC70" s="8"/>
      <c r="AD70" s="8"/>
      <c r="AE70" s="124">
        <v>3</v>
      </c>
      <c r="AF70" s="5" t="s">
        <v>394</v>
      </c>
      <c r="AI70" s="1"/>
      <c r="AK70" s="2"/>
    </row>
    <row r="71" spans="1:37" ht="11.25" customHeight="1">
      <c r="A71" s="95" t="s">
        <v>432</v>
      </c>
      <c r="B71" s="2" t="s">
        <v>433</v>
      </c>
      <c r="C71" s="2" t="s">
        <v>434</v>
      </c>
      <c r="D71" s="34" t="s">
        <v>387</v>
      </c>
      <c r="E71" s="34" t="s">
        <v>626</v>
      </c>
      <c r="F71" s="34"/>
      <c r="G71" s="85">
        <v>1</v>
      </c>
      <c r="H71" s="6"/>
      <c r="I71" s="6"/>
      <c r="J71" s="6"/>
      <c r="K71" s="6"/>
      <c r="L71" s="6" t="s">
        <v>623</v>
      </c>
      <c r="M71" s="6"/>
      <c r="N71" s="6"/>
      <c r="O71" s="6"/>
      <c r="P71" s="6"/>
      <c r="Q71" s="6" t="s">
        <v>388</v>
      </c>
      <c r="R71" s="6"/>
      <c r="S71" s="6"/>
      <c r="T71" s="6"/>
      <c r="U71" s="6"/>
      <c r="V71" s="6"/>
      <c r="W71" s="6"/>
      <c r="X71" s="6"/>
      <c r="Y71" s="6"/>
      <c r="Z71" s="6"/>
      <c r="AA71" s="6"/>
      <c r="AB71" s="6"/>
      <c r="AC71" s="6"/>
      <c r="AD71" s="6"/>
      <c r="AE71" s="124">
        <v>2</v>
      </c>
      <c r="AF71" s="5" t="s">
        <v>394</v>
      </c>
      <c r="AG71" s="1" t="s">
        <v>614</v>
      </c>
      <c r="AH71" s="2"/>
      <c r="AI71" s="2"/>
      <c r="AJ71" s="2"/>
      <c r="AK71" s="2"/>
    </row>
    <row r="72" spans="1:37" ht="11.25" customHeight="1">
      <c r="A72" s="95" t="s">
        <v>74</v>
      </c>
      <c r="B72" s="1" t="s">
        <v>75</v>
      </c>
      <c r="C72" s="1" t="s">
        <v>76</v>
      </c>
      <c r="D72" s="4" t="s">
        <v>387</v>
      </c>
      <c r="E72" s="4" t="s">
        <v>624</v>
      </c>
      <c r="F72" s="4" t="s">
        <v>625</v>
      </c>
      <c r="G72" s="124">
        <v>1</v>
      </c>
      <c r="K72" s="5" t="s">
        <v>388</v>
      </c>
      <c r="M72" s="5" t="s">
        <v>388</v>
      </c>
      <c r="T72" s="5" t="s">
        <v>388</v>
      </c>
      <c r="Y72" s="5" t="s">
        <v>388</v>
      </c>
      <c r="Z72" s="5" t="s">
        <v>388</v>
      </c>
      <c r="AA72" s="5" t="s">
        <v>388</v>
      </c>
      <c r="AB72" s="5" t="s">
        <v>388</v>
      </c>
      <c r="AC72" s="8"/>
      <c r="AD72" s="8"/>
      <c r="AE72" s="124">
        <v>3</v>
      </c>
      <c r="AF72" s="5" t="s">
        <v>394</v>
      </c>
      <c r="AI72" s="1"/>
      <c r="AK72" s="2"/>
    </row>
    <row r="73" spans="1:37" ht="11.25" customHeight="1">
      <c r="A73" s="95" t="s">
        <v>74</v>
      </c>
      <c r="B73" s="1" t="s">
        <v>244</v>
      </c>
      <c r="C73" s="1" t="s">
        <v>245</v>
      </c>
      <c r="D73" s="4" t="s">
        <v>387</v>
      </c>
      <c r="E73" s="4"/>
      <c r="F73" s="4"/>
      <c r="G73" s="124">
        <v>1</v>
      </c>
      <c r="T73" s="5" t="s">
        <v>388</v>
      </c>
      <c r="Y73" s="5" t="s">
        <v>388</v>
      </c>
      <c r="AA73" s="5" t="s">
        <v>388</v>
      </c>
      <c r="AB73" s="5" t="s">
        <v>388</v>
      </c>
      <c r="AC73" s="8"/>
      <c r="AD73" s="8"/>
      <c r="AE73" s="124">
        <v>3</v>
      </c>
      <c r="AF73" s="5" t="s">
        <v>389</v>
      </c>
      <c r="AI73" s="1"/>
      <c r="AK73" s="2"/>
    </row>
    <row r="74" spans="1:37" ht="11.25" customHeight="1">
      <c r="A74" s="95" t="s">
        <v>99</v>
      </c>
      <c r="B74" s="1" t="s">
        <v>261</v>
      </c>
      <c r="C74" s="1" t="s">
        <v>395</v>
      </c>
      <c r="D74" s="4" t="s">
        <v>387</v>
      </c>
      <c r="E74" s="4"/>
      <c r="F74" s="4"/>
      <c r="G74" s="124">
        <v>1</v>
      </c>
      <c r="H74" s="5" t="s">
        <v>388</v>
      </c>
      <c r="I74" s="5" t="s">
        <v>388</v>
      </c>
      <c r="N74" s="5" t="s">
        <v>388</v>
      </c>
      <c r="T74" s="5" t="s">
        <v>388</v>
      </c>
      <c r="AB74" s="5"/>
      <c r="AC74" s="8"/>
      <c r="AD74" s="8"/>
      <c r="AE74" s="124">
        <v>3</v>
      </c>
      <c r="AF74" s="5" t="s">
        <v>389</v>
      </c>
      <c r="AI74" s="1"/>
      <c r="AK74" s="2"/>
    </row>
    <row r="75" spans="1:37" ht="11.25" customHeight="1">
      <c r="A75" s="95" t="s">
        <v>99</v>
      </c>
      <c r="B75" s="2" t="s">
        <v>100</v>
      </c>
      <c r="C75" s="1" t="s">
        <v>101</v>
      </c>
      <c r="D75" s="4" t="s">
        <v>387</v>
      </c>
      <c r="E75" s="4" t="s">
        <v>624</v>
      </c>
      <c r="F75" s="4" t="s">
        <v>625</v>
      </c>
      <c r="G75" s="124">
        <v>1</v>
      </c>
      <c r="M75" s="5" t="s">
        <v>388</v>
      </c>
      <c r="R75" s="6"/>
      <c r="S75" s="6"/>
      <c r="T75" s="5" t="s">
        <v>388</v>
      </c>
      <c r="U75" s="5" t="s">
        <v>388</v>
      </c>
      <c r="Z75" s="6"/>
      <c r="AA75" s="6" t="s">
        <v>388</v>
      </c>
      <c r="AB75" s="5"/>
      <c r="AC75" s="8"/>
      <c r="AD75" s="8"/>
      <c r="AE75" s="124" t="s">
        <v>102</v>
      </c>
      <c r="AF75" s="5" t="s">
        <v>394</v>
      </c>
      <c r="AH75" s="2"/>
      <c r="AI75" s="2"/>
      <c r="AK75" s="2"/>
    </row>
    <row r="76" spans="1:37" ht="11.25" customHeight="1">
      <c r="A76" s="95" t="s">
        <v>447</v>
      </c>
      <c r="B76" s="1" t="s">
        <v>553</v>
      </c>
      <c r="C76" s="1" t="s">
        <v>554</v>
      </c>
      <c r="D76" s="4" t="s">
        <v>387</v>
      </c>
      <c r="E76" s="4" t="s">
        <v>626</v>
      </c>
      <c r="F76" s="4"/>
      <c r="G76" s="85">
        <v>1</v>
      </c>
      <c r="O76" s="5" t="s">
        <v>623</v>
      </c>
      <c r="AB76" s="5"/>
      <c r="AC76" s="8"/>
      <c r="AD76" s="8"/>
      <c r="AE76" s="124">
        <v>2</v>
      </c>
      <c r="AF76" s="5" t="s">
        <v>394</v>
      </c>
      <c r="AG76" s="1" t="s">
        <v>555</v>
      </c>
      <c r="AH76" s="2"/>
      <c r="AI76" s="2"/>
      <c r="AK76" s="2"/>
    </row>
    <row r="77" spans="1:37" ht="11.25" customHeight="1">
      <c r="A77" s="95" t="s">
        <v>847</v>
      </c>
      <c r="B77" s="2" t="s">
        <v>846</v>
      </c>
      <c r="C77" s="2" t="s">
        <v>442</v>
      </c>
      <c r="D77" s="34" t="s">
        <v>739</v>
      </c>
      <c r="E77" s="34"/>
      <c r="F77" s="34"/>
      <c r="G77" s="85">
        <v>1</v>
      </c>
      <c r="H77" s="6" t="s">
        <v>388</v>
      </c>
      <c r="I77" s="6"/>
      <c r="J77" s="6" t="s">
        <v>388</v>
      </c>
      <c r="K77" s="6"/>
      <c r="L77" s="6"/>
      <c r="M77" s="6"/>
      <c r="N77" s="6" t="s">
        <v>388</v>
      </c>
      <c r="O77" s="6"/>
      <c r="P77" s="6"/>
      <c r="Q77" s="6"/>
      <c r="R77" s="6"/>
      <c r="S77" s="6"/>
      <c r="T77" s="6"/>
      <c r="U77" s="6"/>
      <c r="V77" s="6"/>
      <c r="W77" s="6"/>
      <c r="X77" s="6"/>
      <c r="Y77" s="6"/>
      <c r="Z77" s="6"/>
      <c r="AA77" s="6"/>
      <c r="AB77" s="6"/>
      <c r="AC77" s="12"/>
      <c r="AD77" s="12"/>
      <c r="AE77" s="85" t="s">
        <v>648</v>
      </c>
      <c r="AF77" s="6" t="s">
        <v>394</v>
      </c>
      <c r="AG77" s="2" t="s">
        <v>848</v>
      </c>
      <c r="AH77" s="2"/>
      <c r="AI77" s="2"/>
      <c r="AJ77" s="2" t="s">
        <v>763</v>
      </c>
      <c r="AK77" s="2"/>
    </row>
    <row r="78" spans="1:37" ht="11.25" customHeight="1">
      <c r="A78" s="95" t="s">
        <v>438</v>
      </c>
      <c r="B78" s="2" t="s">
        <v>439</v>
      </c>
      <c r="C78" s="2" t="s">
        <v>440</v>
      </c>
      <c r="D78" s="34" t="s">
        <v>387</v>
      </c>
      <c r="E78" s="34" t="s">
        <v>626</v>
      </c>
      <c r="F78" s="34"/>
      <c r="G78" s="85">
        <v>1</v>
      </c>
      <c r="H78" s="6"/>
      <c r="I78" s="6"/>
      <c r="J78" s="6"/>
      <c r="K78" s="6"/>
      <c r="L78" s="6" t="s">
        <v>623</v>
      </c>
      <c r="M78" s="6"/>
      <c r="N78" s="6"/>
      <c r="O78" s="6"/>
      <c r="P78" s="6"/>
      <c r="Q78" s="6"/>
      <c r="R78" s="6"/>
      <c r="S78" s="6"/>
      <c r="T78" s="6"/>
      <c r="U78" s="6"/>
      <c r="V78" s="6"/>
      <c r="W78" s="6"/>
      <c r="X78" s="6"/>
      <c r="Y78" s="6"/>
      <c r="Z78" s="6"/>
      <c r="AA78" s="6"/>
      <c r="AB78" s="6"/>
      <c r="AC78" s="11"/>
      <c r="AD78" s="11"/>
      <c r="AE78" s="124">
        <v>4</v>
      </c>
      <c r="AF78" s="5" t="s">
        <v>394</v>
      </c>
      <c r="AG78" s="1" t="s">
        <v>431</v>
      </c>
      <c r="AH78" s="2"/>
      <c r="AI78" s="2"/>
      <c r="AJ78" s="2"/>
      <c r="AK78" s="2"/>
    </row>
    <row r="79" spans="1:37" ht="11.25" customHeight="1">
      <c r="A79" s="95" t="s">
        <v>265</v>
      </c>
      <c r="B79" s="1" t="s">
        <v>266</v>
      </c>
      <c r="C79" s="1" t="s">
        <v>267</v>
      </c>
      <c r="D79" s="4" t="s">
        <v>1150</v>
      </c>
      <c r="E79" s="4"/>
      <c r="F79" s="4"/>
      <c r="G79" s="124">
        <v>1</v>
      </c>
      <c r="K79" s="5" t="s">
        <v>388</v>
      </c>
      <c r="V79" s="5" t="s">
        <v>388</v>
      </c>
      <c r="Z79" s="5" t="s">
        <v>388</v>
      </c>
      <c r="AA79" s="5" t="s">
        <v>388</v>
      </c>
      <c r="AB79" s="5"/>
      <c r="AC79" s="8" t="s">
        <v>388</v>
      </c>
      <c r="AD79" s="8"/>
      <c r="AE79" s="124">
        <v>3</v>
      </c>
      <c r="AF79" s="5" t="s">
        <v>389</v>
      </c>
      <c r="AG79" s="1" t="s">
        <v>1186</v>
      </c>
      <c r="AI79" s="1" t="s">
        <v>268</v>
      </c>
      <c r="AK79" s="2"/>
    </row>
    <row r="80" spans="1:37" ht="11.25" customHeight="1">
      <c r="A80" s="95" t="s">
        <v>269</v>
      </c>
      <c r="B80" s="1" t="s">
        <v>270</v>
      </c>
      <c r="C80" s="1" t="s">
        <v>271</v>
      </c>
      <c r="D80" s="4" t="s">
        <v>387</v>
      </c>
      <c r="E80" s="4"/>
      <c r="F80" s="4"/>
      <c r="G80" s="124">
        <v>1</v>
      </c>
      <c r="O80" s="5" t="s">
        <v>388</v>
      </c>
      <c r="T80" s="5" t="s">
        <v>388</v>
      </c>
      <c r="U80" s="5" t="s">
        <v>388</v>
      </c>
      <c r="V80" s="5" t="s">
        <v>388</v>
      </c>
      <c r="AA80" s="5" t="s">
        <v>388</v>
      </c>
      <c r="AB80" s="5"/>
      <c r="AC80" s="8" t="s">
        <v>388</v>
      </c>
      <c r="AD80" s="8"/>
      <c r="AE80" s="124">
        <v>3</v>
      </c>
      <c r="AF80" s="5" t="s">
        <v>389</v>
      </c>
      <c r="AG80" s="2" t="s">
        <v>725</v>
      </c>
      <c r="AI80" s="1" t="s">
        <v>724</v>
      </c>
      <c r="AK80" s="2"/>
    </row>
    <row r="81" spans="1:37" ht="11.25" customHeight="1">
      <c r="A81" s="95" t="s">
        <v>105</v>
      </c>
      <c r="B81" s="1" t="s">
        <v>108</v>
      </c>
      <c r="C81" s="1" t="s">
        <v>109</v>
      </c>
      <c r="D81" s="4" t="s">
        <v>387</v>
      </c>
      <c r="E81" s="4" t="s">
        <v>624</v>
      </c>
      <c r="F81" s="4" t="s">
        <v>625</v>
      </c>
      <c r="G81" s="124">
        <v>1</v>
      </c>
      <c r="L81" s="5" t="s">
        <v>388</v>
      </c>
      <c r="M81" s="5" t="s">
        <v>388</v>
      </c>
      <c r="T81" s="5" t="s">
        <v>388</v>
      </c>
      <c r="AB81" s="5"/>
      <c r="AC81" s="8" t="s">
        <v>388</v>
      </c>
      <c r="AD81" s="8" t="s">
        <v>388</v>
      </c>
      <c r="AE81" s="124">
        <v>3</v>
      </c>
      <c r="AF81" s="5" t="s">
        <v>394</v>
      </c>
      <c r="AI81" s="1" t="s">
        <v>110</v>
      </c>
      <c r="AK81" s="2"/>
    </row>
    <row r="82" spans="1:37" ht="11.25" customHeight="1">
      <c r="A82" s="95" t="s">
        <v>105</v>
      </c>
      <c r="B82" s="1" t="s">
        <v>272</v>
      </c>
      <c r="C82" s="1" t="s">
        <v>273</v>
      </c>
      <c r="D82" s="4" t="s">
        <v>387</v>
      </c>
      <c r="E82" s="4"/>
      <c r="F82" s="4"/>
      <c r="G82" s="124">
        <v>1</v>
      </c>
      <c r="I82" s="5" t="s">
        <v>388</v>
      </c>
      <c r="AB82" s="5"/>
      <c r="AC82" s="5" t="s">
        <v>388</v>
      </c>
      <c r="AD82" s="5"/>
      <c r="AE82" s="124">
        <v>3</v>
      </c>
      <c r="AF82" s="5" t="s">
        <v>389</v>
      </c>
      <c r="AI82" s="1"/>
      <c r="AK82" s="2"/>
    </row>
    <row r="83" spans="1:37" ht="11.25" customHeight="1">
      <c r="A83" s="95" t="s">
        <v>105</v>
      </c>
      <c r="B83" s="1" t="s">
        <v>106</v>
      </c>
      <c r="C83" s="1" t="s">
        <v>107</v>
      </c>
      <c r="D83" s="4" t="s">
        <v>387</v>
      </c>
      <c r="E83" s="4" t="s">
        <v>624</v>
      </c>
      <c r="F83" s="4" t="s">
        <v>625</v>
      </c>
      <c r="G83" s="124">
        <v>1</v>
      </c>
      <c r="L83" s="5" t="s">
        <v>388</v>
      </c>
      <c r="M83" s="5" t="s">
        <v>388</v>
      </c>
      <c r="U83" s="6" t="s">
        <v>388</v>
      </c>
      <c r="AB83" s="5"/>
      <c r="AC83" s="8"/>
      <c r="AD83" s="8"/>
      <c r="AE83" s="124">
        <v>3</v>
      </c>
      <c r="AF83" s="5" t="s">
        <v>394</v>
      </c>
      <c r="AI83" s="1"/>
      <c r="AK83" s="2"/>
    </row>
    <row r="84" spans="1:37" ht="11.25" customHeight="1">
      <c r="A84" s="95" t="s">
        <v>276</v>
      </c>
      <c r="B84" s="1" t="s">
        <v>277</v>
      </c>
      <c r="C84" s="1" t="s">
        <v>278</v>
      </c>
      <c r="D84" s="4" t="s">
        <v>387</v>
      </c>
      <c r="E84" s="4"/>
      <c r="F84" s="4"/>
      <c r="G84" s="124">
        <v>1</v>
      </c>
      <c r="M84" s="5" t="s">
        <v>388</v>
      </c>
      <c r="AB84" s="5"/>
      <c r="AC84" s="5"/>
      <c r="AD84" s="5"/>
      <c r="AE84" s="124">
        <v>3</v>
      </c>
      <c r="AF84" s="5" t="s">
        <v>389</v>
      </c>
      <c r="AI84" s="1"/>
      <c r="AK84" s="2"/>
    </row>
    <row r="85" spans="1:37" ht="11.25" customHeight="1">
      <c r="A85" s="2" t="s">
        <v>1393</v>
      </c>
      <c r="B85" s="2" t="s">
        <v>1394</v>
      </c>
      <c r="C85" s="3" t="s">
        <v>1392</v>
      </c>
      <c r="D85" s="13" t="s">
        <v>739</v>
      </c>
      <c r="E85" s="13"/>
      <c r="F85" s="13"/>
      <c r="G85" s="124">
        <v>1</v>
      </c>
      <c r="K85" s="5" t="s">
        <v>388</v>
      </c>
      <c r="M85" s="5" t="s">
        <v>388</v>
      </c>
      <c r="R85" s="5" t="s">
        <v>388</v>
      </c>
      <c r="T85" s="5" t="s">
        <v>388</v>
      </c>
      <c r="Y85" s="5" t="s">
        <v>388</v>
      </c>
      <c r="Z85" s="5" t="s">
        <v>388</v>
      </c>
      <c r="AA85" s="5" t="s">
        <v>388</v>
      </c>
      <c r="AB85" s="5" t="s">
        <v>388</v>
      </c>
      <c r="AC85" s="8"/>
      <c r="AD85" s="8"/>
      <c r="AE85" s="124" t="s">
        <v>648</v>
      </c>
      <c r="AF85" s="1" t="s">
        <v>394</v>
      </c>
      <c r="AG85" s="1" t="s">
        <v>1395</v>
      </c>
      <c r="AI85" s="1"/>
      <c r="AK85" s="2"/>
    </row>
    <row r="86" spans="1:37" ht="11.25" customHeight="1">
      <c r="A86" s="95" t="s">
        <v>533</v>
      </c>
      <c r="B86" s="2" t="s">
        <v>539</v>
      </c>
      <c r="C86" s="2" t="s">
        <v>540</v>
      </c>
      <c r="D86" s="34" t="s">
        <v>387</v>
      </c>
      <c r="E86" s="34" t="s">
        <v>626</v>
      </c>
      <c r="F86" s="34"/>
      <c r="G86" s="85">
        <v>1</v>
      </c>
      <c r="H86" s="6"/>
      <c r="I86" s="6" t="s">
        <v>623</v>
      </c>
      <c r="J86" s="6"/>
      <c r="K86" s="6"/>
      <c r="L86" s="6"/>
      <c r="M86" s="6"/>
      <c r="N86" s="6"/>
      <c r="O86" s="6"/>
      <c r="P86" s="6"/>
      <c r="Q86" s="6"/>
      <c r="R86" s="6"/>
      <c r="S86" s="6"/>
      <c r="T86" s="6"/>
      <c r="U86" s="6"/>
      <c r="V86" s="6"/>
      <c r="W86" s="6"/>
      <c r="X86" s="6"/>
      <c r="Y86" s="6"/>
      <c r="Z86" s="6"/>
      <c r="AA86" s="6"/>
      <c r="AB86" s="6"/>
      <c r="AC86" s="6"/>
      <c r="AD86" s="6"/>
      <c r="AE86" s="124">
        <v>2</v>
      </c>
      <c r="AF86" s="5" t="s">
        <v>394</v>
      </c>
      <c r="AG86" s="1" t="s">
        <v>541</v>
      </c>
      <c r="AH86" s="2"/>
      <c r="AI86" s="2"/>
      <c r="AJ86" s="2"/>
      <c r="AK86" s="2"/>
    </row>
    <row r="87" spans="1:37" ht="11.25" customHeight="1">
      <c r="A87" s="95" t="s">
        <v>533</v>
      </c>
      <c r="B87" s="2" t="s">
        <v>534</v>
      </c>
      <c r="C87" s="2" t="s">
        <v>535</v>
      </c>
      <c r="D87" s="34" t="s">
        <v>387</v>
      </c>
      <c r="E87" s="34" t="s">
        <v>626</v>
      </c>
      <c r="F87" s="34"/>
      <c r="G87" s="85">
        <v>1</v>
      </c>
      <c r="H87" s="6"/>
      <c r="I87" s="6"/>
      <c r="J87" s="6"/>
      <c r="K87" s="6"/>
      <c r="L87" s="6"/>
      <c r="M87" s="6"/>
      <c r="N87" s="6" t="s">
        <v>623</v>
      </c>
      <c r="O87" s="6"/>
      <c r="P87" s="6"/>
      <c r="Q87" s="6"/>
      <c r="R87" s="6"/>
      <c r="S87" s="6"/>
      <c r="T87" s="6"/>
      <c r="U87" s="6"/>
      <c r="V87" s="6"/>
      <c r="W87" s="6"/>
      <c r="X87" s="6"/>
      <c r="Y87" s="6"/>
      <c r="Z87" s="6"/>
      <c r="AA87" s="6"/>
      <c r="AB87" s="6"/>
      <c r="AC87" s="6"/>
      <c r="AD87" s="6"/>
      <c r="AE87" s="124">
        <v>2</v>
      </c>
      <c r="AF87" s="5" t="s">
        <v>394</v>
      </c>
      <c r="AG87" s="1" t="s">
        <v>536</v>
      </c>
      <c r="AH87" s="2"/>
      <c r="AI87" s="2"/>
      <c r="AJ87" s="2"/>
      <c r="AK87" s="2"/>
    </row>
    <row r="88" spans="1:37" ht="11.25" customHeight="1">
      <c r="A88" s="95" t="s">
        <v>533</v>
      </c>
      <c r="B88" s="1" t="s">
        <v>542</v>
      </c>
      <c r="C88" s="1" t="s">
        <v>543</v>
      </c>
      <c r="D88" s="4" t="s">
        <v>387</v>
      </c>
      <c r="E88" s="4" t="s">
        <v>626</v>
      </c>
      <c r="F88" s="4"/>
      <c r="G88" s="85">
        <v>1</v>
      </c>
      <c r="J88" s="5" t="s">
        <v>623</v>
      </c>
      <c r="AB88" s="5"/>
      <c r="AC88" s="8" t="s">
        <v>623</v>
      </c>
      <c r="AD88" s="8"/>
      <c r="AE88" s="124">
        <v>2</v>
      </c>
      <c r="AF88" s="5" t="s">
        <v>394</v>
      </c>
      <c r="AG88" s="1" t="s">
        <v>514</v>
      </c>
      <c r="AH88" s="2"/>
      <c r="AI88" s="2"/>
      <c r="AK88" s="2"/>
    </row>
    <row r="89" spans="1:37" ht="11.25" customHeight="1">
      <c r="A89" s="95" t="s">
        <v>127</v>
      </c>
      <c r="B89" s="1" t="s">
        <v>128</v>
      </c>
      <c r="C89" s="1" t="s">
        <v>129</v>
      </c>
      <c r="D89" s="4" t="s">
        <v>387</v>
      </c>
      <c r="E89" s="4" t="s">
        <v>624</v>
      </c>
      <c r="F89" s="4" t="s">
        <v>625</v>
      </c>
      <c r="G89" s="124">
        <v>1</v>
      </c>
      <c r="N89" s="6"/>
      <c r="T89" s="5" t="s">
        <v>388</v>
      </c>
      <c r="Y89" s="5" t="s">
        <v>388</v>
      </c>
      <c r="Z89" s="5" t="s">
        <v>388</v>
      </c>
      <c r="AA89" s="5" t="s">
        <v>388</v>
      </c>
      <c r="AB89" s="5" t="s">
        <v>388</v>
      </c>
      <c r="AC89" s="12"/>
      <c r="AD89" s="8" t="s">
        <v>388</v>
      </c>
      <c r="AE89" s="124" t="s">
        <v>130</v>
      </c>
      <c r="AF89" s="5" t="s">
        <v>394</v>
      </c>
      <c r="AI89" s="1"/>
      <c r="AK89" s="2"/>
    </row>
    <row r="90" spans="1:37" ht="11.25" customHeight="1">
      <c r="A90" s="1" t="s">
        <v>1050</v>
      </c>
      <c r="B90" s="1" t="s">
        <v>1048</v>
      </c>
      <c r="C90" s="1" t="s">
        <v>1049</v>
      </c>
      <c r="D90" s="4" t="s">
        <v>387</v>
      </c>
      <c r="E90" s="4"/>
      <c r="F90" s="4"/>
      <c r="G90" s="124">
        <v>1</v>
      </c>
      <c r="H90" s="5" t="s">
        <v>388</v>
      </c>
      <c r="M90" s="5" t="s">
        <v>388</v>
      </c>
      <c r="N90" s="5" t="s">
        <v>388</v>
      </c>
      <c r="AB90" s="5"/>
      <c r="AC90" s="8"/>
      <c r="AD90" s="8"/>
      <c r="AE90" s="124" t="s">
        <v>648</v>
      </c>
      <c r="AF90" s="1" t="s">
        <v>394</v>
      </c>
      <c r="AG90" s="1" t="s">
        <v>1051</v>
      </c>
      <c r="AI90" s="1"/>
      <c r="AK90" s="2"/>
    </row>
    <row r="91" spans="1:37" ht="11.25" customHeight="1">
      <c r="A91" s="95" t="s">
        <v>131</v>
      </c>
      <c r="B91" s="1" t="s">
        <v>132</v>
      </c>
      <c r="C91" s="1" t="s">
        <v>133</v>
      </c>
      <c r="D91" s="4" t="s">
        <v>387</v>
      </c>
      <c r="E91" s="4" t="s">
        <v>624</v>
      </c>
      <c r="F91" s="4" t="s">
        <v>625</v>
      </c>
      <c r="G91" s="124">
        <v>1</v>
      </c>
      <c r="L91" s="5" t="s">
        <v>388</v>
      </c>
      <c r="M91" s="5" t="s">
        <v>388</v>
      </c>
      <c r="Q91" s="6"/>
      <c r="T91" s="5" t="s">
        <v>388</v>
      </c>
      <c r="AB91" s="5"/>
      <c r="AC91" s="8"/>
      <c r="AD91" s="8"/>
      <c r="AE91" s="124">
        <v>3</v>
      </c>
      <c r="AF91" s="5" t="s">
        <v>394</v>
      </c>
      <c r="AI91" s="1"/>
      <c r="AK91" s="2"/>
    </row>
    <row r="92" spans="1:37" ht="11.25" customHeight="1">
      <c r="A92" s="95" t="s">
        <v>289</v>
      </c>
      <c r="B92" s="2" t="s">
        <v>290</v>
      </c>
      <c r="C92" s="1" t="s">
        <v>291</v>
      </c>
      <c r="D92" s="4" t="s">
        <v>387</v>
      </c>
      <c r="E92" s="4"/>
      <c r="F92" s="4"/>
      <c r="G92" s="124">
        <v>1</v>
      </c>
      <c r="J92" s="5" t="s">
        <v>388</v>
      </c>
      <c r="K92" s="5" t="s">
        <v>388</v>
      </c>
      <c r="L92" s="5" t="s">
        <v>388</v>
      </c>
      <c r="M92" s="5" t="s">
        <v>388</v>
      </c>
      <c r="N92" s="5" t="s">
        <v>388</v>
      </c>
      <c r="U92" s="5" t="s">
        <v>388</v>
      </c>
      <c r="AB92" s="5" t="s">
        <v>388</v>
      </c>
      <c r="AC92" s="8" t="s">
        <v>388</v>
      </c>
      <c r="AD92" s="8"/>
      <c r="AE92" s="124">
        <v>3</v>
      </c>
      <c r="AF92" s="5" t="s">
        <v>389</v>
      </c>
      <c r="AI92" s="1"/>
      <c r="AK92" s="2"/>
    </row>
    <row r="93" spans="1:37" ht="11.25" customHeight="1">
      <c r="A93" s="95" t="s">
        <v>769</v>
      </c>
      <c r="B93" s="2" t="s">
        <v>864</v>
      </c>
      <c r="C93" s="2" t="s">
        <v>871</v>
      </c>
      <c r="D93" s="34" t="s">
        <v>739</v>
      </c>
      <c r="E93" s="34"/>
      <c r="F93" s="34"/>
      <c r="G93" s="85">
        <v>1</v>
      </c>
      <c r="H93" s="6"/>
      <c r="I93" s="6"/>
      <c r="J93" s="6"/>
      <c r="K93" s="6"/>
      <c r="L93" s="6"/>
      <c r="M93" s="6" t="s">
        <v>388</v>
      </c>
      <c r="N93" s="6" t="s">
        <v>388</v>
      </c>
      <c r="O93" s="6"/>
      <c r="P93" s="6"/>
      <c r="Q93" s="6"/>
      <c r="R93" s="6"/>
      <c r="S93" s="6"/>
      <c r="T93" s="6"/>
      <c r="U93" s="6"/>
      <c r="V93" s="6"/>
      <c r="W93" s="6"/>
      <c r="X93" s="6"/>
      <c r="Y93" s="6"/>
      <c r="Z93" s="6"/>
      <c r="AA93" s="6"/>
      <c r="AB93" s="6"/>
      <c r="AC93" s="12"/>
      <c r="AD93" s="12" t="s">
        <v>388</v>
      </c>
      <c r="AE93" s="85" t="s">
        <v>648</v>
      </c>
      <c r="AF93" s="6" t="s">
        <v>389</v>
      </c>
      <c r="AG93" s="2" t="s">
        <v>872</v>
      </c>
      <c r="AH93" s="2"/>
      <c r="AI93" s="2"/>
      <c r="AJ93" s="2" t="s">
        <v>831</v>
      </c>
      <c r="AK93" s="2"/>
    </row>
    <row r="94" spans="1:37" ht="11.25" customHeight="1">
      <c r="A94" s="95" t="s">
        <v>1655</v>
      </c>
      <c r="B94" s="51" t="s">
        <v>416</v>
      </c>
      <c r="C94" s="51" t="s">
        <v>417</v>
      </c>
      <c r="D94" s="56" t="s">
        <v>387</v>
      </c>
      <c r="E94" s="56" t="s">
        <v>626</v>
      </c>
      <c r="F94" s="56"/>
      <c r="G94" s="126">
        <v>1</v>
      </c>
      <c r="H94" s="54"/>
      <c r="I94" s="54"/>
      <c r="J94" s="54"/>
      <c r="K94" s="54"/>
      <c r="L94" s="54"/>
      <c r="M94" s="54"/>
      <c r="N94" s="54"/>
      <c r="O94" s="54"/>
      <c r="P94" s="54"/>
      <c r="Q94" s="54"/>
      <c r="R94" s="54"/>
      <c r="S94" s="54"/>
      <c r="T94" s="54"/>
      <c r="U94" s="54"/>
      <c r="V94" s="54"/>
      <c r="W94" s="54"/>
      <c r="X94" s="54"/>
      <c r="Y94" s="54"/>
      <c r="Z94" s="54"/>
      <c r="AA94" s="54"/>
      <c r="AB94" s="54"/>
      <c r="AC94" s="55"/>
      <c r="AD94" s="55"/>
      <c r="AE94" s="126"/>
      <c r="AF94" s="54" t="s">
        <v>389</v>
      </c>
      <c r="AG94" s="51" t="s">
        <v>612</v>
      </c>
      <c r="AH94" s="51"/>
      <c r="AI94" s="51"/>
      <c r="AJ94" s="51"/>
      <c r="AK94" s="51"/>
    </row>
    <row r="95" spans="1:37" ht="11.25" customHeight="1">
      <c r="A95" s="95" t="s">
        <v>485</v>
      </c>
      <c r="B95" s="2" t="s">
        <v>486</v>
      </c>
      <c r="C95" s="1" t="s">
        <v>487</v>
      </c>
      <c r="D95" s="4" t="s">
        <v>387</v>
      </c>
      <c r="E95" s="4" t="s">
        <v>626</v>
      </c>
      <c r="F95" s="4"/>
      <c r="G95" s="124">
        <v>1</v>
      </c>
      <c r="AB95" s="5"/>
      <c r="AC95" s="8"/>
      <c r="AD95" s="8"/>
      <c r="AE95" s="124">
        <v>4</v>
      </c>
      <c r="AF95" s="5" t="s">
        <v>394</v>
      </c>
      <c r="AG95" s="1" t="s">
        <v>443</v>
      </c>
      <c r="AH95" s="2"/>
      <c r="AI95" s="1"/>
      <c r="AK95" s="2"/>
    </row>
    <row r="96" spans="1:37" ht="11.25" customHeight="1">
      <c r="A96" s="95" t="s">
        <v>142</v>
      </c>
      <c r="B96" s="1" t="s">
        <v>297</v>
      </c>
      <c r="C96" s="1" t="s">
        <v>298</v>
      </c>
      <c r="D96" s="4" t="s">
        <v>387</v>
      </c>
      <c r="E96" s="4"/>
      <c r="F96" s="4"/>
      <c r="G96" s="124">
        <v>1</v>
      </c>
      <c r="T96" s="5" t="s">
        <v>388</v>
      </c>
      <c r="AB96" s="5" t="s">
        <v>388</v>
      </c>
      <c r="AC96" s="8" t="s">
        <v>388</v>
      </c>
      <c r="AD96" s="8"/>
      <c r="AE96" s="124">
        <v>3</v>
      </c>
      <c r="AF96" s="5" t="s">
        <v>389</v>
      </c>
      <c r="AI96" s="1"/>
      <c r="AK96" s="2"/>
    </row>
    <row r="97" spans="1:37" ht="11.25" customHeight="1">
      <c r="A97" s="95" t="s">
        <v>299</v>
      </c>
      <c r="B97" s="2" t="s">
        <v>300</v>
      </c>
      <c r="C97" s="2" t="s">
        <v>301</v>
      </c>
      <c r="D97" s="34" t="s">
        <v>1150</v>
      </c>
      <c r="E97" s="34"/>
      <c r="F97" s="34"/>
      <c r="G97" s="124">
        <v>1</v>
      </c>
      <c r="L97" s="5" t="s">
        <v>388</v>
      </c>
      <c r="M97" s="5" t="s">
        <v>388</v>
      </c>
      <c r="AA97" s="5" t="s">
        <v>388</v>
      </c>
      <c r="AB97" s="5"/>
      <c r="AC97" s="8"/>
      <c r="AD97" s="8"/>
      <c r="AE97" s="124">
        <v>3</v>
      </c>
      <c r="AF97" s="5" t="s">
        <v>389</v>
      </c>
      <c r="AI97" s="1" t="s">
        <v>1151</v>
      </c>
      <c r="AK97" s="2"/>
    </row>
    <row r="98" spans="1:37" ht="11.25" customHeight="1">
      <c r="A98" s="95" t="s">
        <v>145</v>
      </c>
      <c r="B98" s="1" t="s">
        <v>146</v>
      </c>
      <c r="C98" s="1" t="s">
        <v>147</v>
      </c>
      <c r="D98" s="4" t="s">
        <v>387</v>
      </c>
      <c r="E98" s="4" t="s">
        <v>624</v>
      </c>
      <c r="F98" s="4" t="s">
        <v>625</v>
      </c>
      <c r="G98" s="124">
        <v>1</v>
      </c>
      <c r="L98" s="5" t="s">
        <v>388</v>
      </c>
      <c r="AB98" s="5"/>
      <c r="AC98" s="8"/>
      <c r="AD98" s="8"/>
      <c r="AE98" s="124">
        <v>3</v>
      </c>
      <c r="AF98" s="5" t="s">
        <v>394</v>
      </c>
      <c r="AI98" s="1" t="s">
        <v>148</v>
      </c>
      <c r="AK98" s="2"/>
    </row>
    <row r="99" spans="1:37" ht="11.25" customHeight="1">
      <c r="A99" s="95" t="s">
        <v>597</v>
      </c>
      <c r="B99" s="1" t="s">
        <v>598</v>
      </c>
      <c r="C99" s="1" t="s">
        <v>599</v>
      </c>
      <c r="D99" s="4" t="s">
        <v>387</v>
      </c>
      <c r="E99" s="4" t="s">
        <v>626</v>
      </c>
      <c r="F99" s="4"/>
      <c r="G99" s="124">
        <v>1</v>
      </c>
      <c r="AB99" s="5"/>
      <c r="AC99" s="8"/>
      <c r="AD99" s="8"/>
      <c r="AE99" s="124">
        <v>2</v>
      </c>
      <c r="AF99" s="5" t="s">
        <v>394</v>
      </c>
      <c r="AG99" s="1" t="s">
        <v>600</v>
      </c>
      <c r="AH99" s="2"/>
      <c r="AI99" s="1"/>
      <c r="AK99" s="2"/>
    </row>
    <row r="100" spans="1:37" ht="11.25" customHeight="1">
      <c r="A100" s="95" t="s">
        <v>149</v>
      </c>
      <c r="B100" s="1" t="s">
        <v>150</v>
      </c>
      <c r="C100" s="1" t="s">
        <v>151</v>
      </c>
      <c r="D100" s="4" t="s">
        <v>387</v>
      </c>
      <c r="E100" s="4" t="s">
        <v>624</v>
      </c>
      <c r="F100" s="4" t="s">
        <v>625</v>
      </c>
      <c r="G100" s="124">
        <v>1</v>
      </c>
      <c r="M100" s="5" t="s">
        <v>388</v>
      </c>
      <c r="N100" s="6"/>
      <c r="P100" s="5" t="s">
        <v>388</v>
      </c>
      <c r="AB100" s="5"/>
      <c r="AC100" s="8"/>
      <c r="AD100" s="8"/>
      <c r="AE100" s="124">
        <v>1</v>
      </c>
      <c r="AF100" s="5" t="s">
        <v>394</v>
      </c>
      <c r="AI100" s="1"/>
      <c r="AK100" s="2"/>
    </row>
    <row r="101" spans="1:37" ht="11.25" customHeight="1">
      <c r="A101" s="95" t="s">
        <v>868</v>
      </c>
      <c r="B101" s="2" t="s">
        <v>865</v>
      </c>
      <c r="C101" s="2" t="s">
        <v>867</v>
      </c>
      <c r="D101" s="34" t="s">
        <v>739</v>
      </c>
      <c r="E101" s="34"/>
      <c r="F101" s="34"/>
      <c r="G101" s="85">
        <v>1</v>
      </c>
      <c r="H101" s="6"/>
      <c r="I101" s="6"/>
      <c r="J101" s="6"/>
      <c r="K101" s="6"/>
      <c r="L101" s="6"/>
      <c r="M101" s="6"/>
      <c r="N101" s="6" t="s">
        <v>388</v>
      </c>
      <c r="O101" s="6"/>
      <c r="P101" s="6"/>
      <c r="Q101" s="6"/>
      <c r="R101" s="6"/>
      <c r="S101" s="6"/>
      <c r="T101" s="6"/>
      <c r="U101" s="6"/>
      <c r="V101" s="6"/>
      <c r="W101" s="6"/>
      <c r="X101" s="6"/>
      <c r="Y101" s="6"/>
      <c r="Z101" s="6"/>
      <c r="AA101" s="6"/>
      <c r="AB101" s="6"/>
      <c r="AC101" s="12" t="s">
        <v>388</v>
      </c>
      <c r="AD101" s="12" t="s">
        <v>388</v>
      </c>
      <c r="AE101" s="85" t="s">
        <v>648</v>
      </c>
      <c r="AF101" s="6" t="s">
        <v>394</v>
      </c>
      <c r="AG101" s="2" t="s">
        <v>869</v>
      </c>
      <c r="AH101" s="2"/>
      <c r="AI101" s="2"/>
      <c r="AJ101" s="2" t="s">
        <v>870</v>
      </c>
      <c r="AK101" s="2"/>
    </row>
    <row r="102" spans="1:37" ht="11.25" customHeight="1">
      <c r="A102" s="95" t="s">
        <v>305</v>
      </c>
      <c r="B102" s="1" t="s">
        <v>308</v>
      </c>
      <c r="C102" s="1" t="s">
        <v>309</v>
      </c>
      <c r="D102" s="4" t="s">
        <v>387</v>
      </c>
      <c r="E102" s="4"/>
      <c r="F102" s="4"/>
      <c r="G102" s="124">
        <v>1</v>
      </c>
      <c r="H102" s="5" t="s">
        <v>388</v>
      </c>
      <c r="M102" s="5" t="s">
        <v>388</v>
      </c>
      <c r="AB102" s="5"/>
      <c r="AC102" s="8"/>
      <c r="AD102" s="8"/>
      <c r="AE102" s="124">
        <v>1</v>
      </c>
      <c r="AF102" s="5" t="s">
        <v>389</v>
      </c>
      <c r="AI102" s="1"/>
      <c r="AK102" s="2"/>
    </row>
    <row r="103" spans="1:37" ht="11.25" customHeight="1">
      <c r="A103" s="95" t="s">
        <v>649</v>
      </c>
      <c r="B103" s="2" t="s">
        <v>634</v>
      </c>
      <c r="C103" s="2" t="s">
        <v>628</v>
      </c>
      <c r="D103" s="34" t="s">
        <v>387</v>
      </c>
      <c r="E103" s="34"/>
      <c r="F103" s="34"/>
      <c r="G103" s="85">
        <v>1</v>
      </c>
      <c r="H103" s="6"/>
      <c r="I103" s="6"/>
      <c r="J103" s="6"/>
      <c r="K103" s="6"/>
      <c r="L103" s="6"/>
      <c r="M103" s="6" t="s">
        <v>388</v>
      </c>
      <c r="N103" s="6"/>
      <c r="O103" s="6"/>
      <c r="P103" s="6" t="s">
        <v>388</v>
      </c>
      <c r="Q103" s="6"/>
      <c r="R103" s="6"/>
      <c r="S103" s="6"/>
      <c r="T103" s="6"/>
      <c r="U103" s="6"/>
      <c r="V103" s="6"/>
      <c r="W103" s="6"/>
      <c r="X103" s="6"/>
      <c r="Y103" s="6"/>
      <c r="Z103" s="6"/>
      <c r="AA103" s="6"/>
      <c r="AB103" s="6"/>
      <c r="AC103" s="12"/>
      <c r="AD103" s="12"/>
      <c r="AE103" s="85" t="s">
        <v>648</v>
      </c>
      <c r="AF103" s="6" t="s">
        <v>389</v>
      </c>
      <c r="AG103" s="2" t="s">
        <v>650</v>
      </c>
      <c r="AH103" s="2"/>
      <c r="AI103" s="2"/>
      <c r="AJ103" s="2"/>
      <c r="AK103" s="2"/>
    </row>
    <row r="104" spans="1:37" ht="11.25" customHeight="1">
      <c r="A104" s="95" t="s">
        <v>466</v>
      </c>
      <c r="B104" s="2" t="s">
        <v>467</v>
      </c>
      <c r="C104" s="2" t="s">
        <v>468</v>
      </c>
      <c r="D104" s="34" t="s">
        <v>387</v>
      </c>
      <c r="E104" s="34" t="s">
        <v>626</v>
      </c>
      <c r="F104" s="34"/>
      <c r="G104" s="85">
        <v>1</v>
      </c>
      <c r="H104" s="6"/>
      <c r="I104" s="6" t="s">
        <v>623</v>
      </c>
      <c r="J104" s="6"/>
      <c r="K104" s="6"/>
      <c r="L104" s="6"/>
      <c r="M104" s="6"/>
      <c r="N104" s="6"/>
      <c r="O104" s="6"/>
      <c r="P104" s="6"/>
      <c r="Q104" s="6"/>
      <c r="R104" s="6"/>
      <c r="S104" s="6"/>
      <c r="T104" s="6"/>
      <c r="U104" s="6"/>
      <c r="V104" s="6"/>
      <c r="W104" s="6"/>
      <c r="X104" s="6"/>
      <c r="Y104" s="6"/>
      <c r="Z104" s="6"/>
      <c r="AA104" s="6"/>
      <c r="AB104" s="6"/>
      <c r="AC104" s="6"/>
      <c r="AD104" s="6"/>
      <c r="AE104" s="124">
        <v>4</v>
      </c>
      <c r="AF104" s="5" t="s">
        <v>394</v>
      </c>
      <c r="AG104" s="1" t="s">
        <v>469</v>
      </c>
      <c r="AH104" s="2"/>
      <c r="AI104" s="2"/>
      <c r="AJ104" s="2"/>
      <c r="AK104" s="2"/>
    </row>
    <row r="105" spans="1:37" ht="11.25" customHeight="1">
      <c r="A105" s="95" t="s">
        <v>404</v>
      </c>
      <c r="B105" s="51" t="s">
        <v>405</v>
      </c>
      <c r="C105" s="51" t="s">
        <v>406</v>
      </c>
      <c r="D105" s="56" t="s">
        <v>387</v>
      </c>
      <c r="E105" s="56" t="s">
        <v>626</v>
      </c>
      <c r="F105" s="56"/>
      <c r="G105" s="126">
        <v>1</v>
      </c>
      <c r="H105" s="54"/>
      <c r="I105" s="54"/>
      <c r="J105" s="54"/>
      <c r="K105" s="54"/>
      <c r="L105" s="54"/>
      <c r="M105" s="54"/>
      <c r="N105" s="54"/>
      <c r="O105" s="54"/>
      <c r="P105" s="54"/>
      <c r="Q105" s="54"/>
      <c r="R105" s="54"/>
      <c r="S105" s="54"/>
      <c r="T105" s="54"/>
      <c r="U105" s="54"/>
      <c r="V105" s="54"/>
      <c r="W105" s="54"/>
      <c r="X105" s="54"/>
      <c r="Y105" s="54"/>
      <c r="Z105" s="54"/>
      <c r="AA105" s="54"/>
      <c r="AB105" s="54"/>
      <c r="AC105" s="55"/>
      <c r="AD105" s="55"/>
      <c r="AE105" s="126"/>
      <c r="AF105" s="54" t="s">
        <v>389</v>
      </c>
      <c r="AG105" s="51" t="s">
        <v>612</v>
      </c>
      <c r="AH105" s="51"/>
      <c r="AI105" s="51"/>
      <c r="AJ105" s="51"/>
      <c r="AK105" s="51"/>
    </row>
    <row r="106" spans="1:37" ht="11.25" customHeight="1">
      <c r="A106" s="1" t="s">
        <v>1417</v>
      </c>
      <c r="B106" s="2" t="s">
        <v>1418</v>
      </c>
      <c r="C106" s="3" t="s">
        <v>1416</v>
      </c>
      <c r="D106" s="13" t="s">
        <v>1306</v>
      </c>
      <c r="E106" s="13"/>
      <c r="F106" s="13"/>
      <c r="G106" s="124">
        <v>1</v>
      </c>
      <c r="V106" s="5" t="s">
        <v>388</v>
      </c>
      <c r="AB106" s="5"/>
      <c r="AC106" s="8"/>
      <c r="AD106" s="8"/>
      <c r="AE106" s="124" t="s">
        <v>648</v>
      </c>
      <c r="AF106" s="1" t="s">
        <v>394</v>
      </c>
      <c r="AG106" s="1" t="s">
        <v>1419</v>
      </c>
      <c r="AI106" s="1"/>
      <c r="AK106" s="2"/>
    </row>
    <row r="107" spans="1:37" ht="11.25" customHeight="1">
      <c r="A107" s="95" t="s">
        <v>152</v>
      </c>
      <c r="B107" s="1" t="s">
        <v>153</v>
      </c>
      <c r="C107" s="1" t="s">
        <v>1662</v>
      </c>
      <c r="D107" s="4" t="s">
        <v>387</v>
      </c>
      <c r="E107" s="4" t="s">
        <v>624</v>
      </c>
      <c r="F107" s="4" t="s">
        <v>625</v>
      </c>
      <c r="G107" s="124">
        <v>1</v>
      </c>
      <c r="P107" s="5" t="s">
        <v>388</v>
      </c>
      <c r="AB107" s="5"/>
      <c r="AC107" s="8"/>
      <c r="AD107" s="8"/>
      <c r="AE107" s="124">
        <v>3</v>
      </c>
      <c r="AF107" s="5" t="s">
        <v>394</v>
      </c>
      <c r="AI107" s="1"/>
      <c r="AK107" s="2"/>
    </row>
    <row r="108" spans="1:37" ht="11.25" customHeight="1">
      <c r="A108" s="95" t="s">
        <v>154</v>
      </c>
      <c r="B108" s="1" t="s">
        <v>155</v>
      </c>
      <c r="C108" s="1" t="s">
        <v>156</v>
      </c>
      <c r="D108" s="4" t="s">
        <v>387</v>
      </c>
      <c r="E108" s="4" t="s">
        <v>624</v>
      </c>
      <c r="F108" s="4" t="s">
        <v>625</v>
      </c>
      <c r="G108" s="124">
        <v>1</v>
      </c>
      <c r="Y108" s="5" t="s">
        <v>388</v>
      </c>
      <c r="AA108" s="5" t="s">
        <v>388</v>
      </c>
      <c r="AB108" s="5" t="s">
        <v>388</v>
      </c>
      <c r="AC108" s="12"/>
      <c r="AD108" s="8"/>
      <c r="AE108" s="124">
        <v>3</v>
      </c>
      <c r="AF108" s="5" t="s">
        <v>394</v>
      </c>
      <c r="AI108" s="1"/>
      <c r="AK108" s="2"/>
    </row>
    <row r="109" spans="1:37" ht="11.25" customHeight="1">
      <c r="A109" s="95" t="s">
        <v>671</v>
      </c>
      <c r="B109" s="2" t="s">
        <v>673</v>
      </c>
      <c r="C109" s="2" t="s">
        <v>670</v>
      </c>
      <c r="D109" s="34" t="s">
        <v>387</v>
      </c>
      <c r="E109" s="34"/>
      <c r="F109" s="34"/>
      <c r="G109" s="85">
        <v>1</v>
      </c>
      <c r="H109" s="6"/>
      <c r="I109" s="6"/>
      <c r="J109" s="6"/>
      <c r="K109" s="6"/>
      <c r="L109" s="6"/>
      <c r="M109" s="6" t="s">
        <v>388</v>
      </c>
      <c r="N109" s="6"/>
      <c r="O109" s="6"/>
      <c r="P109" s="6"/>
      <c r="Q109" s="6"/>
      <c r="R109" s="6"/>
      <c r="S109" s="6"/>
      <c r="T109" s="6"/>
      <c r="U109" s="6"/>
      <c r="V109" s="6"/>
      <c r="W109" s="6"/>
      <c r="X109" s="6"/>
      <c r="Y109" s="6" t="s">
        <v>388</v>
      </c>
      <c r="Z109" s="6"/>
      <c r="AA109" s="6"/>
      <c r="AB109" s="6"/>
      <c r="AC109" s="12"/>
      <c r="AD109" s="12"/>
      <c r="AE109" s="85" t="s">
        <v>674</v>
      </c>
      <c r="AF109" s="6" t="s">
        <v>389</v>
      </c>
      <c r="AG109" s="2" t="s">
        <v>672</v>
      </c>
      <c r="AH109" s="2"/>
      <c r="AI109" s="2"/>
      <c r="AJ109" s="2"/>
      <c r="AK109" s="2"/>
    </row>
    <row r="110" spans="1:37" ht="11.25" customHeight="1">
      <c r="A110" s="95" t="s">
        <v>587</v>
      </c>
      <c r="B110" s="2" t="s">
        <v>588</v>
      </c>
      <c r="C110" s="2" t="s">
        <v>589</v>
      </c>
      <c r="D110" s="34" t="s">
        <v>387</v>
      </c>
      <c r="E110" s="34" t="s">
        <v>626</v>
      </c>
      <c r="F110" s="34"/>
      <c r="G110" s="85">
        <v>1</v>
      </c>
      <c r="H110" s="6"/>
      <c r="I110" s="6"/>
      <c r="J110" s="6"/>
      <c r="K110" s="6"/>
      <c r="L110" s="6"/>
      <c r="M110" s="6"/>
      <c r="N110" s="6"/>
      <c r="O110" s="6"/>
      <c r="P110" s="6"/>
      <c r="Q110" s="6"/>
      <c r="R110" s="6"/>
      <c r="S110" s="6"/>
      <c r="T110" s="6"/>
      <c r="U110" s="6"/>
      <c r="V110" s="6"/>
      <c r="W110" s="6"/>
      <c r="X110" s="6"/>
      <c r="Y110" s="6"/>
      <c r="Z110" s="6"/>
      <c r="AA110" s="6"/>
      <c r="AB110" s="6"/>
      <c r="AC110" s="6"/>
      <c r="AD110" s="6"/>
      <c r="AE110" s="124">
        <v>2</v>
      </c>
      <c r="AF110" s="5" t="s">
        <v>394</v>
      </c>
      <c r="AG110" s="1" t="s">
        <v>590</v>
      </c>
      <c r="AH110" s="2"/>
      <c r="AI110" s="2"/>
      <c r="AJ110" s="2"/>
      <c r="AK110" s="2"/>
    </row>
    <row r="111" spans="1:37" ht="11.25" customHeight="1">
      <c r="A111" s="95" t="s">
        <v>742</v>
      </c>
      <c r="B111" s="2" t="s">
        <v>745</v>
      </c>
      <c r="C111" s="2" t="s">
        <v>741</v>
      </c>
      <c r="D111" s="2" t="s">
        <v>739</v>
      </c>
      <c r="E111" s="34"/>
      <c r="F111" s="34"/>
      <c r="G111" s="85">
        <v>1</v>
      </c>
      <c r="H111" s="6"/>
      <c r="I111" s="6"/>
      <c r="J111" s="6"/>
      <c r="K111" s="6"/>
      <c r="L111" s="6"/>
      <c r="M111" s="6" t="s">
        <v>388</v>
      </c>
      <c r="N111" s="6" t="s">
        <v>388</v>
      </c>
      <c r="O111" s="6"/>
      <c r="P111" s="6"/>
      <c r="Q111" s="6"/>
      <c r="R111" s="6"/>
      <c r="S111" s="6"/>
      <c r="T111" s="6"/>
      <c r="U111" s="6"/>
      <c r="V111" s="6"/>
      <c r="W111" s="6"/>
      <c r="X111" s="6"/>
      <c r="Y111" s="6"/>
      <c r="Z111" s="6"/>
      <c r="AA111" s="6"/>
      <c r="AB111" s="6"/>
      <c r="AC111" s="12" t="s">
        <v>388</v>
      </c>
      <c r="AD111" s="12"/>
      <c r="AE111" s="85">
        <v>3</v>
      </c>
      <c r="AF111" s="6" t="s">
        <v>746</v>
      </c>
      <c r="AG111" s="2" t="s">
        <v>744</v>
      </c>
      <c r="AH111" s="2"/>
      <c r="AI111" s="2"/>
      <c r="AJ111" s="2"/>
      <c r="AK111" s="2"/>
    </row>
    <row r="112" spans="1:37" ht="11.25" customHeight="1">
      <c r="A112" s="1" t="s">
        <v>1041</v>
      </c>
      <c r="B112" s="1" t="s">
        <v>1042</v>
      </c>
      <c r="C112" s="4" t="s">
        <v>1040</v>
      </c>
      <c r="D112" s="4" t="s">
        <v>739</v>
      </c>
      <c r="E112" s="4"/>
      <c r="F112" s="4"/>
      <c r="G112" s="124">
        <v>1</v>
      </c>
      <c r="M112" s="5" t="s">
        <v>388</v>
      </c>
      <c r="U112" s="5" t="s">
        <v>388</v>
      </c>
      <c r="AB112" s="5"/>
      <c r="AC112" s="8"/>
      <c r="AD112" s="8"/>
      <c r="AE112" s="85" t="s">
        <v>648</v>
      </c>
      <c r="AF112" s="8" t="s">
        <v>394</v>
      </c>
      <c r="AG112" s="2" t="s">
        <v>1043</v>
      </c>
      <c r="AH112" s="2"/>
      <c r="AI112" s="1"/>
      <c r="AK112" s="2"/>
    </row>
    <row r="113" spans="1:37" ht="11.25" customHeight="1">
      <c r="A113" s="95" t="s">
        <v>160</v>
      </c>
      <c r="B113" s="2" t="s">
        <v>161</v>
      </c>
      <c r="C113" s="2" t="s">
        <v>162</v>
      </c>
      <c r="D113" s="34" t="s">
        <v>387</v>
      </c>
      <c r="E113" s="34" t="s">
        <v>624</v>
      </c>
      <c r="F113" s="34" t="s">
        <v>625</v>
      </c>
      <c r="G113" s="85">
        <v>1</v>
      </c>
      <c r="H113" s="6"/>
      <c r="I113" s="6"/>
      <c r="J113" s="6"/>
      <c r="K113" s="6"/>
      <c r="L113" s="6"/>
      <c r="M113" s="6" t="s">
        <v>388</v>
      </c>
      <c r="N113" s="6"/>
      <c r="O113" s="6" t="s">
        <v>388</v>
      </c>
      <c r="P113" s="6"/>
      <c r="Q113" s="6"/>
      <c r="R113" s="6"/>
      <c r="S113" s="6"/>
      <c r="T113" s="6"/>
      <c r="U113" s="6"/>
      <c r="V113" s="6"/>
      <c r="W113" s="6" t="s">
        <v>388</v>
      </c>
      <c r="X113" s="6"/>
      <c r="Y113" s="6"/>
      <c r="Z113" s="6"/>
      <c r="AA113" s="6"/>
      <c r="AB113" s="6"/>
      <c r="AC113" s="12"/>
      <c r="AD113" s="12"/>
      <c r="AE113" s="85">
        <v>3</v>
      </c>
      <c r="AF113" s="6" t="s">
        <v>394</v>
      </c>
      <c r="AG113" s="2"/>
      <c r="AH113" s="2"/>
      <c r="AI113" s="2" t="s">
        <v>163</v>
      </c>
      <c r="AJ113" s="2"/>
      <c r="AK113" s="2"/>
    </row>
    <row r="114" spans="1:37" ht="11.25" customHeight="1">
      <c r="A114" s="1" t="s">
        <v>1398</v>
      </c>
      <c r="B114" s="2" t="s">
        <v>1397</v>
      </c>
      <c r="C114" s="1" t="s">
        <v>1396</v>
      </c>
      <c r="D114" s="4" t="s">
        <v>739</v>
      </c>
      <c r="E114" s="4"/>
      <c r="F114" s="4"/>
      <c r="G114" s="124">
        <v>1</v>
      </c>
      <c r="T114" s="5" t="s">
        <v>388</v>
      </c>
      <c r="W114" s="5" t="s">
        <v>388</v>
      </c>
      <c r="Z114" s="5" t="s">
        <v>388</v>
      </c>
      <c r="AB114" s="5"/>
      <c r="AC114" s="8"/>
      <c r="AD114" s="8"/>
      <c r="AE114" s="124" t="s">
        <v>648</v>
      </c>
      <c r="AF114" s="1" t="s">
        <v>394</v>
      </c>
      <c r="AG114" s="1" t="s">
        <v>1399</v>
      </c>
      <c r="AI114" s="1"/>
      <c r="AK114" s="2"/>
    </row>
    <row r="115" spans="1:37" s="2" customFormat="1" ht="11.25" customHeight="1">
      <c r="A115" s="95" t="s">
        <v>166</v>
      </c>
      <c r="B115" s="2" t="s">
        <v>167</v>
      </c>
      <c r="C115" s="2" t="s">
        <v>168</v>
      </c>
      <c r="D115" s="34" t="s">
        <v>387</v>
      </c>
      <c r="E115" s="34" t="s">
        <v>624</v>
      </c>
      <c r="F115" s="34" t="s">
        <v>625</v>
      </c>
      <c r="G115" s="85">
        <v>1</v>
      </c>
      <c r="H115" s="6"/>
      <c r="I115" s="6"/>
      <c r="J115" s="6"/>
      <c r="K115" s="6" t="s">
        <v>388</v>
      </c>
      <c r="L115" s="6"/>
      <c r="M115" s="6"/>
      <c r="N115" s="6"/>
      <c r="O115" s="6"/>
      <c r="P115" s="6"/>
      <c r="Q115" s="6"/>
      <c r="R115" s="6"/>
      <c r="S115" s="6"/>
      <c r="T115" s="6" t="s">
        <v>388</v>
      </c>
      <c r="U115" s="6"/>
      <c r="V115" s="6"/>
      <c r="W115" s="6"/>
      <c r="X115" s="6" t="s">
        <v>388</v>
      </c>
      <c r="Y115" s="6"/>
      <c r="Z115" s="6" t="s">
        <v>388</v>
      </c>
      <c r="AA115" s="6" t="s">
        <v>388</v>
      </c>
      <c r="AB115" s="6"/>
      <c r="AC115" s="12" t="s">
        <v>388</v>
      </c>
      <c r="AD115" s="12"/>
      <c r="AE115" s="85">
        <v>3</v>
      </c>
      <c r="AF115" s="6" t="s">
        <v>394</v>
      </c>
    </row>
    <row r="116" spans="1:37" s="2" customFormat="1" ht="11.25" customHeight="1">
      <c r="A116" s="95" t="s">
        <v>166</v>
      </c>
      <c r="B116" s="1" t="s">
        <v>169</v>
      </c>
      <c r="C116" s="1" t="s">
        <v>170</v>
      </c>
      <c r="D116" s="4" t="s">
        <v>387</v>
      </c>
      <c r="E116" s="4" t="s">
        <v>624</v>
      </c>
      <c r="F116" s="4" t="s">
        <v>625</v>
      </c>
      <c r="G116" s="124">
        <v>1</v>
      </c>
      <c r="H116" s="5"/>
      <c r="I116" s="5"/>
      <c r="J116" s="5"/>
      <c r="K116" s="5" t="s">
        <v>388</v>
      </c>
      <c r="L116" s="5"/>
      <c r="M116" s="5"/>
      <c r="N116" s="5"/>
      <c r="O116" s="5"/>
      <c r="P116" s="5"/>
      <c r="Q116" s="5"/>
      <c r="R116" s="5" t="s">
        <v>388</v>
      </c>
      <c r="S116" s="5"/>
      <c r="T116" s="5" t="s">
        <v>388</v>
      </c>
      <c r="U116" s="5"/>
      <c r="V116" s="5"/>
      <c r="W116" s="5" t="s">
        <v>388</v>
      </c>
      <c r="X116" s="5" t="s">
        <v>388</v>
      </c>
      <c r="Y116" s="5" t="s">
        <v>388</v>
      </c>
      <c r="Z116" s="5" t="s">
        <v>388</v>
      </c>
      <c r="AA116" s="5" t="s">
        <v>388</v>
      </c>
      <c r="AB116" s="5"/>
      <c r="AC116" s="12" t="s">
        <v>388</v>
      </c>
      <c r="AD116" s="8"/>
      <c r="AE116" s="124">
        <v>3</v>
      </c>
      <c r="AF116" s="5" t="s">
        <v>394</v>
      </c>
      <c r="AG116" s="1"/>
      <c r="AH116" s="1"/>
      <c r="AI116" s="1"/>
      <c r="AJ116" s="1"/>
    </row>
    <row r="117" spans="1:37" ht="11.25" customHeight="1">
      <c r="A117" s="95" t="s">
        <v>166</v>
      </c>
      <c r="B117" s="1" t="s">
        <v>316</v>
      </c>
      <c r="C117" s="1" t="s">
        <v>317</v>
      </c>
      <c r="D117" s="4" t="s">
        <v>387</v>
      </c>
      <c r="E117" s="4"/>
      <c r="F117" s="4"/>
      <c r="G117" s="124">
        <v>1</v>
      </c>
      <c r="AB117" s="5"/>
      <c r="AC117" s="8" t="s">
        <v>388</v>
      </c>
      <c r="AD117" s="8"/>
      <c r="AE117" s="124">
        <v>3</v>
      </c>
      <c r="AF117" s="5" t="s">
        <v>389</v>
      </c>
      <c r="AI117" s="1"/>
      <c r="AK117" s="2"/>
    </row>
    <row r="118" spans="1:37" ht="11.25" customHeight="1">
      <c r="A118" s="95" t="s">
        <v>318</v>
      </c>
      <c r="B118" s="1" t="s">
        <v>319</v>
      </c>
      <c r="C118" s="1" t="s">
        <v>320</v>
      </c>
      <c r="D118" s="4" t="s">
        <v>387</v>
      </c>
      <c r="E118" s="4"/>
      <c r="F118" s="4"/>
      <c r="G118" s="124">
        <v>1</v>
      </c>
      <c r="AB118" s="5"/>
      <c r="AC118" s="8" t="s">
        <v>388</v>
      </c>
      <c r="AD118" s="8"/>
      <c r="AE118" s="124">
        <v>1</v>
      </c>
      <c r="AF118" s="5" t="s">
        <v>389</v>
      </c>
      <c r="AI118" s="1"/>
      <c r="AK118" s="2"/>
    </row>
    <row r="119" spans="1:37" ht="11.25" customHeight="1">
      <c r="A119" s="95" t="s">
        <v>511</v>
      </c>
      <c r="B119" s="1" t="s">
        <v>591</v>
      </c>
      <c r="C119" s="1" t="s">
        <v>592</v>
      </c>
      <c r="D119" s="4" t="s">
        <v>387</v>
      </c>
      <c r="E119" s="4" t="s">
        <v>626</v>
      </c>
      <c r="F119" s="4"/>
      <c r="G119" s="85">
        <v>1</v>
      </c>
      <c r="J119" s="5" t="s">
        <v>623</v>
      </c>
      <c r="AB119" s="5"/>
      <c r="AC119" s="8" t="s">
        <v>623</v>
      </c>
      <c r="AD119" s="8"/>
      <c r="AE119" s="124">
        <v>2</v>
      </c>
      <c r="AF119" s="5" t="s">
        <v>394</v>
      </c>
      <c r="AG119" s="1" t="s">
        <v>590</v>
      </c>
      <c r="AH119" s="2"/>
      <c r="AI119" s="2"/>
      <c r="AK119" s="2"/>
    </row>
    <row r="120" spans="1:37" ht="11.25" customHeight="1">
      <c r="A120" s="95" t="s">
        <v>593</v>
      </c>
      <c r="B120" s="1" t="s">
        <v>594</v>
      </c>
      <c r="C120" s="1" t="s">
        <v>595</v>
      </c>
      <c r="D120" s="4" t="s">
        <v>387</v>
      </c>
      <c r="E120" s="4" t="s">
        <v>626</v>
      </c>
      <c r="F120" s="4"/>
      <c r="G120" s="85">
        <v>1</v>
      </c>
      <c r="AB120" s="5"/>
      <c r="AC120" s="8"/>
      <c r="AD120" s="8"/>
      <c r="AE120" s="124">
        <v>2</v>
      </c>
      <c r="AF120" s="5" t="s">
        <v>394</v>
      </c>
      <c r="AG120" s="1" t="s">
        <v>596</v>
      </c>
      <c r="AH120" s="2"/>
      <c r="AI120" s="2"/>
      <c r="AK120" s="2"/>
    </row>
    <row r="121" spans="1:37" ht="11.25" customHeight="1">
      <c r="A121" s="95" t="s">
        <v>325</v>
      </c>
      <c r="B121" s="1" t="s">
        <v>326</v>
      </c>
      <c r="C121" s="1" t="s">
        <v>327</v>
      </c>
      <c r="D121" s="4" t="s">
        <v>387</v>
      </c>
      <c r="E121" s="4"/>
      <c r="F121" s="4"/>
      <c r="G121" s="124">
        <v>1</v>
      </c>
      <c r="W121" s="5" t="s">
        <v>388</v>
      </c>
      <c r="AB121" s="5"/>
      <c r="AC121" s="8" t="s">
        <v>388</v>
      </c>
      <c r="AD121" s="8"/>
      <c r="AE121" s="124">
        <v>3</v>
      </c>
      <c r="AF121" s="5" t="s">
        <v>389</v>
      </c>
      <c r="AI121" s="1"/>
      <c r="AK121" s="2"/>
    </row>
    <row r="122" spans="1:37" s="51" customFormat="1" ht="11.25" customHeight="1">
      <c r="A122" s="95" t="s">
        <v>547</v>
      </c>
      <c r="B122" s="2" t="s">
        <v>548</v>
      </c>
      <c r="C122" s="2" t="s">
        <v>549</v>
      </c>
      <c r="D122" s="34" t="s">
        <v>387</v>
      </c>
      <c r="E122" s="34" t="s">
        <v>626</v>
      </c>
      <c r="F122" s="34"/>
      <c r="G122" s="85">
        <v>1</v>
      </c>
      <c r="H122" s="6"/>
      <c r="I122" s="6"/>
      <c r="J122" s="6"/>
      <c r="K122" s="6"/>
      <c r="L122" s="6"/>
      <c r="M122" s="6"/>
      <c r="N122" s="6"/>
      <c r="O122" s="6"/>
      <c r="P122" s="6"/>
      <c r="Q122" s="6"/>
      <c r="R122" s="6"/>
      <c r="S122" s="6"/>
      <c r="T122" s="6"/>
      <c r="U122" s="6"/>
      <c r="V122" s="6"/>
      <c r="W122" s="6"/>
      <c r="X122" s="6"/>
      <c r="Y122" s="6"/>
      <c r="Z122" s="6"/>
      <c r="AA122" s="6"/>
      <c r="AB122" s="6"/>
      <c r="AC122" s="12"/>
      <c r="AD122" s="12"/>
      <c r="AE122" s="124">
        <v>2</v>
      </c>
      <c r="AF122" s="5" t="s">
        <v>394</v>
      </c>
      <c r="AG122" s="1" t="s">
        <v>550</v>
      </c>
      <c r="AH122" s="2"/>
      <c r="AI122" s="2"/>
      <c r="AJ122" s="2"/>
      <c r="AK122" s="2"/>
    </row>
    <row r="123" spans="1:37" s="51" customFormat="1" ht="11.25" customHeight="1">
      <c r="A123" s="95" t="s">
        <v>334</v>
      </c>
      <c r="B123" s="1" t="s">
        <v>335</v>
      </c>
      <c r="C123" s="1" t="s">
        <v>336</v>
      </c>
      <c r="D123" s="4" t="s">
        <v>387</v>
      </c>
      <c r="E123" s="4"/>
      <c r="F123" s="4"/>
      <c r="G123" s="124">
        <v>1</v>
      </c>
      <c r="H123" s="5"/>
      <c r="I123" s="5"/>
      <c r="J123" s="5"/>
      <c r="K123" s="5"/>
      <c r="L123" s="5"/>
      <c r="M123" s="5"/>
      <c r="N123" s="5"/>
      <c r="O123" s="5"/>
      <c r="P123" s="5"/>
      <c r="Q123" s="5"/>
      <c r="R123" s="5"/>
      <c r="S123" s="5"/>
      <c r="T123" s="5"/>
      <c r="U123" s="5"/>
      <c r="V123" s="5"/>
      <c r="W123" s="5"/>
      <c r="X123" s="5"/>
      <c r="Y123" s="5"/>
      <c r="Z123" s="5"/>
      <c r="AA123" s="5"/>
      <c r="AB123" s="5" t="s">
        <v>388</v>
      </c>
      <c r="AC123" s="8" t="s">
        <v>388</v>
      </c>
      <c r="AD123" s="8"/>
      <c r="AE123" s="124">
        <v>3</v>
      </c>
      <c r="AF123" s="5" t="s">
        <v>389</v>
      </c>
      <c r="AG123" s="1"/>
      <c r="AH123" s="1"/>
      <c r="AI123" s="1"/>
      <c r="AJ123" s="1"/>
      <c r="AK123" s="2"/>
    </row>
    <row r="124" spans="1:37" s="51" customFormat="1" ht="11.25" customHeight="1">
      <c r="A124" s="95" t="s">
        <v>711</v>
      </c>
      <c r="B124" s="2" t="s">
        <v>709</v>
      </c>
      <c r="C124" s="2" t="s">
        <v>710</v>
      </c>
      <c r="D124" s="34" t="s">
        <v>387</v>
      </c>
      <c r="E124" s="34"/>
      <c r="F124" s="34"/>
      <c r="G124" s="85">
        <v>1</v>
      </c>
      <c r="H124" s="6"/>
      <c r="I124" s="6"/>
      <c r="J124" s="6"/>
      <c r="K124" s="6" t="s">
        <v>388</v>
      </c>
      <c r="L124" s="6"/>
      <c r="M124" s="6" t="s">
        <v>388</v>
      </c>
      <c r="N124" s="6"/>
      <c r="O124" s="6" t="s">
        <v>388</v>
      </c>
      <c r="P124" s="6"/>
      <c r="Q124" s="6"/>
      <c r="R124" s="6" t="s">
        <v>388</v>
      </c>
      <c r="S124" s="6"/>
      <c r="T124" s="6"/>
      <c r="U124" s="6"/>
      <c r="V124" s="6" t="s">
        <v>388</v>
      </c>
      <c r="W124" s="6" t="s">
        <v>388</v>
      </c>
      <c r="X124" s="6" t="s">
        <v>388</v>
      </c>
      <c r="Y124" s="6"/>
      <c r="Z124" s="6" t="s">
        <v>388</v>
      </c>
      <c r="AA124" s="6"/>
      <c r="AB124" s="6"/>
      <c r="AC124" s="6" t="s">
        <v>388</v>
      </c>
      <c r="AD124" s="6"/>
      <c r="AE124" s="85">
        <v>3</v>
      </c>
      <c r="AF124" s="6" t="s">
        <v>389</v>
      </c>
      <c r="AG124" s="2" t="s">
        <v>712</v>
      </c>
      <c r="AH124" s="2"/>
      <c r="AI124" s="2"/>
      <c r="AJ124" s="2"/>
      <c r="AK124" s="2"/>
    </row>
    <row r="125" spans="1:37" s="51" customFormat="1" ht="11.25" customHeight="1">
      <c r="A125" s="95" t="s">
        <v>178</v>
      </c>
      <c r="B125" s="2" t="s">
        <v>181</v>
      </c>
      <c r="C125" s="1" t="s">
        <v>182</v>
      </c>
      <c r="D125" s="4" t="s">
        <v>387</v>
      </c>
      <c r="E125" s="4" t="s">
        <v>624</v>
      </c>
      <c r="F125" s="4" t="s">
        <v>625</v>
      </c>
      <c r="G125" s="124">
        <v>1</v>
      </c>
      <c r="H125" s="5"/>
      <c r="I125" s="5"/>
      <c r="J125" s="5"/>
      <c r="K125" s="5"/>
      <c r="L125" s="5"/>
      <c r="M125" s="5" t="s">
        <v>388</v>
      </c>
      <c r="N125" s="5"/>
      <c r="O125" s="5"/>
      <c r="P125" s="5"/>
      <c r="Q125" s="5"/>
      <c r="R125" s="5"/>
      <c r="S125" s="5"/>
      <c r="T125" s="5" t="s">
        <v>388</v>
      </c>
      <c r="U125" s="5"/>
      <c r="V125" s="5" t="s">
        <v>388</v>
      </c>
      <c r="W125" s="5"/>
      <c r="X125" s="5" t="s">
        <v>388</v>
      </c>
      <c r="Y125" s="5" t="s">
        <v>388</v>
      </c>
      <c r="Z125" s="5" t="s">
        <v>388</v>
      </c>
      <c r="AA125" s="5" t="s">
        <v>388</v>
      </c>
      <c r="AB125" s="5" t="s">
        <v>388</v>
      </c>
      <c r="AC125" s="8"/>
      <c r="AD125" s="8"/>
      <c r="AE125" s="124">
        <v>3</v>
      </c>
      <c r="AF125" s="5" t="s">
        <v>394</v>
      </c>
      <c r="AG125" s="1"/>
      <c r="AH125" s="1"/>
      <c r="AI125" s="1"/>
      <c r="AJ125" s="1"/>
      <c r="AK125" s="2"/>
    </row>
    <row r="126" spans="1:37" s="51" customFormat="1" ht="11.25" customHeight="1">
      <c r="A126" s="95" t="s">
        <v>178</v>
      </c>
      <c r="B126" s="2" t="s">
        <v>179</v>
      </c>
      <c r="C126" s="3" t="s">
        <v>180</v>
      </c>
      <c r="D126" s="13" t="s">
        <v>387</v>
      </c>
      <c r="E126" s="13" t="s">
        <v>624</v>
      </c>
      <c r="F126" s="13" t="s">
        <v>625</v>
      </c>
      <c r="G126" s="124">
        <v>1</v>
      </c>
      <c r="H126" s="5"/>
      <c r="I126" s="5"/>
      <c r="J126" s="5"/>
      <c r="K126" s="6" t="s">
        <v>388</v>
      </c>
      <c r="L126" s="5"/>
      <c r="M126" s="5"/>
      <c r="N126" s="5"/>
      <c r="O126" s="5"/>
      <c r="P126" s="5"/>
      <c r="Q126" s="5"/>
      <c r="R126" s="5"/>
      <c r="S126" s="5"/>
      <c r="T126" s="5" t="s">
        <v>388</v>
      </c>
      <c r="U126" s="5"/>
      <c r="V126" s="5"/>
      <c r="W126" s="5"/>
      <c r="X126" s="5"/>
      <c r="Y126" s="5" t="s">
        <v>388</v>
      </c>
      <c r="Z126" s="5"/>
      <c r="AA126" s="5" t="s">
        <v>388</v>
      </c>
      <c r="AB126" s="5" t="s">
        <v>388</v>
      </c>
      <c r="AC126" s="8"/>
      <c r="AD126" s="8"/>
      <c r="AE126" s="124">
        <v>3</v>
      </c>
      <c r="AF126" s="5" t="s">
        <v>394</v>
      </c>
      <c r="AG126" s="1"/>
      <c r="AH126" s="1"/>
      <c r="AI126" s="1"/>
      <c r="AJ126" s="1"/>
      <c r="AK126" s="2"/>
    </row>
    <row r="127" spans="1:37" s="51" customFormat="1" ht="11.25" customHeight="1">
      <c r="A127" s="95" t="s">
        <v>346</v>
      </c>
      <c r="B127" s="1" t="s">
        <v>347</v>
      </c>
      <c r="C127" s="1" t="s">
        <v>348</v>
      </c>
      <c r="D127" s="4" t="s">
        <v>387</v>
      </c>
      <c r="E127" s="4"/>
      <c r="F127" s="4"/>
      <c r="G127" s="124">
        <v>1</v>
      </c>
      <c r="H127" s="5"/>
      <c r="I127" s="5"/>
      <c r="J127" s="5"/>
      <c r="K127" s="5"/>
      <c r="L127" s="5"/>
      <c r="M127" s="5"/>
      <c r="N127" s="5"/>
      <c r="O127" s="5"/>
      <c r="P127" s="5"/>
      <c r="Q127" s="5"/>
      <c r="R127" s="5"/>
      <c r="S127" s="5"/>
      <c r="T127" s="5"/>
      <c r="U127" s="5"/>
      <c r="V127" s="5" t="s">
        <v>388</v>
      </c>
      <c r="W127" s="5" t="s">
        <v>388</v>
      </c>
      <c r="X127" s="5"/>
      <c r="Y127" s="5" t="s">
        <v>388</v>
      </c>
      <c r="Z127" s="5"/>
      <c r="AA127" s="5"/>
      <c r="AB127" s="5"/>
      <c r="AC127" s="8" t="s">
        <v>388</v>
      </c>
      <c r="AD127" s="8"/>
      <c r="AE127" s="124">
        <v>3</v>
      </c>
      <c r="AF127" s="5" t="s">
        <v>389</v>
      </c>
      <c r="AG127" s="1"/>
      <c r="AH127" s="1"/>
      <c r="AI127" s="1"/>
      <c r="AJ127" s="1"/>
      <c r="AK127" s="2"/>
    </row>
    <row r="128" spans="1:37" ht="11.25" customHeight="1">
      <c r="A128" s="95" t="s">
        <v>407</v>
      </c>
      <c r="B128" s="51" t="s">
        <v>408</v>
      </c>
      <c r="C128" s="51" t="s">
        <v>409</v>
      </c>
      <c r="D128" s="56" t="s">
        <v>387</v>
      </c>
      <c r="E128" s="56" t="s">
        <v>626</v>
      </c>
      <c r="F128" s="56"/>
      <c r="G128" s="126">
        <v>1</v>
      </c>
      <c r="H128" s="54"/>
      <c r="I128" s="54"/>
      <c r="J128" s="54"/>
      <c r="K128" s="54"/>
      <c r="L128" s="54"/>
      <c r="M128" s="54"/>
      <c r="N128" s="54"/>
      <c r="O128" s="54"/>
      <c r="P128" s="54"/>
      <c r="Q128" s="54"/>
      <c r="R128" s="54"/>
      <c r="S128" s="54"/>
      <c r="T128" s="54"/>
      <c r="U128" s="54"/>
      <c r="V128" s="54"/>
      <c r="W128" s="54"/>
      <c r="X128" s="54"/>
      <c r="Y128" s="54"/>
      <c r="Z128" s="54"/>
      <c r="AA128" s="54"/>
      <c r="AB128" s="54"/>
      <c r="AC128" s="55"/>
      <c r="AD128" s="55"/>
      <c r="AE128" s="126"/>
      <c r="AF128" s="54" t="s">
        <v>389</v>
      </c>
      <c r="AG128" s="51" t="s">
        <v>612</v>
      </c>
      <c r="AH128" s="51"/>
      <c r="AI128" s="51"/>
      <c r="AJ128" s="51"/>
      <c r="AK128" s="51"/>
    </row>
    <row r="129" spans="1:37" ht="11.25" customHeight="1">
      <c r="A129" s="95" t="s">
        <v>349</v>
      </c>
      <c r="B129" s="1" t="s">
        <v>350</v>
      </c>
      <c r="C129" s="1" t="s">
        <v>351</v>
      </c>
      <c r="D129" s="4" t="s">
        <v>387</v>
      </c>
      <c r="E129" s="4"/>
      <c r="F129" s="4"/>
      <c r="G129" s="124">
        <v>1</v>
      </c>
      <c r="M129" s="5" t="s">
        <v>388</v>
      </c>
      <c r="O129" s="5" t="s">
        <v>388</v>
      </c>
      <c r="T129" s="5" t="s">
        <v>388</v>
      </c>
      <c r="AA129" s="5" t="s">
        <v>388</v>
      </c>
      <c r="AB129" s="5"/>
      <c r="AC129" s="8"/>
      <c r="AD129" s="8"/>
      <c r="AE129" s="124">
        <v>3</v>
      </c>
      <c r="AF129" s="5" t="s">
        <v>389</v>
      </c>
      <c r="AI129" s="1"/>
      <c r="AK129" s="2"/>
    </row>
    <row r="130" spans="1:37" ht="11.25" customHeight="1">
      <c r="A130" s="95" t="s">
        <v>425</v>
      </c>
      <c r="B130" s="1" t="s">
        <v>426</v>
      </c>
      <c r="C130" s="1" t="s">
        <v>427</v>
      </c>
      <c r="D130" s="4" t="s">
        <v>387</v>
      </c>
      <c r="E130" s="4" t="s">
        <v>626</v>
      </c>
      <c r="F130" s="4"/>
      <c r="G130" s="124">
        <v>1</v>
      </c>
      <c r="I130" s="5" t="s">
        <v>388</v>
      </c>
      <c r="Q130" s="5" t="s">
        <v>623</v>
      </c>
      <c r="AB130" s="5"/>
      <c r="AC130" s="8"/>
      <c r="AD130" s="8"/>
      <c r="AE130" s="124">
        <v>4</v>
      </c>
      <c r="AF130" s="5" t="s">
        <v>394</v>
      </c>
      <c r="AG130" s="1" t="s">
        <v>613</v>
      </c>
      <c r="AH130" s="2"/>
      <c r="AI130" s="1"/>
      <c r="AK130" s="2"/>
    </row>
    <row r="131" spans="1:37" ht="11.25" customHeight="1">
      <c r="A131" s="1" t="s">
        <v>1405</v>
      </c>
      <c r="B131" s="2" t="s">
        <v>1407</v>
      </c>
      <c r="C131" s="3" t="s">
        <v>1406</v>
      </c>
      <c r="D131" s="13" t="s">
        <v>739</v>
      </c>
      <c r="E131" s="13"/>
      <c r="F131" s="13"/>
      <c r="G131" s="124">
        <v>1</v>
      </c>
      <c r="K131" s="5" t="s">
        <v>388</v>
      </c>
      <c r="AB131" s="5"/>
      <c r="AC131" s="8"/>
      <c r="AD131" s="8" t="s">
        <v>388</v>
      </c>
      <c r="AE131" s="124" t="s">
        <v>648</v>
      </c>
      <c r="AF131" s="1" t="s">
        <v>394</v>
      </c>
      <c r="AG131" s="1" t="s">
        <v>1408</v>
      </c>
      <c r="AI131" s="1"/>
      <c r="AJ131" s="1" t="s">
        <v>1409</v>
      </c>
      <c r="AK131" s="2"/>
    </row>
    <row r="132" spans="1:37" ht="11.25" customHeight="1">
      <c r="A132" s="1" t="s">
        <v>1091</v>
      </c>
      <c r="B132" s="2" t="s">
        <v>1421</v>
      </c>
      <c r="C132" s="2" t="s">
        <v>1420</v>
      </c>
      <c r="D132" s="143" t="s">
        <v>1306</v>
      </c>
      <c r="E132" s="142"/>
      <c r="F132" s="142"/>
      <c r="G132" s="87">
        <v>1</v>
      </c>
      <c r="H132" s="6"/>
      <c r="I132" s="6"/>
      <c r="J132" s="6"/>
      <c r="K132" s="6"/>
      <c r="L132" s="6"/>
      <c r="M132" s="6"/>
      <c r="O132" s="6"/>
      <c r="Q132" s="6"/>
      <c r="T132" s="5" t="s">
        <v>388</v>
      </c>
      <c r="AB132" s="5"/>
      <c r="AC132" s="12" t="s">
        <v>388</v>
      </c>
      <c r="AD132" s="8" t="s">
        <v>388</v>
      </c>
      <c r="AE132" s="124" t="s">
        <v>648</v>
      </c>
      <c r="AF132" s="2" t="s">
        <v>394</v>
      </c>
      <c r="AG132" s="2" t="s">
        <v>1422</v>
      </c>
      <c r="AH132" s="2"/>
      <c r="AI132" s="2" t="s">
        <v>1423</v>
      </c>
      <c r="AJ132" s="2"/>
      <c r="AK132" s="2"/>
    </row>
    <row r="133" spans="1:37" ht="11.25" customHeight="1">
      <c r="A133" s="95" t="s">
        <v>833</v>
      </c>
      <c r="B133" s="2" t="s">
        <v>834</v>
      </c>
      <c r="C133" s="2" t="s">
        <v>835</v>
      </c>
      <c r="D133" s="34" t="s">
        <v>739</v>
      </c>
      <c r="E133" s="34"/>
      <c r="F133" s="34"/>
      <c r="G133" s="85">
        <v>1</v>
      </c>
      <c r="H133" s="6"/>
      <c r="I133" s="6"/>
      <c r="J133" s="6"/>
      <c r="K133" s="6"/>
      <c r="L133" s="6"/>
      <c r="M133" s="6" t="s">
        <v>388</v>
      </c>
      <c r="N133" s="6" t="s">
        <v>388</v>
      </c>
      <c r="O133" s="6"/>
      <c r="P133" s="6"/>
      <c r="Q133" s="6"/>
      <c r="R133" s="6"/>
      <c r="S133" s="6"/>
      <c r="T133" s="6"/>
      <c r="U133" s="6" t="s">
        <v>388</v>
      </c>
      <c r="V133" s="6"/>
      <c r="W133" s="6"/>
      <c r="X133" s="6"/>
      <c r="Y133" s="6"/>
      <c r="Z133" s="6"/>
      <c r="AA133" s="6"/>
      <c r="AB133" s="6"/>
      <c r="AC133" s="12" t="s">
        <v>388</v>
      </c>
      <c r="AD133" s="12" t="s">
        <v>388</v>
      </c>
      <c r="AE133" s="85" t="s">
        <v>648</v>
      </c>
      <c r="AF133" s="6" t="s">
        <v>394</v>
      </c>
      <c r="AG133" s="2" t="s">
        <v>836</v>
      </c>
      <c r="AH133" s="2"/>
      <c r="AI133" s="2"/>
      <c r="AJ133" s="2" t="s">
        <v>837</v>
      </c>
      <c r="AK133" s="2"/>
    </row>
    <row r="134" spans="1:37" ht="11.25" customHeight="1">
      <c r="A134" s="95" t="s">
        <v>401</v>
      </c>
      <c r="B134" s="51" t="s">
        <v>402</v>
      </c>
      <c r="C134" s="52" t="s">
        <v>403</v>
      </c>
      <c r="D134" s="53" t="s">
        <v>387</v>
      </c>
      <c r="E134" s="53" t="s">
        <v>626</v>
      </c>
      <c r="F134" s="53"/>
      <c r="G134" s="126">
        <v>1</v>
      </c>
      <c r="H134" s="54"/>
      <c r="I134" s="54"/>
      <c r="J134" s="54"/>
      <c r="K134" s="54"/>
      <c r="L134" s="54"/>
      <c r="M134" s="54"/>
      <c r="N134" s="54"/>
      <c r="O134" s="54"/>
      <c r="P134" s="54"/>
      <c r="Q134" s="54"/>
      <c r="R134" s="54"/>
      <c r="S134" s="54"/>
      <c r="T134" s="54"/>
      <c r="U134" s="54"/>
      <c r="V134" s="54"/>
      <c r="W134" s="54"/>
      <c r="X134" s="54"/>
      <c r="Y134" s="54"/>
      <c r="Z134" s="54"/>
      <c r="AA134" s="54"/>
      <c r="AB134" s="54"/>
      <c r="AC134" s="55"/>
      <c r="AD134" s="55"/>
      <c r="AE134" s="126"/>
      <c r="AF134" s="54" t="s">
        <v>389</v>
      </c>
      <c r="AG134" s="51" t="s">
        <v>612</v>
      </c>
      <c r="AH134" s="51"/>
      <c r="AI134" s="51"/>
      <c r="AJ134" s="51"/>
      <c r="AK134" s="51"/>
    </row>
    <row r="135" spans="1:37" ht="11.25" customHeight="1">
      <c r="A135" s="95" t="s">
        <v>877</v>
      </c>
      <c r="B135" s="2" t="s">
        <v>878</v>
      </c>
      <c r="C135" s="2" t="s">
        <v>879</v>
      </c>
      <c r="D135" s="34" t="s">
        <v>739</v>
      </c>
      <c r="E135" s="34"/>
      <c r="F135" s="34"/>
      <c r="G135" s="85">
        <v>1</v>
      </c>
      <c r="H135" s="6"/>
      <c r="I135" s="6"/>
      <c r="J135" s="6"/>
      <c r="K135" s="6"/>
      <c r="L135" s="6"/>
      <c r="M135" s="6" t="s">
        <v>388</v>
      </c>
      <c r="N135" s="6" t="s">
        <v>388</v>
      </c>
      <c r="O135" s="6"/>
      <c r="P135" s="6"/>
      <c r="Q135" s="6"/>
      <c r="R135" s="6"/>
      <c r="S135" s="6"/>
      <c r="T135" s="6"/>
      <c r="U135" s="6" t="s">
        <v>388</v>
      </c>
      <c r="V135" s="6"/>
      <c r="W135" s="6"/>
      <c r="X135" s="6"/>
      <c r="Y135" s="6"/>
      <c r="Z135" s="6"/>
      <c r="AA135" s="6"/>
      <c r="AB135" s="6"/>
      <c r="AC135" s="12"/>
      <c r="AD135" s="12"/>
      <c r="AE135" s="85" t="s">
        <v>648</v>
      </c>
      <c r="AF135" s="6" t="s">
        <v>389</v>
      </c>
      <c r="AG135" s="2" t="s">
        <v>880</v>
      </c>
      <c r="AH135" s="2"/>
      <c r="AI135" s="2"/>
      <c r="AJ135" s="2" t="s">
        <v>763</v>
      </c>
      <c r="AK135" s="2"/>
    </row>
    <row r="136" spans="1:37" ht="11.25" customHeight="1">
      <c r="A136" s="95" t="s">
        <v>194</v>
      </c>
      <c r="B136" s="1" t="s">
        <v>195</v>
      </c>
      <c r="C136" s="1" t="s">
        <v>196</v>
      </c>
      <c r="D136" s="4" t="s">
        <v>387</v>
      </c>
      <c r="E136" s="4"/>
      <c r="F136" s="4"/>
      <c r="G136" s="124">
        <v>1</v>
      </c>
      <c r="V136" s="5" t="s">
        <v>388</v>
      </c>
      <c r="W136" s="5" t="s">
        <v>388</v>
      </c>
      <c r="Y136" s="5" t="s">
        <v>388</v>
      </c>
      <c r="Z136" s="5" t="s">
        <v>388</v>
      </c>
      <c r="AA136" s="5" t="s">
        <v>388</v>
      </c>
      <c r="AB136" s="5"/>
      <c r="AC136" s="8"/>
      <c r="AD136" s="8"/>
      <c r="AE136" s="124">
        <v>2</v>
      </c>
      <c r="AF136" s="5" t="s">
        <v>394</v>
      </c>
      <c r="AI136" s="1"/>
      <c r="AK136" s="2"/>
    </row>
    <row r="137" spans="1:37" ht="11.25" customHeight="1">
      <c r="A137" s="95" t="s">
        <v>197</v>
      </c>
      <c r="B137" s="2" t="s">
        <v>357</v>
      </c>
      <c r="C137" s="1" t="s">
        <v>358</v>
      </c>
      <c r="D137" s="4" t="s">
        <v>387</v>
      </c>
      <c r="E137" s="4"/>
      <c r="F137" s="4"/>
      <c r="G137" s="124">
        <v>1</v>
      </c>
      <c r="AB137" s="5"/>
      <c r="AC137" s="8" t="s">
        <v>388</v>
      </c>
      <c r="AD137" s="8"/>
      <c r="AE137" s="124">
        <v>3</v>
      </c>
      <c r="AF137" s="5" t="s">
        <v>389</v>
      </c>
      <c r="AI137" s="1"/>
      <c r="AK137" s="2"/>
    </row>
    <row r="138" spans="1:37" ht="11.25" customHeight="1">
      <c r="A138" s="95" t="s">
        <v>197</v>
      </c>
      <c r="B138" s="2" t="s">
        <v>198</v>
      </c>
      <c r="C138" s="1" t="s">
        <v>199</v>
      </c>
      <c r="D138" s="4" t="s">
        <v>387</v>
      </c>
      <c r="E138" s="4"/>
      <c r="F138" s="4"/>
      <c r="G138" s="124">
        <v>1</v>
      </c>
      <c r="AB138" s="5"/>
      <c r="AC138" s="8" t="s">
        <v>388</v>
      </c>
      <c r="AD138" s="8"/>
      <c r="AE138" s="124">
        <v>3</v>
      </c>
      <c r="AF138" s="5" t="s">
        <v>394</v>
      </c>
      <c r="AI138" s="1" t="s">
        <v>200</v>
      </c>
      <c r="AK138" s="2"/>
    </row>
    <row r="139" spans="1:37" ht="11.25" customHeight="1">
      <c r="A139" s="95" t="s">
        <v>667</v>
      </c>
      <c r="B139" s="2" t="s">
        <v>666</v>
      </c>
      <c r="C139" s="2" t="s">
        <v>665</v>
      </c>
      <c r="D139" s="34" t="s">
        <v>387</v>
      </c>
      <c r="E139" s="34"/>
      <c r="F139" s="34"/>
      <c r="G139" s="85">
        <v>1</v>
      </c>
      <c r="H139" s="6"/>
      <c r="I139" s="6"/>
      <c r="J139" s="6"/>
      <c r="K139" s="6"/>
      <c r="L139" s="6"/>
      <c r="M139" s="6" t="s">
        <v>388</v>
      </c>
      <c r="N139" s="6"/>
      <c r="O139" s="6"/>
      <c r="P139" s="6"/>
      <c r="Q139" s="6"/>
      <c r="R139" s="6"/>
      <c r="S139" s="6"/>
      <c r="T139" s="6"/>
      <c r="U139" s="6" t="s">
        <v>388</v>
      </c>
      <c r="V139" s="6"/>
      <c r="W139" s="6"/>
      <c r="X139" s="6"/>
      <c r="Y139" s="6"/>
      <c r="Z139" s="6"/>
      <c r="AA139" s="6"/>
      <c r="AB139" s="6"/>
      <c r="AC139" s="12"/>
      <c r="AD139" s="12"/>
      <c r="AE139" s="85" t="s">
        <v>668</v>
      </c>
      <c r="AF139" s="6" t="s">
        <v>389</v>
      </c>
      <c r="AG139" s="2" t="s">
        <v>669</v>
      </c>
      <c r="AH139" s="2"/>
      <c r="AI139" s="2"/>
      <c r="AJ139" s="2"/>
      <c r="AK139" s="2"/>
    </row>
    <row r="140" spans="1:37" ht="11.25" customHeight="1">
      <c r="A140" s="96" t="s">
        <v>1029</v>
      </c>
      <c r="B140" s="1" t="s">
        <v>1025</v>
      </c>
      <c r="C140" s="4" t="s">
        <v>1018</v>
      </c>
      <c r="D140" s="4" t="s">
        <v>739</v>
      </c>
      <c r="E140" s="4"/>
      <c r="F140" s="4"/>
      <c r="G140" s="124">
        <v>1</v>
      </c>
      <c r="AB140" s="5"/>
      <c r="AC140" s="8"/>
      <c r="AD140" s="8"/>
      <c r="AE140" s="125"/>
      <c r="AF140" s="8" t="s">
        <v>1022</v>
      </c>
      <c r="AG140" s="2" t="s">
        <v>1019</v>
      </c>
      <c r="AH140" s="2"/>
      <c r="AI140" s="1"/>
      <c r="AK140" s="2"/>
    </row>
    <row r="141" spans="1:37" ht="11.25" customHeight="1">
      <c r="A141" s="1" t="s">
        <v>1068</v>
      </c>
      <c r="B141" s="9" t="s">
        <v>1069</v>
      </c>
      <c r="C141" s="35" t="s">
        <v>1067</v>
      </c>
      <c r="D141" s="4" t="s">
        <v>739</v>
      </c>
      <c r="E141" s="35"/>
      <c r="F141" s="35"/>
      <c r="G141" s="124">
        <v>1</v>
      </c>
      <c r="K141" s="5" t="s">
        <v>388</v>
      </c>
      <c r="O141" s="6"/>
      <c r="Q141" s="6"/>
      <c r="T141" s="5" t="s">
        <v>388</v>
      </c>
      <c r="X141" s="5" t="s">
        <v>388</v>
      </c>
      <c r="Y141" s="5" t="s">
        <v>388</v>
      </c>
      <c r="Z141" s="5" t="s">
        <v>388</v>
      </c>
      <c r="AA141" s="5" t="s">
        <v>388</v>
      </c>
      <c r="AB141" s="5" t="s">
        <v>388</v>
      </c>
      <c r="AC141" s="8"/>
      <c r="AD141" s="8"/>
      <c r="AE141" s="85">
        <v>3</v>
      </c>
      <c r="AF141" s="8" t="s">
        <v>389</v>
      </c>
      <c r="AG141" s="2" t="s">
        <v>1070</v>
      </c>
      <c r="AH141" s="2"/>
      <c r="AI141" s="1"/>
      <c r="AK141" s="2"/>
    </row>
    <row r="142" spans="1:37" ht="11.25" customHeight="1">
      <c r="A142" s="95" t="s">
        <v>842</v>
      </c>
      <c r="B142" s="2" t="s">
        <v>843</v>
      </c>
      <c r="C142" s="2" t="s">
        <v>844</v>
      </c>
      <c r="D142" s="34" t="s">
        <v>739</v>
      </c>
      <c r="E142" s="34"/>
      <c r="F142" s="34"/>
      <c r="G142" s="85">
        <v>1</v>
      </c>
      <c r="H142" s="6"/>
      <c r="I142" s="6"/>
      <c r="J142" s="6" t="s">
        <v>388</v>
      </c>
      <c r="K142" s="6"/>
      <c r="L142" s="6"/>
      <c r="M142" s="6"/>
      <c r="N142" s="6" t="s">
        <v>388</v>
      </c>
      <c r="O142" s="6"/>
      <c r="P142" s="6"/>
      <c r="Q142" s="6"/>
      <c r="R142" s="6"/>
      <c r="S142" s="6"/>
      <c r="T142" s="6"/>
      <c r="U142" s="6"/>
      <c r="V142" s="6"/>
      <c r="W142" s="6"/>
      <c r="X142" s="6"/>
      <c r="Y142" s="6"/>
      <c r="Z142" s="6"/>
      <c r="AA142" s="6"/>
      <c r="AB142" s="6"/>
      <c r="AC142" s="12" t="s">
        <v>388</v>
      </c>
      <c r="AD142" s="12" t="s">
        <v>388</v>
      </c>
      <c r="AE142" s="85" t="s">
        <v>648</v>
      </c>
      <c r="AF142" s="6" t="s">
        <v>389</v>
      </c>
      <c r="AG142" s="2" t="s">
        <v>845</v>
      </c>
      <c r="AH142" s="2"/>
      <c r="AI142" s="2"/>
      <c r="AJ142" s="2" t="s">
        <v>832</v>
      </c>
      <c r="AK142" s="2"/>
    </row>
    <row r="143" spans="1:37" ht="11.25" customHeight="1">
      <c r="A143" s="95" t="s">
        <v>359</v>
      </c>
      <c r="B143" s="1" t="s">
        <v>1648</v>
      </c>
      <c r="C143" s="1" t="s">
        <v>360</v>
      </c>
      <c r="D143" s="4" t="s">
        <v>387</v>
      </c>
      <c r="E143" s="4"/>
      <c r="F143" s="4"/>
      <c r="G143" s="124">
        <v>1</v>
      </c>
      <c r="T143" s="5" t="s">
        <v>388</v>
      </c>
      <c r="AA143" s="5" t="s">
        <v>388</v>
      </c>
      <c r="AB143" s="5"/>
      <c r="AC143" s="8" t="s">
        <v>388</v>
      </c>
      <c r="AD143" s="8"/>
      <c r="AE143" s="124">
        <v>3</v>
      </c>
      <c r="AF143" s="5" t="s">
        <v>389</v>
      </c>
      <c r="AI143" s="1"/>
      <c r="AK143" s="2"/>
    </row>
    <row r="144" spans="1:37" ht="11.25" customHeight="1">
      <c r="A144" s="95" t="s">
        <v>413</v>
      </c>
      <c r="B144" s="51" t="s">
        <v>414</v>
      </c>
      <c r="C144" s="51" t="s">
        <v>415</v>
      </c>
      <c r="D144" s="56" t="s">
        <v>387</v>
      </c>
      <c r="E144" s="56" t="s">
        <v>626</v>
      </c>
      <c r="F144" s="56"/>
      <c r="G144" s="126">
        <v>1</v>
      </c>
      <c r="H144" s="54"/>
      <c r="I144" s="54"/>
      <c r="J144" s="54"/>
      <c r="K144" s="54"/>
      <c r="L144" s="54"/>
      <c r="M144" s="54"/>
      <c r="N144" s="54"/>
      <c r="O144" s="54"/>
      <c r="P144" s="54"/>
      <c r="Q144" s="54"/>
      <c r="R144" s="54"/>
      <c r="S144" s="54"/>
      <c r="T144" s="54"/>
      <c r="U144" s="54"/>
      <c r="V144" s="54"/>
      <c r="W144" s="54"/>
      <c r="X144" s="54"/>
      <c r="Y144" s="54"/>
      <c r="Z144" s="54"/>
      <c r="AA144" s="54"/>
      <c r="AB144" s="54"/>
      <c r="AC144" s="55"/>
      <c r="AD144" s="55"/>
      <c r="AE144" s="126"/>
      <c r="AF144" s="54" t="s">
        <v>389</v>
      </c>
      <c r="AG144" s="51" t="s">
        <v>612</v>
      </c>
      <c r="AH144" s="51"/>
      <c r="AI144" s="51"/>
      <c r="AJ144" s="51"/>
      <c r="AK144" s="51"/>
    </row>
    <row r="145" spans="1:37" ht="11.25" customHeight="1">
      <c r="A145" s="95" t="s">
        <v>363</v>
      </c>
      <c r="B145" s="1" t="s">
        <v>364</v>
      </c>
      <c r="C145" s="1" t="s">
        <v>365</v>
      </c>
      <c r="D145" s="4" t="s">
        <v>387</v>
      </c>
      <c r="E145" s="4"/>
      <c r="F145" s="4"/>
      <c r="G145" s="124">
        <v>1</v>
      </c>
      <c r="K145" s="5" t="s">
        <v>388</v>
      </c>
      <c r="T145" s="5" t="s">
        <v>388</v>
      </c>
      <c r="U145" s="5" t="s">
        <v>388</v>
      </c>
      <c r="AB145" s="5"/>
      <c r="AC145" s="8" t="s">
        <v>388</v>
      </c>
      <c r="AD145" s="8"/>
      <c r="AE145" s="124">
        <v>3</v>
      </c>
      <c r="AF145" s="5" t="s">
        <v>389</v>
      </c>
      <c r="AI145" s="1"/>
      <c r="AK145" s="2"/>
    </row>
    <row r="146" spans="1:37" ht="11.25" customHeight="1">
      <c r="A146" s="95" t="s">
        <v>566</v>
      </c>
      <c r="B146" s="94" t="s">
        <v>567</v>
      </c>
      <c r="C146" s="3" t="s">
        <v>568</v>
      </c>
      <c r="D146" s="13" t="s">
        <v>387</v>
      </c>
      <c r="E146" s="13" t="s">
        <v>626</v>
      </c>
      <c r="F146" s="13"/>
      <c r="G146" s="124">
        <v>1</v>
      </c>
      <c r="AB146" s="5"/>
      <c r="AC146" s="8"/>
      <c r="AD146" s="8"/>
      <c r="AE146" s="124">
        <v>2</v>
      </c>
      <c r="AF146" s="5" t="s">
        <v>394</v>
      </c>
      <c r="AG146" s="1" t="s">
        <v>491</v>
      </c>
      <c r="AH146" s="2"/>
      <c r="AI146" s="1"/>
      <c r="AK146" s="2"/>
    </row>
    <row r="147" spans="1:37" ht="11.25" customHeight="1">
      <c r="A147" s="1" t="s">
        <v>1073</v>
      </c>
      <c r="B147" s="1" t="s">
        <v>1071</v>
      </c>
      <c r="C147" s="4" t="s">
        <v>1072</v>
      </c>
      <c r="D147" s="4" t="s">
        <v>739</v>
      </c>
      <c r="E147" s="4"/>
      <c r="F147" s="4"/>
      <c r="G147" s="124">
        <v>1</v>
      </c>
      <c r="K147" s="5" t="s">
        <v>388</v>
      </c>
      <c r="R147" s="5" t="s">
        <v>388</v>
      </c>
      <c r="T147" s="5" t="s">
        <v>388</v>
      </c>
      <c r="W147" s="5" t="s">
        <v>388</v>
      </c>
      <c r="X147" s="5" t="s">
        <v>388</v>
      </c>
      <c r="Z147" s="5" t="s">
        <v>388</v>
      </c>
      <c r="AA147" s="5" t="s">
        <v>388</v>
      </c>
      <c r="AB147" s="5"/>
      <c r="AC147" s="8"/>
      <c r="AD147" s="8"/>
      <c r="AE147" s="85">
        <v>3</v>
      </c>
      <c r="AF147" s="8" t="s">
        <v>389</v>
      </c>
      <c r="AG147" s="2" t="s">
        <v>1074</v>
      </c>
      <c r="AH147" s="2"/>
      <c r="AI147" s="1"/>
      <c r="AK147" s="2"/>
    </row>
    <row r="148" spans="1:37" ht="11.25" customHeight="1">
      <c r="A148" s="95" t="s">
        <v>882</v>
      </c>
      <c r="B148" s="2" t="s">
        <v>881</v>
      </c>
      <c r="C148" s="2" t="s">
        <v>883</v>
      </c>
      <c r="D148" s="34" t="s">
        <v>739</v>
      </c>
      <c r="E148" s="34"/>
      <c r="F148" s="34"/>
      <c r="G148" s="85">
        <v>1</v>
      </c>
      <c r="H148" s="6"/>
      <c r="I148" s="6"/>
      <c r="J148" s="6"/>
      <c r="K148" s="6"/>
      <c r="L148" s="6"/>
      <c r="M148" s="6" t="s">
        <v>388</v>
      </c>
      <c r="N148" s="6" t="s">
        <v>388</v>
      </c>
      <c r="O148" s="6"/>
      <c r="P148" s="6"/>
      <c r="Q148" s="6"/>
      <c r="R148" s="6"/>
      <c r="S148" s="6"/>
      <c r="T148" s="6"/>
      <c r="U148" s="6" t="s">
        <v>388</v>
      </c>
      <c r="V148" s="6"/>
      <c r="W148" s="6"/>
      <c r="X148" s="6"/>
      <c r="Y148" s="6"/>
      <c r="Z148" s="6"/>
      <c r="AA148" s="6"/>
      <c r="AB148" s="6"/>
      <c r="AC148" s="12"/>
      <c r="AD148" s="12"/>
      <c r="AE148" s="85" t="s">
        <v>648</v>
      </c>
      <c r="AF148" s="6" t="s">
        <v>389</v>
      </c>
      <c r="AG148" s="2" t="s">
        <v>884</v>
      </c>
      <c r="AH148" s="2"/>
      <c r="AI148" s="2"/>
      <c r="AJ148" s="2" t="s">
        <v>763</v>
      </c>
      <c r="AK148" s="2"/>
    </row>
    <row r="149" spans="1:37" ht="11.25" customHeight="1">
      <c r="A149" s="95" t="s">
        <v>373</v>
      </c>
      <c r="B149" s="1" t="s">
        <v>374</v>
      </c>
      <c r="C149" s="1" t="s">
        <v>375</v>
      </c>
      <c r="D149" s="4" t="s">
        <v>387</v>
      </c>
      <c r="E149" s="4"/>
      <c r="F149" s="4"/>
      <c r="G149" s="124">
        <v>1</v>
      </c>
      <c r="T149" s="5" t="s">
        <v>388</v>
      </c>
      <c r="AA149" s="5" t="s">
        <v>388</v>
      </c>
      <c r="AB149" s="5"/>
      <c r="AC149" s="8" t="s">
        <v>388</v>
      </c>
      <c r="AD149" s="8"/>
      <c r="AE149" s="124">
        <v>3</v>
      </c>
      <c r="AF149" s="5" t="s">
        <v>394</v>
      </c>
      <c r="AI149" s="1"/>
      <c r="AK149" s="2"/>
    </row>
    <row r="150" spans="1:37" ht="11.25" customHeight="1">
      <c r="A150" s="95" t="s">
        <v>376</v>
      </c>
      <c r="B150" s="2" t="s">
        <v>377</v>
      </c>
      <c r="C150" s="2" t="s">
        <v>378</v>
      </c>
      <c r="D150" s="34" t="s">
        <v>387</v>
      </c>
      <c r="E150" s="34"/>
      <c r="F150" s="34"/>
      <c r="G150" s="85">
        <v>1</v>
      </c>
      <c r="H150" s="6"/>
      <c r="I150" s="6"/>
      <c r="J150" s="6"/>
      <c r="K150" s="6"/>
      <c r="L150" s="6"/>
      <c r="M150" s="6"/>
      <c r="N150" s="6"/>
      <c r="O150" s="6"/>
      <c r="P150" s="6"/>
      <c r="Q150" s="6"/>
      <c r="R150" s="6"/>
      <c r="S150" s="6"/>
      <c r="T150" s="6"/>
      <c r="U150" s="6"/>
      <c r="V150" s="6"/>
      <c r="W150" s="6"/>
      <c r="X150" s="6"/>
      <c r="Y150" s="6"/>
      <c r="Z150" s="6"/>
      <c r="AA150" s="6"/>
      <c r="AB150" s="6"/>
      <c r="AC150" s="12" t="s">
        <v>388</v>
      </c>
      <c r="AD150" s="12"/>
      <c r="AE150" s="85" t="s">
        <v>102</v>
      </c>
      <c r="AF150" s="6" t="s">
        <v>389</v>
      </c>
      <c r="AI150" s="1"/>
      <c r="AK150" s="2"/>
    </row>
    <row r="151" spans="1:37" s="2" customFormat="1" ht="11.25" customHeight="1">
      <c r="A151" s="95" t="s">
        <v>840</v>
      </c>
      <c r="B151" s="2" t="s">
        <v>838</v>
      </c>
      <c r="C151" s="2" t="s">
        <v>839</v>
      </c>
      <c r="D151" s="34" t="s">
        <v>739</v>
      </c>
      <c r="E151" s="34"/>
      <c r="F151" s="34"/>
      <c r="G151" s="85">
        <v>1</v>
      </c>
      <c r="H151" s="6" t="s">
        <v>388</v>
      </c>
      <c r="I151" s="6"/>
      <c r="J151" s="6"/>
      <c r="K151" s="6"/>
      <c r="L151" s="6"/>
      <c r="M151" s="6"/>
      <c r="N151" s="6" t="s">
        <v>388</v>
      </c>
      <c r="O151" s="6"/>
      <c r="P151" s="6"/>
      <c r="Q151" s="6"/>
      <c r="R151" s="6"/>
      <c r="S151" s="6"/>
      <c r="T151" s="6"/>
      <c r="U151" s="6"/>
      <c r="V151" s="6"/>
      <c r="W151" s="6"/>
      <c r="X151" s="6"/>
      <c r="Y151" s="6"/>
      <c r="Z151" s="6"/>
      <c r="AA151" s="6"/>
      <c r="AB151" s="6"/>
      <c r="AC151" s="12"/>
      <c r="AD151" s="12"/>
      <c r="AE151" s="85" t="s">
        <v>648</v>
      </c>
      <c r="AF151" s="6" t="s">
        <v>389</v>
      </c>
      <c r="AG151" s="2" t="s">
        <v>841</v>
      </c>
    </row>
    <row r="152" spans="1:37" ht="11.25" customHeight="1">
      <c r="A152" s="95" t="s">
        <v>210</v>
      </c>
      <c r="B152" s="2" t="s">
        <v>211</v>
      </c>
      <c r="C152" s="2" t="s">
        <v>212</v>
      </c>
      <c r="D152" s="34" t="s">
        <v>387</v>
      </c>
      <c r="E152" s="34"/>
      <c r="F152" s="34"/>
      <c r="G152" s="124">
        <v>1</v>
      </c>
      <c r="AA152" s="5" t="s">
        <v>388</v>
      </c>
      <c r="AB152" s="5" t="s">
        <v>388</v>
      </c>
      <c r="AC152" s="8"/>
      <c r="AD152" s="8"/>
      <c r="AE152" s="124">
        <v>3</v>
      </c>
      <c r="AF152" s="5" t="s">
        <v>394</v>
      </c>
      <c r="AI152" s="1"/>
      <c r="AK152" s="2"/>
    </row>
    <row r="153" spans="1:37" ht="11.25" customHeight="1">
      <c r="A153" s="95" t="s">
        <v>213</v>
      </c>
      <c r="B153" s="2" t="s">
        <v>214</v>
      </c>
      <c r="C153" s="2" t="s">
        <v>215</v>
      </c>
      <c r="D153" s="34" t="s">
        <v>387</v>
      </c>
      <c r="E153" s="34"/>
      <c r="F153" s="34"/>
      <c r="G153" s="124">
        <v>1</v>
      </c>
      <c r="J153" s="5" t="s">
        <v>388</v>
      </c>
      <c r="AB153" s="5"/>
      <c r="AC153" s="8" t="s">
        <v>388</v>
      </c>
      <c r="AD153" s="8"/>
      <c r="AE153" s="124">
        <v>3</v>
      </c>
      <c r="AF153" s="5" t="s">
        <v>394</v>
      </c>
      <c r="AI153" s="1" t="s">
        <v>216</v>
      </c>
      <c r="AK153" s="2"/>
    </row>
    <row r="154" spans="1:37" s="45" customFormat="1" ht="11.25" customHeight="1">
      <c r="A154" s="95" t="s">
        <v>856</v>
      </c>
      <c r="B154" s="2" t="s">
        <v>857</v>
      </c>
      <c r="C154" s="2" t="s">
        <v>858</v>
      </c>
      <c r="D154" s="34" t="s">
        <v>739</v>
      </c>
      <c r="E154" s="34"/>
      <c r="F154" s="34"/>
      <c r="G154" s="85">
        <v>1</v>
      </c>
      <c r="H154" s="6" t="s">
        <v>388</v>
      </c>
      <c r="I154" s="6"/>
      <c r="J154" s="6" t="s">
        <v>388</v>
      </c>
      <c r="K154" s="6" t="s">
        <v>388</v>
      </c>
      <c r="L154" s="6"/>
      <c r="M154" s="6" t="s">
        <v>388</v>
      </c>
      <c r="N154" s="6" t="s">
        <v>388</v>
      </c>
      <c r="O154" s="6"/>
      <c r="P154" s="6"/>
      <c r="Q154" s="6"/>
      <c r="R154" s="6"/>
      <c r="S154" s="6"/>
      <c r="T154" s="6"/>
      <c r="U154" s="6" t="s">
        <v>388</v>
      </c>
      <c r="V154" s="6"/>
      <c r="W154" s="6"/>
      <c r="X154" s="6"/>
      <c r="Y154" s="6"/>
      <c r="Z154" s="6"/>
      <c r="AA154" s="6"/>
      <c r="AB154" s="6"/>
      <c r="AC154" s="12"/>
      <c r="AD154" s="12"/>
      <c r="AE154" s="85" t="s">
        <v>648</v>
      </c>
      <c r="AF154" s="6" t="s">
        <v>389</v>
      </c>
      <c r="AG154" s="2" t="s">
        <v>859</v>
      </c>
      <c r="AH154" s="2"/>
      <c r="AI154" s="2"/>
      <c r="AJ154" s="2" t="s">
        <v>763</v>
      </c>
      <c r="AK154" s="2"/>
    </row>
    <row r="155" spans="1:37" ht="11.25" customHeight="1">
      <c r="A155" s="95" t="s">
        <v>515</v>
      </c>
      <c r="B155" s="1" t="s">
        <v>519</v>
      </c>
      <c r="C155" s="1" t="s">
        <v>520</v>
      </c>
      <c r="D155" s="4" t="s">
        <v>387</v>
      </c>
      <c r="E155" s="4" t="s">
        <v>626</v>
      </c>
      <c r="F155" s="4"/>
      <c r="G155" s="85">
        <v>1</v>
      </c>
      <c r="J155" s="5" t="s">
        <v>623</v>
      </c>
      <c r="AB155" s="5"/>
      <c r="AC155" s="8"/>
      <c r="AD155" s="8"/>
      <c r="AE155" s="124">
        <v>2</v>
      </c>
      <c r="AF155" s="5" t="s">
        <v>394</v>
      </c>
      <c r="AG155" s="1" t="s">
        <v>521</v>
      </c>
      <c r="AH155" s="2"/>
      <c r="AI155" s="2"/>
      <c r="AK155" s="2"/>
    </row>
    <row r="156" spans="1:37" ht="11.25" customHeight="1">
      <c r="A156" s="95" t="s">
        <v>515</v>
      </c>
      <c r="B156" s="2" t="s">
        <v>516</v>
      </c>
      <c r="C156" s="2" t="s">
        <v>517</v>
      </c>
      <c r="D156" s="34" t="s">
        <v>387</v>
      </c>
      <c r="E156" s="34" t="s">
        <v>626</v>
      </c>
      <c r="F156" s="34"/>
      <c r="G156" s="85">
        <v>1</v>
      </c>
      <c r="H156" s="6"/>
      <c r="I156" s="6"/>
      <c r="J156" s="6" t="s">
        <v>623</v>
      </c>
      <c r="K156" s="6"/>
      <c r="L156" s="6"/>
      <c r="M156" s="6"/>
      <c r="N156" s="6"/>
      <c r="O156" s="6"/>
      <c r="P156" s="6"/>
      <c r="Q156" s="6"/>
      <c r="R156" s="6"/>
      <c r="S156" s="6"/>
      <c r="T156" s="6"/>
      <c r="U156" s="6"/>
      <c r="V156" s="6"/>
      <c r="W156" s="6"/>
      <c r="X156" s="6"/>
      <c r="Y156" s="6"/>
      <c r="Z156" s="6"/>
      <c r="AA156" s="6"/>
      <c r="AB156" s="6"/>
      <c r="AC156" s="6"/>
      <c r="AD156" s="6"/>
      <c r="AE156" s="124">
        <v>2</v>
      </c>
      <c r="AF156" s="5" t="s">
        <v>394</v>
      </c>
      <c r="AG156" s="1" t="s">
        <v>518</v>
      </c>
      <c r="AH156" s="2"/>
      <c r="AI156" s="2"/>
      <c r="AJ156" s="2"/>
      <c r="AK156" s="2"/>
    </row>
    <row r="157" spans="1:37" ht="11.25" customHeight="1">
      <c r="A157" s="95" t="s">
        <v>706</v>
      </c>
      <c r="B157" s="2" t="s">
        <v>707</v>
      </c>
      <c r="C157" s="2" t="s">
        <v>708</v>
      </c>
      <c r="D157" s="34" t="s">
        <v>387</v>
      </c>
      <c r="E157" s="34"/>
      <c r="F157" s="34"/>
      <c r="G157" s="85">
        <v>1</v>
      </c>
      <c r="H157" s="6"/>
      <c r="I157" s="6"/>
      <c r="J157" s="6"/>
      <c r="K157" s="6"/>
      <c r="L157" s="6"/>
      <c r="M157" s="6" t="s">
        <v>388</v>
      </c>
      <c r="N157" s="6"/>
      <c r="O157" s="6" t="s">
        <v>388</v>
      </c>
      <c r="P157" s="6"/>
      <c r="Q157" s="6"/>
      <c r="R157" s="6"/>
      <c r="S157" s="6"/>
      <c r="T157" s="6"/>
      <c r="U157" s="6"/>
      <c r="V157" s="6" t="s">
        <v>388</v>
      </c>
      <c r="W157" s="6" t="s">
        <v>388</v>
      </c>
      <c r="X157" s="6"/>
      <c r="Y157" s="6"/>
      <c r="Z157" s="6"/>
      <c r="AA157" s="6"/>
      <c r="AB157" s="6"/>
      <c r="AC157" s="12"/>
      <c r="AD157" s="12"/>
      <c r="AE157" s="85" t="s">
        <v>648</v>
      </c>
      <c r="AF157" s="6" t="s">
        <v>389</v>
      </c>
      <c r="AG157" s="2"/>
      <c r="AH157" s="2"/>
      <c r="AI157" s="2"/>
      <c r="AJ157" s="2"/>
      <c r="AK157" s="2"/>
    </row>
    <row r="158" spans="1:37" ht="11.25" customHeight="1">
      <c r="A158" s="1" t="s">
        <v>1441</v>
      </c>
      <c r="B158" s="1" t="s">
        <v>1440</v>
      </c>
      <c r="C158" s="1" t="s">
        <v>1439</v>
      </c>
      <c r="D158" s="4" t="s">
        <v>1139</v>
      </c>
      <c r="E158" s="34"/>
      <c r="F158" s="34"/>
      <c r="G158" s="124">
        <v>2</v>
      </c>
      <c r="P158" s="5" t="s">
        <v>388</v>
      </c>
      <c r="R158" s="5" t="s">
        <v>388</v>
      </c>
      <c r="S158" s="5" t="s">
        <v>388</v>
      </c>
      <c r="AB158" s="5"/>
      <c r="AC158" s="8"/>
      <c r="AD158" s="8"/>
      <c r="AE158" s="124" t="s">
        <v>648</v>
      </c>
      <c r="AF158" s="1" t="s">
        <v>389</v>
      </c>
      <c r="AG158" s="1" t="s">
        <v>1442</v>
      </c>
      <c r="AI158" s="1"/>
      <c r="AK158" s="2"/>
    </row>
    <row r="159" spans="1:37" ht="11.25" customHeight="1">
      <c r="A159" s="95" t="s">
        <v>35</v>
      </c>
      <c r="B159" s="1" t="s">
        <v>36</v>
      </c>
      <c r="C159" s="1" t="s">
        <v>37</v>
      </c>
      <c r="D159" s="4" t="s">
        <v>387</v>
      </c>
      <c r="E159" s="4" t="s">
        <v>624</v>
      </c>
      <c r="F159" s="4" t="s">
        <v>625</v>
      </c>
      <c r="G159" s="124">
        <v>2</v>
      </c>
      <c r="O159" s="5" t="s">
        <v>388</v>
      </c>
      <c r="P159" s="5" t="s">
        <v>388</v>
      </c>
      <c r="S159" s="5" t="s">
        <v>388</v>
      </c>
      <c r="T159" s="5" t="s">
        <v>388</v>
      </c>
      <c r="V159" s="5" t="s">
        <v>388</v>
      </c>
      <c r="W159" s="5" t="s">
        <v>388</v>
      </c>
      <c r="X159" s="5" t="s">
        <v>388</v>
      </c>
      <c r="Y159" s="5" t="s">
        <v>388</v>
      </c>
      <c r="Z159" s="5" t="s">
        <v>388</v>
      </c>
      <c r="AA159" s="5" t="s">
        <v>388</v>
      </c>
      <c r="AB159" s="5"/>
      <c r="AC159" s="8" t="s">
        <v>388</v>
      </c>
      <c r="AD159" s="8"/>
      <c r="AE159" s="124">
        <v>3</v>
      </c>
      <c r="AF159" s="5" t="s">
        <v>394</v>
      </c>
      <c r="AI159" s="1" t="s">
        <v>38</v>
      </c>
      <c r="AK159" s="2"/>
    </row>
    <row r="160" spans="1:37" ht="11.25" customHeight="1">
      <c r="A160" s="95" t="s">
        <v>526</v>
      </c>
      <c r="B160" s="1" t="s">
        <v>584</v>
      </c>
      <c r="C160" s="1" t="s">
        <v>585</v>
      </c>
      <c r="D160" s="4" t="s">
        <v>387</v>
      </c>
      <c r="E160" s="4" t="s">
        <v>626</v>
      </c>
      <c r="F160" s="4"/>
      <c r="G160" s="85">
        <v>2</v>
      </c>
      <c r="J160" s="5" t="s">
        <v>623</v>
      </c>
      <c r="AB160" s="5"/>
      <c r="AC160" s="8"/>
      <c r="AD160" s="8"/>
      <c r="AE160" s="124">
        <v>2</v>
      </c>
      <c r="AF160" s="5" t="s">
        <v>394</v>
      </c>
      <c r="AG160" s="1" t="s">
        <v>586</v>
      </c>
      <c r="AH160" s="2"/>
      <c r="AI160" s="2"/>
      <c r="AK160" s="2"/>
    </row>
    <row r="161" spans="1:37" ht="11.25" customHeight="1">
      <c r="A161" s="95" t="s">
        <v>526</v>
      </c>
      <c r="B161" s="1" t="s">
        <v>527</v>
      </c>
      <c r="C161" s="1" t="s">
        <v>528</v>
      </c>
      <c r="D161" s="4" t="s">
        <v>387</v>
      </c>
      <c r="E161" s="4" t="s">
        <v>626</v>
      </c>
      <c r="F161" s="4"/>
      <c r="G161" s="85">
        <v>2</v>
      </c>
      <c r="J161" s="5" t="s">
        <v>623</v>
      </c>
      <c r="Q161" s="48"/>
      <c r="AB161" s="5"/>
      <c r="AC161" s="8"/>
      <c r="AD161" s="8"/>
      <c r="AE161" s="124">
        <v>2</v>
      </c>
      <c r="AF161" s="5" t="s">
        <v>394</v>
      </c>
      <c r="AG161" s="1" t="s">
        <v>529</v>
      </c>
      <c r="AH161" s="2"/>
      <c r="AI161" s="2"/>
      <c r="AK161" s="2"/>
    </row>
    <row r="162" spans="1:37" ht="11.25" customHeight="1">
      <c r="A162" s="95" t="s">
        <v>41</v>
      </c>
      <c r="B162" s="1" t="s">
        <v>44</v>
      </c>
      <c r="C162" s="1" t="s">
        <v>45</v>
      </c>
      <c r="D162" s="4" t="s">
        <v>387</v>
      </c>
      <c r="E162" s="4" t="s">
        <v>624</v>
      </c>
      <c r="F162" s="4" t="s">
        <v>625</v>
      </c>
      <c r="G162" s="124">
        <v>2</v>
      </c>
      <c r="J162" s="5" t="s">
        <v>388</v>
      </c>
      <c r="K162" s="5" t="s">
        <v>388</v>
      </c>
      <c r="T162" s="5" t="s">
        <v>388</v>
      </c>
      <c r="Y162" s="5" t="s">
        <v>388</v>
      </c>
      <c r="Z162" s="5" t="s">
        <v>388</v>
      </c>
      <c r="AA162" s="5" t="s">
        <v>388</v>
      </c>
      <c r="AB162" s="5" t="s">
        <v>388</v>
      </c>
      <c r="AC162" s="8"/>
      <c r="AD162" s="8" t="s">
        <v>388</v>
      </c>
      <c r="AE162" s="124">
        <v>1</v>
      </c>
      <c r="AF162" s="5" t="s">
        <v>394</v>
      </c>
      <c r="AI162" s="1"/>
      <c r="AK162" s="2"/>
    </row>
    <row r="163" spans="1:37" ht="11.25" customHeight="1">
      <c r="A163" s="95" t="s">
        <v>41</v>
      </c>
      <c r="B163" s="2" t="s">
        <v>42</v>
      </c>
      <c r="C163" s="2" t="s">
        <v>43</v>
      </c>
      <c r="D163" s="34" t="s">
        <v>387</v>
      </c>
      <c r="E163" s="34" t="s">
        <v>624</v>
      </c>
      <c r="F163" s="34" t="s">
        <v>625</v>
      </c>
      <c r="G163" s="85">
        <v>2</v>
      </c>
      <c r="H163" s="6"/>
      <c r="I163" s="6"/>
      <c r="J163" s="6" t="s">
        <v>388</v>
      </c>
      <c r="K163" s="6" t="s">
        <v>388</v>
      </c>
      <c r="L163" s="6"/>
      <c r="M163" s="6"/>
      <c r="N163" s="6"/>
      <c r="O163" s="6"/>
      <c r="P163" s="6"/>
      <c r="Q163" s="6"/>
      <c r="R163" s="6"/>
      <c r="S163" s="6"/>
      <c r="T163" s="6" t="s">
        <v>388</v>
      </c>
      <c r="U163" s="6"/>
      <c r="V163" s="6" t="s">
        <v>388</v>
      </c>
      <c r="W163" s="6"/>
      <c r="X163" s="6"/>
      <c r="Y163" s="6" t="s">
        <v>388</v>
      </c>
      <c r="Z163" s="6" t="s">
        <v>388</v>
      </c>
      <c r="AA163" s="6" t="s">
        <v>388</v>
      </c>
      <c r="AB163" s="6" t="s">
        <v>388</v>
      </c>
      <c r="AC163" s="12" t="s">
        <v>388</v>
      </c>
      <c r="AD163" s="12"/>
      <c r="AE163" s="85">
        <v>4</v>
      </c>
      <c r="AF163" s="6" t="s">
        <v>394</v>
      </c>
      <c r="AG163" s="2"/>
      <c r="AH163" s="2"/>
      <c r="AI163" s="2"/>
      <c r="AJ163" s="2"/>
      <c r="AK163" s="2"/>
    </row>
    <row r="164" spans="1:37" ht="11.25" customHeight="1">
      <c r="A164" s="95" t="s">
        <v>223</v>
      </c>
      <c r="B164" s="1" t="s">
        <v>224</v>
      </c>
      <c r="C164" s="1" t="s">
        <v>225</v>
      </c>
      <c r="D164" s="4" t="s">
        <v>387</v>
      </c>
      <c r="E164" s="4"/>
      <c r="F164" s="4"/>
      <c r="G164" s="124">
        <v>2</v>
      </c>
      <c r="I164" s="5" t="s">
        <v>388</v>
      </c>
      <c r="AA164" s="5" t="s">
        <v>388</v>
      </c>
      <c r="AB164" s="5" t="s">
        <v>388</v>
      </c>
      <c r="AC164" s="8" t="s">
        <v>388</v>
      </c>
      <c r="AD164" s="8"/>
      <c r="AE164" s="124">
        <v>6</v>
      </c>
      <c r="AF164" s="5" t="s">
        <v>389</v>
      </c>
      <c r="AI164" s="1"/>
      <c r="AK164" s="2"/>
    </row>
    <row r="165" spans="1:37" ht="11.25" customHeight="1">
      <c r="A165" s="95" t="s">
        <v>481</v>
      </c>
      <c r="B165" s="2" t="s">
        <v>492</v>
      </c>
      <c r="C165" s="1" t="s">
        <v>493</v>
      </c>
      <c r="D165" s="4" t="s">
        <v>387</v>
      </c>
      <c r="E165" s="4" t="s">
        <v>626</v>
      </c>
      <c r="F165" s="4"/>
      <c r="G165" s="124">
        <v>2</v>
      </c>
      <c r="I165" s="5" t="s">
        <v>388</v>
      </c>
      <c r="U165" s="5" t="s">
        <v>623</v>
      </c>
      <c r="AB165" s="5"/>
      <c r="AC165" s="8"/>
      <c r="AD165" s="8"/>
      <c r="AE165" s="124">
        <v>4</v>
      </c>
      <c r="AF165" s="5" t="s">
        <v>394</v>
      </c>
      <c r="AG165" s="1" t="s">
        <v>484</v>
      </c>
      <c r="AH165" s="2"/>
      <c r="AI165" s="1"/>
      <c r="AK165" s="2"/>
    </row>
    <row r="166" spans="1:37" ht="11.25" customHeight="1">
      <c r="A166" s="95" t="s">
        <v>481</v>
      </c>
      <c r="B166" s="2" t="s">
        <v>482</v>
      </c>
      <c r="C166" s="1" t="s">
        <v>483</v>
      </c>
      <c r="D166" s="4" t="s">
        <v>387</v>
      </c>
      <c r="E166" s="4" t="s">
        <v>626</v>
      </c>
      <c r="F166" s="4"/>
      <c r="G166" s="124">
        <v>2</v>
      </c>
      <c r="J166" s="5" t="s">
        <v>623</v>
      </c>
      <c r="AB166" s="5"/>
      <c r="AC166" s="8"/>
      <c r="AD166" s="8" t="s">
        <v>388</v>
      </c>
      <c r="AE166" s="124">
        <v>4</v>
      </c>
      <c r="AF166" s="5" t="s">
        <v>394</v>
      </c>
      <c r="AG166" s="1" t="s">
        <v>484</v>
      </c>
      <c r="AH166" s="2"/>
      <c r="AI166" s="1"/>
      <c r="AK166" s="2"/>
    </row>
    <row r="167" spans="1:37" ht="11.25" customHeight="1">
      <c r="A167" s="95" t="s">
        <v>226</v>
      </c>
      <c r="B167" s="1" t="s">
        <v>227</v>
      </c>
      <c r="C167" s="1" t="s">
        <v>228</v>
      </c>
      <c r="D167" s="4" t="s">
        <v>387</v>
      </c>
      <c r="E167" s="4"/>
      <c r="F167" s="4"/>
      <c r="G167" s="124">
        <v>2</v>
      </c>
      <c r="O167" s="5" t="s">
        <v>388</v>
      </c>
      <c r="V167" s="5" t="s">
        <v>388</v>
      </c>
      <c r="W167" s="5" t="s">
        <v>388</v>
      </c>
      <c r="X167" s="5" t="s">
        <v>388</v>
      </c>
      <c r="Y167" s="5" t="s">
        <v>388</v>
      </c>
      <c r="Z167" s="5" t="s">
        <v>388</v>
      </c>
      <c r="AA167" s="5" t="s">
        <v>388</v>
      </c>
      <c r="AB167" s="5"/>
      <c r="AC167" s="8" t="s">
        <v>388</v>
      </c>
      <c r="AD167" s="8"/>
      <c r="AE167" s="124">
        <v>3</v>
      </c>
      <c r="AF167" s="5" t="s">
        <v>389</v>
      </c>
      <c r="AI167" s="1"/>
      <c r="AK167" s="2"/>
    </row>
    <row r="168" spans="1:37" ht="11.25" customHeight="1">
      <c r="A168" s="95" t="s">
        <v>57</v>
      </c>
      <c r="B168" s="2" t="s">
        <v>640</v>
      </c>
      <c r="C168" s="2" t="s">
        <v>58</v>
      </c>
      <c r="D168" s="34" t="s">
        <v>387</v>
      </c>
      <c r="E168" s="34" t="s">
        <v>624</v>
      </c>
      <c r="F168" s="34" t="s">
        <v>625</v>
      </c>
      <c r="G168" s="85">
        <v>2</v>
      </c>
      <c r="H168" s="6"/>
      <c r="I168" s="6"/>
      <c r="J168" s="6"/>
      <c r="K168" s="6"/>
      <c r="L168" s="6"/>
      <c r="M168" s="6" t="s">
        <v>388</v>
      </c>
      <c r="N168" s="6"/>
      <c r="O168" s="6" t="s">
        <v>388</v>
      </c>
      <c r="P168" s="6"/>
      <c r="Q168" s="6"/>
      <c r="R168" s="6"/>
      <c r="S168" s="6"/>
      <c r="T168" s="6"/>
      <c r="U168" s="6"/>
      <c r="V168" s="6" t="s">
        <v>388</v>
      </c>
      <c r="W168" s="6" t="s">
        <v>388</v>
      </c>
      <c r="X168" s="6" t="s">
        <v>388</v>
      </c>
      <c r="Y168" s="6" t="s">
        <v>388</v>
      </c>
      <c r="Z168" s="6" t="s">
        <v>388</v>
      </c>
      <c r="AA168" s="6" t="s">
        <v>388</v>
      </c>
      <c r="AB168" s="6"/>
      <c r="AC168" s="12" t="s">
        <v>388</v>
      </c>
      <c r="AD168" s="12"/>
      <c r="AE168" s="85">
        <v>3</v>
      </c>
      <c r="AF168" s="6" t="s">
        <v>389</v>
      </c>
      <c r="AG168" s="2"/>
      <c r="AH168" s="2"/>
      <c r="AI168" s="2" t="s">
        <v>59</v>
      </c>
      <c r="AJ168" s="2"/>
      <c r="AK168" s="2"/>
    </row>
    <row r="169" spans="1:37" ht="11.25" customHeight="1">
      <c r="A169" s="95" t="s">
        <v>63</v>
      </c>
      <c r="B169" s="1" t="s">
        <v>238</v>
      </c>
      <c r="C169" s="1" t="s">
        <v>239</v>
      </c>
      <c r="D169" s="4" t="s">
        <v>387</v>
      </c>
      <c r="E169" s="4"/>
      <c r="F169" s="4"/>
      <c r="G169" s="124">
        <v>2</v>
      </c>
      <c r="M169" s="5" t="s">
        <v>388</v>
      </c>
      <c r="O169" s="5" t="s">
        <v>388</v>
      </c>
      <c r="P169" s="5" t="s">
        <v>388</v>
      </c>
      <c r="T169" s="5" t="s">
        <v>388</v>
      </c>
      <c r="AB169" s="5"/>
      <c r="AC169" s="8"/>
      <c r="AD169" s="8"/>
      <c r="AE169" s="124">
        <v>3</v>
      </c>
      <c r="AF169" s="5" t="s">
        <v>389</v>
      </c>
      <c r="AI169" s="1"/>
      <c r="AK169" s="2"/>
    </row>
    <row r="170" spans="1:37" ht="11.25" customHeight="1">
      <c r="A170" s="95" t="s">
        <v>63</v>
      </c>
      <c r="B170" s="2" t="s">
        <v>64</v>
      </c>
      <c r="C170" s="2" t="s">
        <v>65</v>
      </c>
      <c r="D170" s="34" t="s">
        <v>387</v>
      </c>
      <c r="E170" s="34" t="s">
        <v>624</v>
      </c>
      <c r="F170" s="34" t="s">
        <v>625</v>
      </c>
      <c r="G170" s="124">
        <v>2</v>
      </c>
      <c r="H170" s="6"/>
      <c r="I170" s="6"/>
      <c r="J170" s="6"/>
      <c r="K170" s="6" t="s">
        <v>388</v>
      </c>
      <c r="L170" s="6"/>
      <c r="M170" s="6" t="s">
        <v>388</v>
      </c>
      <c r="N170" s="6"/>
      <c r="O170" s="6"/>
      <c r="P170" s="6" t="s">
        <v>388</v>
      </c>
      <c r="Q170" s="6"/>
      <c r="R170" s="6" t="s">
        <v>388</v>
      </c>
      <c r="S170" s="6"/>
      <c r="T170" s="6"/>
      <c r="U170" s="6" t="s">
        <v>388</v>
      </c>
      <c r="V170" s="6"/>
      <c r="W170" s="6"/>
      <c r="X170" s="6" t="s">
        <v>388</v>
      </c>
      <c r="Y170" s="6"/>
      <c r="Z170" s="6"/>
      <c r="AA170" s="6"/>
      <c r="AB170" s="6"/>
      <c r="AC170" s="6"/>
      <c r="AD170" s="6"/>
      <c r="AE170" s="85">
        <v>3</v>
      </c>
      <c r="AF170" s="6" t="s">
        <v>394</v>
      </c>
      <c r="AH170" s="2"/>
      <c r="AI170" s="2"/>
      <c r="AK170" s="2"/>
    </row>
    <row r="171" spans="1:37" ht="11.25" customHeight="1">
      <c r="A171" s="95" t="s">
        <v>662</v>
      </c>
      <c r="B171" s="2" t="s">
        <v>658</v>
      </c>
      <c r="C171" s="2" t="s">
        <v>659</v>
      </c>
      <c r="D171" s="34" t="s">
        <v>387</v>
      </c>
      <c r="E171" s="34"/>
      <c r="F171" s="34"/>
      <c r="G171" s="85">
        <v>2</v>
      </c>
      <c r="H171" s="6" t="s">
        <v>388</v>
      </c>
      <c r="I171" s="6"/>
      <c r="J171" s="6" t="s">
        <v>388</v>
      </c>
      <c r="K171" s="6"/>
      <c r="L171" s="6"/>
      <c r="M171" s="6" t="s">
        <v>388</v>
      </c>
      <c r="N171" s="6" t="s">
        <v>388</v>
      </c>
      <c r="O171" s="6"/>
      <c r="P171" s="6"/>
      <c r="Q171" s="6"/>
      <c r="R171" s="6"/>
      <c r="S171" s="6"/>
      <c r="T171" s="6"/>
      <c r="U171" s="6"/>
      <c r="V171" s="6"/>
      <c r="W171" s="6"/>
      <c r="X171" s="6"/>
      <c r="Y171" s="6"/>
      <c r="Z171" s="6"/>
      <c r="AA171" s="6"/>
      <c r="AB171" s="6"/>
      <c r="AC171" s="12"/>
      <c r="AD171" s="12"/>
      <c r="AE171" s="87">
        <v>4</v>
      </c>
      <c r="AF171" s="6" t="s">
        <v>641</v>
      </c>
      <c r="AG171" s="2" t="s">
        <v>661</v>
      </c>
      <c r="AH171" s="2"/>
      <c r="AI171" s="2"/>
      <c r="AJ171" s="2"/>
      <c r="AK171" s="2"/>
    </row>
    <row r="172" spans="1:37" ht="11.25" customHeight="1">
      <c r="A172" s="95" t="s">
        <v>77</v>
      </c>
      <c r="B172" s="2" t="s">
        <v>78</v>
      </c>
      <c r="C172" s="1" t="s">
        <v>79</v>
      </c>
      <c r="D172" s="4" t="s">
        <v>387</v>
      </c>
      <c r="E172" s="4" t="s">
        <v>624</v>
      </c>
      <c r="F172" s="4" t="s">
        <v>625</v>
      </c>
      <c r="G172" s="124">
        <v>2</v>
      </c>
      <c r="K172" s="5" t="s">
        <v>388</v>
      </c>
      <c r="M172" s="5" t="s">
        <v>388</v>
      </c>
      <c r="N172" s="6" t="s">
        <v>388</v>
      </c>
      <c r="T172" s="5" t="s">
        <v>388</v>
      </c>
      <c r="Y172" s="5" t="s">
        <v>388</v>
      </c>
      <c r="Z172" s="5" t="s">
        <v>388</v>
      </c>
      <c r="AA172" s="5" t="s">
        <v>388</v>
      </c>
      <c r="AB172" s="5" t="s">
        <v>388</v>
      </c>
      <c r="AC172" s="8"/>
      <c r="AD172" s="8"/>
      <c r="AE172" s="124">
        <v>3</v>
      </c>
      <c r="AF172" s="5" t="s">
        <v>389</v>
      </c>
      <c r="AI172" s="1"/>
      <c r="AK172" s="2"/>
    </row>
    <row r="173" spans="1:37" ht="11.25" customHeight="1">
      <c r="A173" s="95" t="s">
        <v>80</v>
      </c>
      <c r="B173" s="2" t="s">
        <v>81</v>
      </c>
      <c r="C173" s="1" t="s">
        <v>82</v>
      </c>
      <c r="D173" s="4" t="s">
        <v>387</v>
      </c>
      <c r="E173" s="4" t="s">
        <v>624</v>
      </c>
      <c r="F173" s="4" t="s">
        <v>625</v>
      </c>
      <c r="G173" s="124">
        <v>2</v>
      </c>
      <c r="I173" s="6"/>
      <c r="L173" s="5" t="s">
        <v>388</v>
      </c>
      <c r="M173" s="5" t="s">
        <v>388</v>
      </c>
      <c r="T173" s="5" t="s">
        <v>388</v>
      </c>
      <c r="U173" s="5" t="s">
        <v>388</v>
      </c>
      <c r="Z173" s="5" t="s">
        <v>388</v>
      </c>
      <c r="AA173" s="5" t="s">
        <v>388</v>
      </c>
      <c r="AB173" s="5" t="s">
        <v>388</v>
      </c>
      <c r="AC173" s="8"/>
      <c r="AD173" s="8"/>
      <c r="AE173" s="124">
        <v>3</v>
      </c>
      <c r="AF173" s="5" t="s">
        <v>394</v>
      </c>
      <c r="AI173" s="1" t="s">
        <v>83</v>
      </c>
      <c r="AK173" s="2"/>
    </row>
    <row r="174" spans="1:37" ht="11.25" customHeight="1">
      <c r="A174" s="95" t="s">
        <v>80</v>
      </c>
      <c r="B174" s="1" t="s">
        <v>84</v>
      </c>
      <c r="C174" s="1" t="s">
        <v>85</v>
      </c>
      <c r="D174" s="4" t="s">
        <v>387</v>
      </c>
      <c r="E174" s="4" t="s">
        <v>624</v>
      </c>
      <c r="F174" s="4" t="s">
        <v>625</v>
      </c>
      <c r="G174" s="124">
        <v>2</v>
      </c>
      <c r="J174" s="6" t="s">
        <v>388</v>
      </c>
      <c r="L174" s="5" t="s">
        <v>388</v>
      </c>
      <c r="M174" s="5" t="s">
        <v>388</v>
      </c>
      <c r="T174" s="5" t="s">
        <v>388</v>
      </c>
      <c r="U174" s="5" t="s">
        <v>388</v>
      </c>
      <c r="Y174" s="50"/>
      <c r="Z174" s="50"/>
      <c r="AA174" s="50" t="s">
        <v>388</v>
      </c>
      <c r="AB174" s="50" t="s">
        <v>388</v>
      </c>
      <c r="AC174" s="8"/>
      <c r="AD174" s="8" t="s">
        <v>388</v>
      </c>
      <c r="AE174" s="124">
        <v>3</v>
      </c>
      <c r="AF174" s="5" t="s">
        <v>394</v>
      </c>
      <c r="AI174" s="1" t="s">
        <v>86</v>
      </c>
      <c r="AK174" s="2"/>
    </row>
    <row r="175" spans="1:37" ht="11.25" customHeight="1">
      <c r="A175" s="95" t="s">
        <v>246</v>
      </c>
      <c r="B175" s="1" t="s">
        <v>247</v>
      </c>
      <c r="C175" s="1" t="s">
        <v>248</v>
      </c>
      <c r="D175" s="4" t="s">
        <v>387</v>
      </c>
      <c r="E175" s="4"/>
      <c r="F175" s="4"/>
      <c r="G175" s="124">
        <v>2</v>
      </c>
      <c r="O175" s="5" t="s">
        <v>388</v>
      </c>
      <c r="T175" s="5" t="s">
        <v>388</v>
      </c>
      <c r="U175" s="5" t="s">
        <v>388</v>
      </c>
      <c r="AA175" s="5" t="s">
        <v>388</v>
      </c>
      <c r="AB175" s="5"/>
      <c r="AC175" s="8"/>
      <c r="AD175" s="8"/>
      <c r="AE175" s="124">
        <v>3</v>
      </c>
      <c r="AF175" s="5" t="s">
        <v>389</v>
      </c>
      <c r="AI175" s="1" t="s">
        <v>249</v>
      </c>
      <c r="AK175" s="2"/>
    </row>
    <row r="176" spans="1:37" ht="11.25" customHeight="1">
      <c r="A176" s="95" t="s">
        <v>87</v>
      </c>
      <c r="B176" s="1" t="s">
        <v>88</v>
      </c>
      <c r="C176" s="1" t="s">
        <v>89</v>
      </c>
      <c r="D176" s="4" t="s">
        <v>387</v>
      </c>
      <c r="E176" s="4" t="s">
        <v>624</v>
      </c>
      <c r="F176" s="4" t="s">
        <v>625</v>
      </c>
      <c r="G176" s="124">
        <v>2</v>
      </c>
      <c r="H176" s="5" t="s">
        <v>388</v>
      </c>
      <c r="L176" s="5" t="s">
        <v>388</v>
      </c>
      <c r="M176" s="5" t="s">
        <v>388</v>
      </c>
      <c r="N176" s="6"/>
      <c r="Q176" s="5" t="s">
        <v>388</v>
      </c>
      <c r="T176" s="5" t="s">
        <v>388</v>
      </c>
      <c r="U176" s="5" t="s">
        <v>388</v>
      </c>
      <c r="AB176" s="5"/>
      <c r="AC176" s="8"/>
      <c r="AD176" s="8"/>
      <c r="AE176" s="124">
        <v>3</v>
      </c>
      <c r="AF176" s="5" t="s">
        <v>394</v>
      </c>
      <c r="AI176" s="1"/>
      <c r="AK176" s="2"/>
    </row>
    <row r="177" spans="1:37" ht="11.25" customHeight="1">
      <c r="A177" s="95" t="s">
        <v>99</v>
      </c>
      <c r="B177" s="2" t="s">
        <v>103</v>
      </c>
      <c r="C177" s="1" t="s">
        <v>104</v>
      </c>
      <c r="D177" s="4" t="s">
        <v>387</v>
      </c>
      <c r="E177" s="4" t="s">
        <v>624</v>
      </c>
      <c r="F177" s="4" t="s">
        <v>625</v>
      </c>
      <c r="G177" s="124">
        <v>2</v>
      </c>
      <c r="M177" s="5" t="s">
        <v>388</v>
      </c>
      <c r="T177" s="5" t="s">
        <v>388</v>
      </c>
      <c r="X177" s="6"/>
      <c r="Y177" s="6"/>
      <c r="Z177" s="6"/>
      <c r="AA177" s="5" t="s">
        <v>388</v>
      </c>
      <c r="AB177" s="5"/>
      <c r="AC177" s="8"/>
      <c r="AD177" s="8"/>
      <c r="AE177" s="124">
        <v>3</v>
      </c>
      <c r="AF177" s="5" t="s">
        <v>389</v>
      </c>
      <c r="AI177" s="1"/>
      <c r="AK177" s="2"/>
    </row>
    <row r="178" spans="1:37" ht="11.25" customHeight="1">
      <c r="A178" s="95" t="s">
        <v>477</v>
      </c>
      <c r="B178" s="2" t="s">
        <v>478</v>
      </c>
      <c r="C178" s="2" t="s">
        <v>479</v>
      </c>
      <c r="D178" s="34" t="s">
        <v>387</v>
      </c>
      <c r="E178" s="34" t="s">
        <v>626</v>
      </c>
      <c r="F178" s="34"/>
      <c r="G178" s="85">
        <v>2</v>
      </c>
      <c r="H178" s="6"/>
      <c r="I178" s="6" t="s">
        <v>623</v>
      </c>
      <c r="J178" s="6"/>
      <c r="K178" s="6"/>
      <c r="L178" s="6"/>
      <c r="M178" s="6"/>
      <c r="N178" s="6"/>
      <c r="O178" s="6"/>
      <c r="P178" s="6"/>
      <c r="Q178" s="6"/>
      <c r="R178" s="6"/>
      <c r="S178" s="6"/>
      <c r="T178" s="6"/>
      <c r="U178" s="6"/>
      <c r="V178" s="6"/>
      <c r="W178" s="6"/>
      <c r="X178" s="6"/>
      <c r="Y178" s="6"/>
      <c r="Z178" s="6"/>
      <c r="AA178" s="6"/>
      <c r="AB178" s="6"/>
      <c r="AC178" s="6"/>
      <c r="AD178" s="6"/>
      <c r="AE178" s="124">
        <v>4</v>
      </c>
      <c r="AF178" s="5" t="s">
        <v>394</v>
      </c>
      <c r="AG178" s="1" t="s">
        <v>480</v>
      </c>
      <c r="AH178" s="2"/>
      <c r="AI178" s="2"/>
      <c r="AJ178" s="2"/>
      <c r="AK178" s="2"/>
    </row>
    <row r="179" spans="1:37" ht="11.25" customHeight="1">
      <c r="A179" s="1" t="s">
        <v>1444</v>
      </c>
      <c r="B179" s="1" t="s">
        <v>1445</v>
      </c>
      <c r="C179" s="1" t="s">
        <v>1443</v>
      </c>
      <c r="D179" s="4" t="s">
        <v>387</v>
      </c>
      <c r="E179" s="34"/>
      <c r="F179" s="34"/>
      <c r="G179" s="124">
        <v>2</v>
      </c>
      <c r="P179" s="5" t="s">
        <v>388</v>
      </c>
      <c r="R179" s="5" t="s">
        <v>388</v>
      </c>
      <c r="S179" s="5" t="s">
        <v>388</v>
      </c>
      <c r="AB179" s="5"/>
      <c r="AC179" s="8"/>
      <c r="AD179" s="8"/>
      <c r="AE179" s="124" t="s">
        <v>648</v>
      </c>
      <c r="AF179" s="1" t="s">
        <v>389</v>
      </c>
      <c r="AG179" s="1" t="s">
        <v>1446</v>
      </c>
      <c r="AI179" s="1"/>
      <c r="AK179" s="2"/>
    </row>
    <row r="180" spans="1:37" ht="11.25" customHeight="1">
      <c r="A180" s="1" t="s">
        <v>1032</v>
      </c>
      <c r="B180" s="1" t="s">
        <v>1056</v>
      </c>
      <c r="C180" s="1" t="s">
        <v>1055</v>
      </c>
      <c r="D180" s="4" t="s">
        <v>387</v>
      </c>
      <c r="E180" s="4"/>
      <c r="F180" s="4"/>
      <c r="G180" s="124">
        <v>2</v>
      </c>
      <c r="H180" s="5" t="s">
        <v>388</v>
      </c>
      <c r="AB180" s="5"/>
      <c r="AC180" s="8"/>
      <c r="AD180" s="8"/>
      <c r="AE180" s="124" t="s">
        <v>648</v>
      </c>
      <c r="AF180" s="1" t="s">
        <v>389</v>
      </c>
      <c r="AG180" s="100" t="s">
        <v>1057</v>
      </c>
      <c r="AI180" s="1" t="s">
        <v>1058</v>
      </c>
      <c r="AK180" s="2"/>
    </row>
    <row r="181" spans="1:37" ht="11.25" customHeight="1">
      <c r="A181" s="1" t="s">
        <v>1032</v>
      </c>
      <c r="B181" s="9" t="s">
        <v>1034</v>
      </c>
      <c r="C181" s="35" t="s">
        <v>1031</v>
      </c>
      <c r="D181" s="4" t="s">
        <v>387</v>
      </c>
      <c r="E181" s="35"/>
      <c r="F181" s="35"/>
      <c r="G181" s="124">
        <v>2</v>
      </c>
      <c r="H181" s="5" t="s">
        <v>388</v>
      </c>
      <c r="O181" s="6"/>
      <c r="Q181" s="6"/>
      <c r="AB181" s="5"/>
      <c r="AC181" s="8"/>
      <c r="AD181" s="8"/>
      <c r="AE181" s="85" t="s">
        <v>648</v>
      </c>
      <c r="AF181" s="8" t="s">
        <v>389</v>
      </c>
      <c r="AG181" s="2" t="s">
        <v>1035</v>
      </c>
      <c r="AH181" s="2"/>
      <c r="AI181" s="1" t="s">
        <v>1033</v>
      </c>
      <c r="AK181" s="2"/>
    </row>
    <row r="182" spans="1:37" ht="11.25" customHeight="1">
      <c r="A182" s="1" t="s">
        <v>1013</v>
      </c>
      <c r="B182" s="1" t="s">
        <v>1026</v>
      </c>
      <c r="C182" s="1" t="s">
        <v>1020</v>
      </c>
      <c r="D182" s="4" t="s">
        <v>739</v>
      </c>
      <c r="E182" s="34"/>
      <c r="F182" s="34"/>
      <c r="G182" s="124">
        <v>2</v>
      </c>
      <c r="P182" s="5" t="s">
        <v>388</v>
      </c>
      <c r="AB182" s="5"/>
      <c r="AC182" s="8"/>
      <c r="AD182" s="8"/>
      <c r="AE182" s="124"/>
      <c r="AF182" s="1" t="s">
        <v>1022</v>
      </c>
      <c r="AG182" s="1" t="s">
        <v>1021</v>
      </c>
      <c r="AI182" s="1"/>
      <c r="AK182" s="2"/>
    </row>
    <row r="183" spans="1:37" ht="11.25" customHeight="1">
      <c r="A183" s="95" t="s">
        <v>111</v>
      </c>
      <c r="B183" s="1" t="s">
        <v>112</v>
      </c>
      <c r="C183" s="1" t="s">
        <v>390</v>
      </c>
      <c r="D183" s="4" t="s">
        <v>387</v>
      </c>
      <c r="E183" s="4" t="s">
        <v>624</v>
      </c>
      <c r="F183" s="4" t="s">
        <v>625</v>
      </c>
      <c r="G183" s="124">
        <v>2</v>
      </c>
      <c r="K183" s="5" t="s">
        <v>388</v>
      </c>
      <c r="L183" s="5" t="s">
        <v>388</v>
      </c>
      <c r="M183" s="5" t="s">
        <v>388</v>
      </c>
      <c r="T183" s="5" t="s">
        <v>388</v>
      </c>
      <c r="U183" s="5" t="s">
        <v>388</v>
      </c>
      <c r="W183" s="6"/>
      <c r="X183" s="6"/>
      <c r="Y183" s="6"/>
      <c r="Z183" s="6"/>
      <c r="AA183" s="6"/>
      <c r="AB183" s="6" t="s">
        <v>388</v>
      </c>
      <c r="AC183" s="8"/>
      <c r="AD183" s="8"/>
      <c r="AE183" s="124">
        <v>3</v>
      </c>
      <c r="AF183" s="5" t="s">
        <v>389</v>
      </c>
      <c r="AI183" s="1" t="s">
        <v>113</v>
      </c>
      <c r="AK183" s="2"/>
    </row>
    <row r="184" spans="1:37" ht="11.25" customHeight="1">
      <c r="A184" s="95" t="s">
        <v>111</v>
      </c>
      <c r="B184" s="1" t="s">
        <v>274</v>
      </c>
      <c r="C184" s="1" t="s">
        <v>397</v>
      </c>
      <c r="D184" s="4" t="s">
        <v>387</v>
      </c>
      <c r="E184" s="4"/>
      <c r="F184" s="4"/>
      <c r="G184" s="124">
        <v>2</v>
      </c>
      <c r="M184" s="5" t="s">
        <v>388</v>
      </c>
      <c r="AB184" s="5"/>
      <c r="AC184" s="5" t="s">
        <v>388</v>
      </c>
      <c r="AD184" s="5"/>
      <c r="AE184" s="124">
        <v>3</v>
      </c>
      <c r="AF184" s="5" t="s">
        <v>389</v>
      </c>
      <c r="AI184" s="1" t="s">
        <v>275</v>
      </c>
      <c r="AK184" s="2"/>
    </row>
    <row r="185" spans="1:37" ht="11.25" customHeight="1">
      <c r="A185" s="95" t="s">
        <v>1715</v>
      </c>
      <c r="B185" s="2" t="s">
        <v>637</v>
      </c>
      <c r="C185" s="2" t="s">
        <v>630</v>
      </c>
      <c r="D185" s="34" t="s">
        <v>387</v>
      </c>
      <c r="E185" s="34"/>
      <c r="F185" s="34"/>
      <c r="G185" s="85">
        <v>2</v>
      </c>
      <c r="H185" s="6"/>
      <c r="I185" s="6"/>
      <c r="J185" s="6"/>
      <c r="K185" s="6" t="s">
        <v>388</v>
      </c>
      <c r="L185" s="6"/>
      <c r="M185" s="6" t="s">
        <v>388</v>
      </c>
      <c r="N185" s="6"/>
      <c r="O185" s="6"/>
      <c r="P185" s="6"/>
      <c r="Q185" s="6"/>
      <c r="R185" s="6" t="s">
        <v>388</v>
      </c>
      <c r="S185" s="6"/>
      <c r="T185" s="6"/>
      <c r="U185" s="6" t="s">
        <v>388</v>
      </c>
      <c r="V185" s="6"/>
      <c r="W185" s="6" t="s">
        <v>388</v>
      </c>
      <c r="X185" s="6"/>
      <c r="Y185" s="6"/>
      <c r="Z185" s="6"/>
      <c r="AA185" s="6"/>
      <c r="AB185" s="6"/>
      <c r="AC185" s="12"/>
      <c r="AD185" s="12"/>
      <c r="AE185" s="85" t="s">
        <v>668</v>
      </c>
      <c r="AF185" s="6" t="s">
        <v>389</v>
      </c>
      <c r="AG185" s="2"/>
      <c r="AH185" s="2"/>
      <c r="AI185" s="2"/>
      <c r="AJ185" s="2"/>
      <c r="AK185" s="2"/>
    </row>
    <row r="186" spans="1:37" ht="11.25" customHeight="1">
      <c r="A186" s="95" t="s">
        <v>279</v>
      </c>
      <c r="B186" s="1" t="s">
        <v>280</v>
      </c>
      <c r="C186" s="1" t="s">
        <v>281</v>
      </c>
      <c r="D186" s="4" t="s">
        <v>387</v>
      </c>
      <c r="E186" s="4"/>
      <c r="F186" s="4"/>
      <c r="G186" s="124">
        <v>2</v>
      </c>
      <c r="O186" s="5" t="s">
        <v>388</v>
      </c>
      <c r="V186" s="5" t="s">
        <v>388</v>
      </c>
      <c r="W186" s="5" t="s">
        <v>388</v>
      </c>
      <c r="X186" s="5" t="s">
        <v>388</v>
      </c>
      <c r="Y186" s="5" t="s">
        <v>388</v>
      </c>
      <c r="Z186" s="5" t="s">
        <v>388</v>
      </c>
      <c r="AA186" s="5" t="s">
        <v>388</v>
      </c>
      <c r="AB186" s="5"/>
      <c r="AC186" s="5" t="s">
        <v>388</v>
      </c>
      <c r="AD186" s="5"/>
      <c r="AE186" s="124">
        <v>3</v>
      </c>
      <c r="AF186" s="5" t="s">
        <v>389</v>
      </c>
      <c r="AI186" s="1"/>
      <c r="AK186" s="2"/>
    </row>
    <row r="187" spans="1:37" ht="11.25" customHeight="1">
      <c r="A187" s="95" t="s">
        <v>1028</v>
      </c>
      <c r="B187" s="9" t="s">
        <v>1023</v>
      </c>
      <c r="C187" s="35" t="s">
        <v>1014</v>
      </c>
      <c r="D187" s="4" t="s">
        <v>739</v>
      </c>
      <c r="E187" s="35"/>
      <c r="F187" s="35"/>
      <c r="G187" s="124">
        <v>2</v>
      </c>
      <c r="O187" s="6"/>
      <c r="Q187" s="6"/>
      <c r="R187" s="5" t="s">
        <v>623</v>
      </c>
      <c r="S187" s="5" t="s">
        <v>623</v>
      </c>
      <c r="AB187" s="5"/>
      <c r="AC187" s="8"/>
      <c r="AD187" s="8"/>
      <c r="AE187" s="125"/>
      <c r="AF187" s="8" t="s">
        <v>1022</v>
      </c>
      <c r="AG187" s="2" t="s">
        <v>1015</v>
      </c>
      <c r="AH187" s="2"/>
      <c r="AI187" s="1"/>
      <c r="AK187" s="2"/>
    </row>
    <row r="188" spans="1:37" s="2" customFormat="1" ht="11.25" customHeight="1">
      <c r="A188" s="95" t="s">
        <v>123</v>
      </c>
      <c r="B188" s="2" t="s">
        <v>124</v>
      </c>
      <c r="C188" s="2" t="s">
        <v>125</v>
      </c>
      <c r="D188" s="34" t="s">
        <v>387</v>
      </c>
      <c r="E188" s="34" t="s">
        <v>624</v>
      </c>
      <c r="F188" s="34" t="s">
        <v>625</v>
      </c>
      <c r="G188" s="85">
        <v>2</v>
      </c>
      <c r="H188" s="6"/>
      <c r="I188" s="6"/>
      <c r="J188" s="6"/>
      <c r="K188" s="6"/>
      <c r="L188" s="6"/>
      <c r="M188" s="6"/>
      <c r="N188" s="6"/>
      <c r="O188" s="6"/>
      <c r="P188" s="6" t="s">
        <v>388</v>
      </c>
      <c r="Q188" s="6"/>
      <c r="R188" s="6" t="s">
        <v>388</v>
      </c>
      <c r="S188" s="6" t="s">
        <v>388</v>
      </c>
      <c r="T188" s="6"/>
      <c r="U188" s="6"/>
      <c r="V188" s="6"/>
      <c r="W188" s="6"/>
      <c r="X188" s="6"/>
      <c r="Y188" s="6"/>
      <c r="Z188" s="6"/>
      <c r="AA188" s="6" t="s">
        <v>388</v>
      </c>
      <c r="AB188" s="6"/>
      <c r="AC188" s="12"/>
      <c r="AD188" s="12"/>
      <c r="AE188" s="85">
        <v>3</v>
      </c>
      <c r="AF188" s="6" t="s">
        <v>394</v>
      </c>
      <c r="AI188" s="2" t="s">
        <v>126</v>
      </c>
    </row>
    <row r="189" spans="1:37" s="2" customFormat="1" ht="11.25" customHeight="1">
      <c r="A189" s="1" t="s">
        <v>285</v>
      </c>
      <c r="B189" s="2" t="s">
        <v>1451</v>
      </c>
      <c r="C189" s="1" t="s">
        <v>1452</v>
      </c>
      <c r="D189" s="4" t="s">
        <v>387</v>
      </c>
      <c r="E189" s="34"/>
      <c r="F189" s="34"/>
      <c r="G189" s="124">
        <v>2</v>
      </c>
      <c r="H189" s="5"/>
      <c r="I189" s="5"/>
      <c r="J189" s="5" t="s">
        <v>388</v>
      </c>
      <c r="K189" s="5"/>
      <c r="L189" s="5"/>
      <c r="M189" s="5"/>
      <c r="N189" s="5"/>
      <c r="O189" s="5"/>
      <c r="P189" s="5" t="s">
        <v>388</v>
      </c>
      <c r="Q189" s="5"/>
      <c r="R189" s="5"/>
      <c r="S189" s="5"/>
      <c r="T189" s="5"/>
      <c r="U189" s="5"/>
      <c r="V189" s="5"/>
      <c r="W189" s="5"/>
      <c r="X189" s="5"/>
      <c r="Y189" s="5"/>
      <c r="Z189" s="5"/>
      <c r="AA189" s="5"/>
      <c r="AB189" s="5"/>
      <c r="AC189" s="8"/>
      <c r="AD189" s="8"/>
      <c r="AE189" s="124" t="s">
        <v>648</v>
      </c>
      <c r="AF189" s="1" t="s">
        <v>1022</v>
      </c>
      <c r="AG189" s="1" t="s">
        <v>1453</v>
      </c>
      <c r="AJ189" s="1"/>
    </row>
    <row r="190" spans="1:37" s="2" customFormat="1" ht="11.25" customHeight="1">
      <c r="A190" s="95" t="s">
        <v>134</v>
      </c>
      <c r="B190" s="1" t="s">
        <v>135</v>
      </c>
      <c r="C190" s="1" t="s">
        <v>136</v>
      </c>
      <c r="D190" s="4" t="s">
        <v>387</v>
      </c>
      <c r="E190" s="4" t="s">
        <v>624</v>
      </c>
      <c r="F190" s="4" t="s">
        <v>625</v>
      </c>
      <c r="G190" s="124">
        <v>2</v>
      </c>
      <c r="H190" s="5"/>
      <c r="I190" s="5" t="s">
        <v>388</v>
      </c>
      <c r="J190" s="6" t="s">
        <v>388</v>
      </c>
      <c r="K190" s="5"/>
      <c r="L190" s="5"/>
      <c r="M190" s="5" t="s">
        <v>388</v>
      </c>
      <c r="N190" s="5" t="s">
        <v>388</v>
      </c>
      <c r="O190" s="5"/>
      <c r="P190" s="5"/>
      <c r="Q190" s="5"/>
      <c r="R190" s="5"/>
      <c r="S190" s="5"/>
      <c r="T190" s="5" t="s">
        <v>388</v>
      </c>
      <c r="U190" s="5"/>
      <c r="V190" s="5"/>
      <c r="W190" s="5"/>
      <c r="X190" s="5"/>
      <c r="Y190" s="5"/>
      <c r="Z190" s="5" t="s">
        <v>388</v>
      </c>
      <c r="AA190" s="5" t="s">
        <v>388</v>
      </c>
      <c r="AB190" s="5"/>
      <c r="AC190" s="8"/>
      <c r="AD190" s="8"/>
      <c r="AE190" s="124">
        <v>3</v>
      </c>
      <c r="AF190" s="5" t="s">
        <v>394</v>
      </c>
      <c r="AG190" s="1"/>
      <c r="AH190" s="1"/>
      <c r="AI190" s="1"/>
      <c r="AJ190" s="1"/>
    </row>
    <row r="191" spans="1:37" s="2" customFormat="1" ht="11.25" customHeight="1">
      <c r="A191" s="95" t="s">
        <v>140</v>
      </c>
      <c r="B191" s="1" t="s">
        <v>295</v>
      </c>
      <c r="C191" s="1" t="s">
        <v>296</v>
      </c>
      <c r="D191" s="4" t="s">
        <v>387</v>
      </c>
      <c r="E191" s="4"/>
      <c r="F191" s="4"/>
      <c r="G191" s="124">
        <v>2</v>
      </c>
      <c r="H191" s="5"/>
      <c r="I191" s="5"/>
      <c r="J191" s="5"/>
      <c r="K191" s="5"/>
      <c r="L191" s="5"/>
      <c r="M191" s="5"/>
      <c r="N191" s="5" t="s">
        <v>388</v>
      </c>
      <c r="O191" s="5"/>
      <c r="P191" s="5"/>
      <c r="Q191" s="5"/>
      <c r="R191" s="5"/>
      <c r="S191" s="5"/>
      <c r="T191" s="5" t="s">
        <v>388</v>
      </c>
      <c r="U191" s="5"/>
      <c r="V191" s="5"/>
      <c r="W191" s="5"/>
      <c r="X191" s="5"/>
      <c r="Y191" s="5" t="s">
        <v>388</v>
      </c>
      <c r="Z191" s="5" t="s">
        <v>388</v>
      </c>
      <c r="AA191" s="5"/>
      <c r="AB191" s="5"/>
      <c r="AC191" s="5"/>
      <c r="AD191" s="5"/>
      <c r="AE191" s="124">
        <v>3</v>
      </c>
      <c r="AF191" s="5" t="s">
        <v>389</v>
      </c>
      <c r="AG191" s="1"/>
      <c r="AH191" s="1"/>
      <c r="AI191" s="1"/>
      <c r="AJ191" s="1"/>
    </row>
    <row r="192" spans="1:37" s="2" customFormat="1" ht="11.25" customHeight="1">
      <c r="A192" s="95" t="s">
        <v>140</v>
      </c>
      <c r="B192" s="1" t="s">
        <v>1651</v>
      </c>
      <c r="C192" s="1" t="s">
        <v>141</v>
      </c>
      <c r="D192" s="4" t="s">
        <v>387</v>
      </c>
      <c r="E192" s="4" t="s">
        <v>624</v>
      </c>
      <c r="F192" s="4" t="s">
        <v>625</v>
      </c>
      <c r="G192" s="124">
        <v>2</v>
      </c>
      <c r="H192" s="5"/>
      <c r="I192" s="5"/>
      <c r="J192" s="5"/>
      <c r="K192" s="5"/>
      <c r="L192" s="5" t="s">
        <v>388</v>
      </c>
      <c r="M192" s="5" t="s">
        <v>388</v>
      </c>
      <c r="N192" s="5" t="s">
        <v>388</v>
      </c>
      <c r="O192" s="5"/>
      <c r="P192" s="5"/>
      <c r="Q192" s="5"/>
      <c r="R192" s="5"/>
      <c r="S192" s="5"/>
      <c r="T192" s="5"/>
      <c r="U192" s="5" t="s">
        <v>388</v>
      </c>
      <c r="V192" s="5"/>
      <c r="W192" s="5"/>
      <c r="X192" s="5"/>
      <c r="Y192" s="5"/>
      <c r="Z192" s="5"/>
      <c r="AA192" s="5"/>
      <c r="AB192" s="5"/>
      <c r="AC192" s="8"/>
      <c r="AD192" s="8"/>
      <c r="AE192" s="124">
        <v>3</v>
      </c>
      <c r="AF192" s="5" t="s">
        <v>394</v>
      </c>
      <c r="AG192" s="1"/>
      <c r="AH192" s="1"/>
      <c r="AI192" s="1"/>
      <c r="AJ192" s="1"/>
    </row>
    <row r="193" spans="1:36" s="2" customFormat="1" ht="11.25" customHeight="1">
      <c r="A193" s="95" t="s">
        <v>142</v>
      </c>
      <c r="B193" s="1" t="s">
        <v>143</v>
      </c>
      <c r="C193" s="1" t="s">
        <v>144</v>
      </c>
      <c r="D193" s="4" t="s">
        <v>387</v>
      </c>
      <c r="E193" s="4" t="s">
        <v>624</v>
      </c>
      <c r="F193" s="4" t="s">
        <v>625</v>
      </c>
      <c r="G193" s="124">
        <v>2</v>
      </c>
      <c r="H193" s="5"/>
      <c r="I193" s="5"/>
      <c r="J193" s="5"/>
      <c r="K193" s="5"/>
      <c r="L193" s="5"/>
      <c r="M193" s="5"/>
      <c r="N193" s="5"/>
      <c r="O193" s="5"/>
      <c r="P193" s="5"/>
      <c r="Q193" s="5"/>
      <c r="R193" s="5"/>
      <c r="S193" s="5"/>
      <c r="T193" s="5"/>
      <c r="U193" s="5"/>
      <c r="V193" s="5"/>
      <c r="W193" s="5"/>
      <c r="X193" s="5"/>
      <c r="Y193" s="5"/>
      <c r="Z193" s="5"/>
      <c r="AA193" s="5"/>
      <c r="AB193" s="5"/>
      <c r="AC193" s="8" t="s">
        <v>388</v>
      </c>
      <c r="AD193" s="8" t="s">
        <v>388</v>
      </c>
      <c r="AE193" s="124">
        <v>3</v>
      </c>
      <c r="AF193" s="5" t="s">
        <v>394</v>
      </c>
      <c r="AG193" s="1"/>
      <c r="AH193" s="1"/>
      <c r="AI193" s="1"/>
      <c r="AJ193" s="1"/>
    </row>
    <row r="194" spans="1:36" s="2" customFormat="1" ht="11.25" customHeight="1">
      <c r="A194" s="95" t="s">
        <v>302</v>
      </c>
      <c r="B194" s="1" t="s">
        <v>303</v>
      </c>
      <c r="C194" s="1" t="s">
        <v>304</v>
      </c>
      <c r="D194" s="4" t="s">
        <v>387</v>
      </c>
      <c r="E194" s="4"/>
      <c r="F194" s="4"/>
      <c r="G194" s="124">
        <v>2</v>
      </c>
      <c r="H194" s="5"/>
      <c r="I194" s="5"/>
      <c r="J194" s="5"/>
      <c r="K194" s="5"/>
      <c r="L194" s="5"/>
      <c r="M194" s="5"/>
      <c r="N194" s="5"/>
      <c r="O194" s="5" t="s">
        <v>388</v>
      </c>
      <c r="P194" s="5"/>
      <c r="Q194" s="5"/>
      <c r="R194" s="5"/>
      <c r="S194" s="5"/>
      <c r="T194" s="5"/>
      <c r="U194" s="5"/>
      <c r="V194" s="5"/>
      <c r="W194" s="5"/>
      <c r="X194" s="5"/>
      <c r="Y194" s="5"/>
      <c r="Z194" s="5"/>
      <c r="AA194" s="5"/>
      <c r="AB194" s="5"/>
      <c r="AC194" s="8"/>
      <c r="AD194" s="8"/>
      <c r="AE194" s="124">
        <v>3</v>
      </c>
      <c r="AF194" s="5" t="s">
        <v>389</v>
      </c>
      <c r="AG194" s="1"/>
      <c r="AH194" s="1"/>
      <c r="AI194" s="1"/>
      <c r="AJ194" s="1"/>
    </row>
    <row r="195" spans="1:36" s="2" customFormat="1" ht="11.25" customHeight="1">
      <c r="A195" s="95" t="s">
        <v>305</v>
      </c>
      <c r="B195" s="1" t="s">
        <v>306</v>
      </c>
      <c r="C195" s="1" t="s">
        <v>307</v>
      </c>
      <c r="D195" s="4" t="s">
        <v>387</v>
      </c>
      <c r="E195" s="4"/>
      <c r="F195" s="4"/>
      <c r="G195" s="124">
        <v>2</v>
      </c>
      <c r="H195" s="5"/>
      <c r="I195" s="5"/>
      <c r="J195" s="5" t="s">
        <v>388</v>
      </c>
      <c r="K195" s="5"/>
      <c r="L195" s="5"/>
      <c r="M195" s="5"/>
      <c r="N195" s="5" t="s">
        <v>388</v>
      </c>
      <c r="O195" s="5"/>
      <c r="P195" s="5"/>
      <c r="Q195" s="5"/>
      <c r="R195" s="5"/>
      <c r="S195" s="5"/>
      <c r="T195" s="5" t="s">
        <v>388</v>
      </c>
      <c r="U195" s="5"/>
      <c r="V195" s="5"/>
      <c r="W195" s="5"/>
      <c r="X195" s="5"/>
      <c r="Y195" s="5"/>
      <c r="Z195" s="5"/>
      <c r="AA195" s="5"/>
      <c r="AB195" s="5"/>
      <c r="AC195" s="8"/>
      <c r="AD195" s="8"/>
      <c r="AE195" s="124">
        <v>3</v>
      </c>
      <c r="AF195" s="5" t="s">
        <v>389</v>
      </c>
      <c r="AG195" s="1"/>
      <c r="AH195" s="1"/>
      <c r="AI195" s="1"/>
      <c r="AJ195" s="1"/>
    </row>
    <row r="196" spans="1:36" s="2" customFormat="1" ht="11.25" customHeight="1">
      <c r="A196" s="95" t="s">
        <v>812</v>
      </c>
      <c r="B196" s="2" t="s">
        <v>813</v>
      </c>
      <c r="C196" s="2" t="s">
        <v>814</v>
      </c>
      <c r="D196" s="34" t="s">
        <v>739</v>
      </c>
      <c r="E196" s="34"/>
      <c r="F196" s="34"/>
      <c r="G196" s="85">
        <v>2</v>
      </c>
      <c r="H196" s="6"/>
      <c r="I196" s="6"/>
      <c r="J196" s="6" t="s">
        <v>388</v>
      </c>
      <c r="K196" s="6"/>
      <c r="L196" s="6"/>
      <c r="M196" s="6" t="s">
        <v>388</v>
      </c>
      <c r="N196" s="6" t="s">
        <v>388</v>
      </c>
      <c r="O196" s="6"/>
      <c r="P196" s="6"/>
      <c r="Q196" s="6"/>
      <c r="R196" s="6"/>
      <c r="S196" s="6"/>
      <c r="T196" s="6"/>
      <c r="U196" s="6" t="s">
        <v>388</v>
      </c>
      <c r="V196" s="6"/>
      <c r="W196" s="6"/>
      <c r="X196" s="6"/>
      <c r="Y196" s="6" t="s">
        <v>388</v>
      </c>
      <c r="Z196" s="6"/>
      <c r="AA196" s="6"/>
      <c r="AB196" s="6"/>
      <c r="AC196" s="12"/>
      <c r="AD196" s="12"/>
      <c r="AE196" s="85" t="s">
        <v>648</v>
      </c>
      <c r="AF196" s="6" t="s">
        <v>389</v>
      </c>
      <c r="AG196" s="2" t="s">
        <v>815</v>
      </c>
      <c r="AJ196" s="2" t="s">
        <v>763</v>
      </c>
    </row>
    <row r="197" spans="1:36" s="2" customFormat="1" ht="11.25" customHeight="1">
      <c r="A197" s="95" t="s">
        <v>577</v>
      </c>
      <c r="B197" s="1" t="s">
        <v>578</v>
      </c>
      <c r="C197" s="1" t="s">
        <v>579</v>
      </c>
      <c r="D197" s="4" t="s">
        <v>387</v>
      </c>
      <c r="E197" s="4" t="s">
        <v>626</v>
      </c>
      <c r="F197" s="4"/>
      <c r="G197" s="85">
        <v>2</v>
      </c>
      <c r="H197" s="5"/>
      <c r="I197" s="5" t="s">
        <v>388</v>
      </c>
      <c r="J197" s="5"/>
      <c r="K197" s="5"/>
      <c r="L197" s="48" t="s">
        <v>388</v>
      </c>
      <c r="M197" s="5"/>
      <c r="N197" s="5"/>
      <c r="O197" s="5"/>
      <c r="P197" s="5"/>
      <c r="Q197" s="5" t="s">
        <v>388</v>
      </c>
      <c r="R197" s="5"/>
      <c r="S197" s="5"/>
      <c r="T197" s="5"/>
      <c r="U197" s="5"/>
      <c r="V197" s="5"/>
      <c r="W197" s="5"/>
      <c r="X197" s="5"/>
      <c r="Y197" s="5"/>
      <c r="Z197" s="5"/>
      <c r="AA197" s="5"/>
      <c r="AB197" s="5"/>
      <c r="AC197" s="8"/>
      <c r="AD197" s="8"/>
      <c r="AE197" s="124">
        <v>2</v>
      </c>
      <c r="AF197" s="5" t="s">
        <v>394</v>
      </c>
      <c r="AG197" s="1" t="s">
        <v>580</v>
      </c>
      <c r="AJ197" s="1"/>
    </row>
    <row r="198" spans="1:36" s="2" customFormat="1" ht="11.25" customHeight="1">
      <c r="A198" s="95" t="s">
        <v>683</v>
      </c>
      <c r="B198" s="2" t="s">
        <v>639</v>
      </c>
      <c r="C198" s="2" t="s">
        <v>632</v>
      </c>
      <c r="D198" s="34" t="s">
        <v>387</v>
      </c>
      <c r="E198" s="34"/>
      <c r="F198" s="34"/>
      <c r="G198" s="85">
        <v>2</v>
      </c>
      <c r="H198" s="6" t="s">
        <v>388</v>
      </c>
      <c r="I198" s="6"/>
      <c r="J198" s="6" t="s">
        <v>388</v>
      </c>
      <c r="K198" s="6" t="s">
        <v>388</v>
      </c>
      <c r="L198" s="6"/>
      <c r="M198" s="6" t="s">
        <v>388</v>
      </c>
      <c r="N198" s="6" t="s">
        <v>388</v>
      </c>
      <c r="O198" s="6"/>
      <c r="P198" s="6"/>
      <c r="Q198" s="6" t="s">
        <v>388</v>
      </c>
      <c r="R198" s="6" t="s">
        <v>388</v>
      </c>
      <c r="S198" s="6"/>
      <c r="T198" s="6"/>
      <c r="U198" s="6" t="s">
        <v>388</v>
      </c>
      <c r="V198" s="6"/>
      <c r="W198" s="6" t="s">
        <v>388</v>
      </c>
      <c r="X198" s="6" t="s">
        <v>388</v>
      </c>
      <c r="Y198" s="6"/>
      <c r="Z198" s="6"/>
      <c r="AA198" s="6"/>
      <c r="AB198" s="6"/>
      <c r="AC198" s="12"/>
      <c r="AD198" s="12"/>
      <c r="AE198" s="85" t="s">
        <v>648</v>
      </c>
      <c r="AF198" s="6" t="s">
        <v>394</v>
      </c>
      <c r="AG198" s="2" t="s">
        <v>684</v>
      </c>
    </row>
    <row r="199" spans="1:36" s="2" customFormat="1" ht="11.25" customHeight="1">
      <c r="A199" s="95" t="s">
        <v>164</v>
      </c>
      <c r="B199" s="2" t="s">
        <v>1653</v>
      </c>
      <c r="C199" s="2" t="s">
        <v>165</v>
      </c>
      <c r="D199" s="34" t="s">
        <v>387</v>
      </c>
      <c r="E199" s="34" t="s">
        <v>624</v>
      </c>
      <c r="F199" s="34" t="s">
        <v>625</v>
      </c>
      <c r="G199" s="124">
        <v>2</v>
      </c>
      <c r="H199" s="5"/>
      <c r="I199" s="5"/>
      <c r="J199" s="5"/>
      <c r="K199" s="5" t="s">
        <v>388</v>
      </c>
      <c r="L199" s="5" t="s">
        <v>388</v>
      </c>
      <c r="M199" s="5" t="s">
        <v>388</v>
      </c>
      <c r="N199" s="5"/>
      <c r="O199" s="5"/>
      <c r="P199" s="5"/>
      <c r="Q199" s="5"/>
      <c r="R199" s="5"/>
      <c r="S199" s="5"/>
      <c r="T199" s="5"/>
      <c r="U199" s="5" t="s">
        <v>388</v>
      </c>
      <c r="V199" s="5"/>
      <c r="W199" s="5"/>
      <c r="X199" s="5"/>
      <c r="Y199" s="5"/>
      <c r="Z199" s="5"/>
      <c r="AA199" s="5"/>
      <c r="AB199" s="5"/>
      <c r="AC199" s="8"/>
      <c r="AD199" s="8"/>
      <c r="AE199" s="124">
        <v>3</v>
      </c>
      <c r="AF199" s="5" t="s">
        <v>641</v>
      </c>
      <c r="AG199" s="1"/>
      <c r="AH199" s="1"/>
      <c r="AI199" s="1"/>
      <c r="AJ199" s="1"/>
    </row>
    <row r="200" spans="1:36" s="2" customFormat="1" ht="11.25" customHeight="1">
      <c r="A200" s="95" t="s">
        <v>171</v>
      </c>
      <c r="B200" s="1" t="s">
        <v>172</v>
      </c>
      <c r="C200" s="1" t="s">
        <v>392</v>
      </c>
      <c r="D200" s="4" t="s">
        <v>387</v>
      </c>
      <c r="E200" s="4" t="s">
        <v>624</v>
      </c>
      <c r="F200" s="4" t="s">
        <v>625</v>
      </c>
      <c r="G200" s="124">
        <v>2</v>
      </c>
      <c r="H200" s="5"/>
      <c r="I200" s="5"/>
      <c r="J200" s="5"/>
      <c r="K200" s="5" t="s">
        <v>388</v>
      </c>
      <c r="L200" s="5" t="s">
        <v>388</v>
      </c>
      <c r="M200" s="5" t="s">
        <v>388</v>
      </c>
      <c r="N200" s="5"/>
      <c r="O200" s="5"/>
      <c r="P200" s="5"/>
      <c r="Q200" s="5"/>
      <c r="R200" s="5"/>
      <c r="S200" s="5"/>
      <c r="T200" s="5"/>
      <c r="U200" s="5"/>
      <c r="V200" s="5"/>
      <c r="W200" s="5"/>
      <c r="X200" s="5"/>
      <c r="Y200" s="5"/>
      <c r="Z200" s="5"/>
      <c r="AA200" s="5"/>
      <c r="AB200" s="5"/>
      <c r="AC200" s="8"/>
      <c r="AD200" s="8"/>
      <c r="AE200" s="124">
        <v>2</v>
      </c>
      <c r="AF200" s="5" t="s">
        <v>394</v>
      </c>
      <c r="AG200" s="1"/>
      <c r="AH200" s="1"/>
      <c r="AI200" s="1"/>
      <c r="AJ200" s="1"/>
    </row>
    <row r="201" spans="1:36" s="2" customFormat="1" ht="11.25" customHeight="1">
      <c r="A201" s="95" t="s">
        <v>573</v>
      </c>
      <c r="B201" s="1" t="s">
        <v>574</v>
      </c>
      <c r="C201" s="1" t="s">
        <v>575</v>
      </c>
      <c r="D201" s="4" t="s">
        <v>387</v>
      </c>
      <c r="E201" s="4" t="s">
        <v>626</v>
      </c>
      <c r="F201" s="4"/>
      <c r="G201" s="85">
        <v>2</v>
      </c>
      <c r="H201" s="5"/>
      <c r="I201" s="5"/>
      <c r="J201" s="5"/>
      <c r="K201" s="5"/>
      <c r="L201" s="5"/>
      <c r="M201" s="5"/>
      <c r="N201" s="5"/>
      <c r="O201" s="5"/>
      <c r="P201" s="5"/>
      <c r="Q201" s="5" t="s">
        <v>623</v>
      </c>
      <c r="R201" s="5"/>
      <c r="S201" s="5"/>
      <c r="T201" s="5"/>
      <c r="U201" s="5"/>
      <c r="V201" s="5"/>
      <c r="W201" s="5"/>
      <c r="X201" s="5"/>
      <c r="Y201" s="5"/>
      <c r="Z201" s="5"/>
      <c r="AA201" s="5"/>
      <c r="AB201" s="5"/>
      <c r="AC201" s="8"/>
      <c r="AD201" s="8"/>
      <c r="AE201" s="124">
        <v>2</v>
      </c>
      <c r="AF201" s="5" t="s">
        <v>394</v>
      </c>
      <c r="AG201" s="1" t="s">
        <v>576</v>
      </c>
      <c r="AJ201" s="1"/>
    </row>
    <row r="202" spans="1:36" s="2" customFormat="1" ht="11.25" customHeight="1">
      <c r="A202" s="95" t="s">
        <v>340</v>
      </c>
      <c r="B202" s="1" t="s">
        <v>341</v>
      </c>
      <c r="C202" s="2" t="s">
        <v>342</v>
      </c>
      <c r="D202" s="34" t="s">
        <v>387</v>
      </c>
      <c r="E202" s="34"/>
      <c r="F202" s="34"/>
      <c r="G202" s="124">
        <v>2</v>
      </c>
      <c r="H202" s="5"/>
      <c r="I202" s="5"/>
      <c r="J202" s="5"/>
      <c r="K202" s="5"/>
      <c r="L202" s="5"/>
      <c r="M202" s="5"/>
      <c r="N202" s="5"/>
      <c r="O202" s="5" t="s">
        <v>388</v>
      </c>
      <c r="P202" s="5"/>
      <c r="Q202" s="5"/>
      <c r="R202" s="5"/>
      <c r="S202" s="5"/>
      <c r="T202" s="5"/>
      <c r="U202" s="5"/>
      <c r="V202" s="5"/>
      <c r="W202" s="5"/>
      <c r="X202" s="5"/>
      <c r="Y202" s="5"/>
      <c r="Z202" s="5" t="s">
        <v>388</v>
      </c>
      <c r="AA202" s="5"/>
      <c r="AB202" s="5"/>
      <c r="AC202" s="8" t="s">
        <v>388</v>
      </c>
      <c r="AD202" s="8"/>
      <c r="AE202" s="124">
        <v>3</v>
      </c>
      <c r="AF202" s="5" t="s">
        <v>389</v>
      </c>
      <c r="AG202" s="1"/>
      <c r="AH202" s="1"/>
      <c r="AI202" s="1" t="s">
        <v>343</v>
      </c>
      <c r="AJ202" s="1"/>
    </row>
    <row r="203" spans="1:36" s="2" customFormat="1" ht="11.25" customHeight="1">
      <c r="A203" s="95" t="s">
        <v>422</v>
      </c>
      <c r="B203" s="1" t="s">
        <v>423</v>
      </c>
      <c r="C203" s="1" t="s">
        <v>424</v>
      </c>
      <c r="D203" s="4" t="s">
        <v>387</v>
      </c>
      <c r="E203" s="4" t="s">
        <v>626</v>
      </c>
      <c r="F203" s="4"/>
      <c r="G203" s="124">
        <v>2</v>
      </c>
      <c r="H203" s="5" t="s">
        <v>388</v>
      </c>
      <c r="I203" s="5" t="s">
        <v>388</v>
      </c>
      <c r="J203" s="5"/>
      <c r="K203" s="5"/>
      <c r="L203" s="5"/>
      <c r="M203" s="5"/>
      <c r="N203" s="5"/>
      <c r="O203" s="5"/>
      <c r="P203" s="5"/>
      <c r="Q203" s="5" t="s">
        <v>623</v>
      </c>
      <c r="R203" s="5"/>
      <c r="S203" s="5"/>
      <c r="T203" s="5"/>
      <c r="U203" s="5" t="s">
        <v>623</v>
      </c>
      <c r="V203" s="5"/>
      <c r="W203" s="5"/>
      <c r="X203" s="5"/>
      <c r="Y203" s="5"/>
      <c r="Z203" s="5"/>
      <c r="AA203" s="5"/>
      <c r="AB203" s="5"/>
      <c r="AC203" s="8"/>
      <c r="AD203" s="8"/>
      <c r="AE203" s="124">
        <v>4</v>
      </c>
      <c r="AF203" s="5" t="s">
        <v>394</v>
      </c>
      <c r="AG203" s="1" t="s">
        <v>613</v>
      </c>
      <c r="AI203" s="1"/>
      <c r="AJ203" s="1"/>
    </row>
    <row r="204" spans="1:36" s="2" customFormat="1" ht="11.25" customHeight="1">
      <c r="A204" s="95" t="s">
        <v>183</v>
      </c>
      <c r="B204" s="1" t="s">
        <v>184</v>
      </c>
      <c r="C204" s="1" t="s">
        <v>185</v>
      </c>
      <c r="D204" s="4" t="s">
        <v>387</v>
      </c>
      <c r="E204" s="4" t="s">
        <v>624</v>
      </c>
      <c r="F204" s="4" t="s">
        <v>625</v>
      </c>
      <c r="G204" s="124">
        <v>2</v>
      </c>
      <c r="H204" s="5"/>
      <c r="I204" s="5"/>
      <c r="J204" s="5"/>
      <c r="K204" s="5"/>
      <c r="L204" s="5"/>
      <c r="M204" s="5" t="s">
        <v>388</v>
      </c>
      <c r="N204" s="48" t="s">
        <v>388</v>
      </c>
      <c r="O204" s="5"/>
      <c r="P204" s="5" t="s">
        <v>388</v>
      </c>
      <c r="Q204" s="5"/>
      <c r="R204" s="5" t="s">
        <v>388</v>
      </c>
      <c r="S204" s="5"/>
      <c r="T204" s="5"/>
      <c r="U204" s="5"/>
      <c r="V204" s="5"/>
      <c r="W204" s="5"/>
      <c r="X204" s="5"/>
      <c r="Y204" s="5"/>
      <c r="Z204" s="5"/>
      <c r="AA204" s="5"/>
      <c r="AB204" s="5"/>
      <c r="AC204" s="8"/>
      <c r="AD204" s="8"/>
      <c r="AE204" s="124">
        <v>3</v>
      </c>
      <c r="AF204" s="5" t="s">
        <v>394</v>
      </c>
      <c r="AG204" s="1"/>
      <c r="AH204" s="1"/>
      <c r="AI204" s="1"/>
      <c r="AJ204" s="1"/>
    </row>
    <row r="205" spans="1:36" s="2" customFormat="1" ht="11.25" customHeight="1">
      <c r="A205" s="95" t="s">
        <v>186</v>
      </c>
      <c r="B205" s="1" t="s">
        <v>187</v>
      </c>
      <c r="C205" s="1" t="s">
        <v>188</v>
      </c>
      <c r="D205" s="4" t="s">
        <v>387</v>
      </c>
      <c r="E205" s="4" t="s">
        <v>624</v>
      </c>
      <c r="F205" s="4" t="s">
        <v>625</v>
      </c>
      <c r="G205" s="124">
        <v>2</v>
      </c>
      <c r="H205" s="5" t="s">
        <v>388</v>
      </c>
      <c r="I205" s="5"/>
      <c r="J205" s="5"/>
      <c r="K205" s="5" t="s">
        <v>388</v>
      </c>
      <c r="L205" s="5" t="s">
        <v>388</v>
      </c>
      <c r="M205" s="5"/>
      <c r="N205" s="5"/>
      <c r="O205" s="5"/>
      <c r="P205" s="5"/>
      <c r="Q205" s="5"/>
      <c r="R205" s="5"/>
      <c r="S205" s="5"/>
      <c r="T205" s="5"/>
      <c r="U205" s="5"/>
      <c r="V205" s="5"/>
      <c r="W205" s="5"/>
      <c r="X205" s="5"/>
      <c r="Y205" s="5"/>
      <c r="Z205" s="5"/>
      <c r="AA205" s="5"/>
      <c r="AB205" s="5"/>
      <c r="AC205" s="8" t="s">
        <v>388</v>
      </c>
      <c r="AD205" s="8"/>
      <c r="AE205" s="124">
        <v>3</v>
      </c>
      <c r="AF205" s="5" t="s">
        <v>394</v>
      </c>
      <c r="AG205" s="1"/>
      <c r="AH205" s="1"/>
      <c r="AI205" s="1"/>
      <c r="AJ205" s="1"/>
    </row>
    <row r="206" spans="1:36" s="2" customFormat="1" ht="11.25" customHeight="1">
      <c r="A206" s="95" t="s">
        <v>189</v>
      </c>
      <c r="B206" s="1" t="s">
        <v>352</v>
      </c>
      <c r="C206" s="1" t="s">
        <v>353</v>
      </c>
      <c r="D206" s="4" t="s">
        <v>387</v>
      </c>
      <c r="E206" s="4"/>
      <c r="F206" s="4"/>
      <c r="G206" s="124">
        <v>2</v>
      </c>
      <c r="H206" s="5"/>
      <c r="I206" s="5"/>
      <c r="J206" s="5"/>
      <c r="K206" s="5"/>
      <c r="L206" s="5"/>
      <c r="M206" s="5"/>
      <c r="N206" s="5"/>
      <c r="O206" s="5" t="s">
        <v>388</v>
      </c>
      <c r="P206" s="5"/>
      <c r="Q206" s="5"/>
      <c r="R206" s="5"/>
      <c r="S206" s="5"/>
      <c r="T206" s="5" t="s">
        <v>388</v>
      </c>
      <c r="U206" s="5"/>
      <c r="V206" s="5"/>
      <c r="W206" s="5"/>
      <c r="X206" s="5"/>
      <c r="Y206" s="5"/>
      <c r="Z206" s="5"/>
      <c r="AA206" s="5" t="s">
        <v>388</v>
      </c>
      <c r="AB206" s="5"/>
      <c r="AC206" s="8"/>
      <c r="AD206" s="8"/>
      <c r="AE206" s="124">
        <v>3</v>
      </c>
      <c r="AF206" s="5" t="s">
        <v>389</v>
      </c>
      <c r="AG206" s="1"/>
      <c r="AH206" s="1"/>
      <c r="AI206" s="1"/>
      <c r="AJ206" s="1"/>
    </row>
    <row r="207" spans="1:36" s="2" customFormat="1" ht="11.25" customHeight="1">
      <c r="A207" s="95" t="s">
        <v>189</v>
      </c>
      <c r="B207" s="2" t="s">
        <v>190</v>
      </c>
      <c r="C207" s="2" t="s">
        <v>191</v>
      </c>
      <c r="D207" s="34" t="s">
        <v>387</v>
      </c>
      <c r="E207" s="34"/>
      <c r="F207" s="34"/>
      <c r="G207" s="85">
        <v>2</v>
      </c>
      <c r="H207" s="6"/>
      <c r="I207" s="6"/>
      <c r="J207" s="6"/>
      <c r="K207" s="6"/>
      <c r="L207" s="6"/>
      <c r="M207" s="6"/>
      <c r="N207" s="6" t="s">
        <v>388</v>
      </c>
      <c r="O207" s="6"/>
      <c r="P207" s="6"/>
      <c r="Q207" s="6"/>
      <c r="R207" s="6"/>
      <c r="S207" s="6"/>
      <c r="T207" s="6" t="s">
        <v>388</v>
      </c>
      <c r="U207" s="6"/>
      <c r="V207" s="6"/>
      <c r="W207" s="6"/>
      <c r="X207" s="6"/>
      <c r="Y207" s="6"/>
      <c r="Z207" s="6"/>
      <c r="AA207" s="6"/>
      <c r="AB207" s="6"/>
      <c r="AC207" s="12"/>
      <c r="AD207" s="12"/>
      <c r="AE207" s="85">
        <v>3</v>
      </c>
      <c r="AF207" s="6" t="s">
        <v>394</v>
      </c>
    </row>
    <row r="208" spans="1:36" s="2" customFormat="1" ht="11.25" customHeight="1">
      <c r="A208" s="95" t="s">
        <v>189</v>
      </c>
      <c r="B208" s="1" t="s">
        <v>192</v>
      </c>
      <c r="C208" s="1" t="s">
        <v>193</v>
      </c>
      <c r="D208" s="4" t="s">
        <v>387</v>
      </c>
      <c r="E208" s="4"/>
      <c r="F208" s="4"/>
      <c r="G208" s="124">
        <v>2</v>
      </c>
      <c r="H208" s="5"/>
      <c r="I208" s="5"/>
      <c r="J208" s="5"/>
      <c r="K208" s="5"/>
      <c r="L208" s="5"/>
      <c r="M208" s="5"/>
      <c r="N208" s="5"/>
      <c r="O208" s="5"/>
      <c r="P208" s="5"/>
      <c r="Q208" s="5"/>
      <c r="R208" s="5"/>
      <c r="S208" s="5"/>
      <c r="T208" s="5" t="s">
        <v>388</v>
      </c>
      <c r="U208" s="5"/>
      <c r="V208" s="5"/>
      <c r="W208" s="5"/>
      <c r="X208" s="5"/>
      <c r="Y208" s="5"/>
      <c r="Z208" s="5"/>
      <c r="AA208" s="5"/>
      <c r="AB208" s="5"/>
      <c r="AC208" s="8"/>
      <c r="AD208" s="8"/>
      <c r="AE208" s="124">
        <v>3</v>
      </c>
      <c r="AF208" s="5" t="s">
        <v>394</v>
      </c>
      <c r="AG208" s="1"/>
      <c r="AH208" s="1"/>
      <c r="AI208" s="1"/>
      <c r="AJ208" s="1"/>
    </row>
    <row r="209" spans="1:37" s="2" customFormat="1" ht="11.25" customHeight="1">
      <c r="A209" s="1" t="s">
        <v>1449</v>
      </c>
      <c r="B209" s="1" t="s">
        <v>1448</v>
      </c>
      <c r="C209" s="1" t="s">
        <v>1447</v>
      </c>
      <c r="D209" s="4" t="s">
        <v>739</v>
      </c>
      <c r="E209" s="34"/>
      <c r="F209" s="34"/>
      <c r="G209" s="124">
        <v>2</v>
      </c>
      <c r="H209" s="5"/>
      <c r="I209" s="5"/>
      <c r="J209" s="5"/>
      <c r="K209" s="5"/>
      <c r="L209" s="5"/>
      <c r="M209" s="5"/>
      <c r="N209" s="5"/>
      <c r="O209" s="5"/>
      <c r="P209" s="5" t="s">
        <v>388</v>
      </c>
      <c r="Q209" s="5"/>
      <c r="R209" s="5" t="s">
        <v>388</v>
      </c>
      <c r="S209" s="5"/>
      <c r="T209" s="5"/>
      <c r="U209" s="5"/>
      <c r="V209" s="5"/>
      <c r="W209" s="5"/>
      <c r="X209" s="5"/>
      <c r="Y209" s="5"/>
      <c r="Z209" s="5" t="s">
        <v>388</v>
      </c>
      <c r="AA209" s="5"/>
      <c r="AB209" s="5"/>
      <c r="AC209" s="8"/>
      <c r="AD209" s="8"/>
      <c r="AE209" s="124" t="s">
        <v>648</v>
      </c>
      <c r="AF209" s="1" t="s">
        <v>389</v>
      </c>
      <c r="AG209" s="1" t="s">
        <v>1450</v>
      </c>
      <c r="AH209" s="1"/>
      <c r="AI209" s="1"/>
      <c r="AJ209" s="1"/>
    </row>
    <row r="210" spans="1:37" s="2" customFormat="1" ht="11.25" customHeight="1">
      <c r="A210" s="95" t="s">
        <v>201</v>
      </c>
      <c r="B210" s="1" t="s">
        <v>202</v>
      </c>
      <c r="C210" s="1" t="s">
        <v>203</v>
      </c>
      <c r="D210" s="4" t="s">
        <v>1150</v>
      </c>
      <c r="E210" s="4"/>
      <c r="F210" s="4"/>
      <c r="G210" s="124">
        <v>2</v>
      </c>
      <c r="H210" s="5"/>
      <c r="I210" s="5"/>
      <c r="J210" s="5"/>
      <c r="K210" s="5"/>
      <c r="L210" s="5"/>
      <c r="M210" s="5"/>
      <c r="N210" s="5"/>
      <c r="O210" s="5"/>
      <c r="P210" s="5"/>
      <c r="Q210" s="5"/>
      <c r="R210" s="5"/>
      <c r="S210" s="5"/>
      <c r="T210" s="5" t="s">
        <v>388</v>
      </c>
      <c r="U210" s="5" t="s">
        <v>388</v>
      </c>
      <c r="V210" s="5"/>
      <c r="W210" s="5"/>
      <c r="X210" s="5"/>
      <c r="Y210" s="5"/>
      <c r="Z210" s="5"/>
      <c r="AA210" s="5"/>
      <c r="AB210" s="5"/>
      <c r="AC210" s="8"/>
      <c r="AD210" s="8"/>
      <c r="AE210" s="124">
        <v>3</v>
      </c>
      <c r="AF210" s="5" t="s">
        <v>394</v>
      </c>
      <c r="AH210" s="1"/>
      <c r="AI210" s="1" t="s">
        <v>1205</v>
      </c>
      <c r="AJ210" s="1"/>
    </row>
    <row r="211" spans="1:37" s="2" customFormat="1" ht="11.25" customHeight="1">
      <c r="A211" s="95" t="s">
        <v>366</v>
      </c>
      <c r="B211" s="1" t="s">
        <v>367</v>
      </c>
      <c r="C211" s="1" t="s">
        <v>368</v>
      </c>
      <c r="D211" s="4" t="s">
        <v>387</v>
      </c>
      <c r="E211" s="4"/>
      <c r="F211" s="4"/>
      <c r="G211" s="124">
        <v>2</v>
      </c>
      <c r="H211" s="5"/>
      <c r="I211" s="5"/>
      <c r="J211" s="5"/>
      <c r="K211" s="5"/>
      <c r="L211" s="5"/>
      <c r="M211" s="5" t="s">
        <v>388</v>
      </c>
      <c r="N211" s="5"/>
      <c r="O211" s="5"/>
      <c r="P211" s="5"/>
      <c r="Q211" s="5"/>
      <c r="R211" s="5"/>
      <c r="S211" s="5"/>
      <c r="T211" s="5"/>
      <c r="U211" s="5"/>
      <c r="V211" s="5"/>
      <c r="W211" s="5"/>
      <c r="X211" s="5"/>
      <c r="Y211" s="5"/>
      <c r="Z211" s="5"/>
      <c r="AA211" s="5"/>
      <c r="AB211" s="5"/>
      <c r="AC211" s="8"/>
      <c r="AD211" s="8"/>
      <c r="AE211" s="124">
        <v>3</v>
      </c>
      <c r="AF211" s="5" t="s">
        <v>389</v>
      </c>
      <c r="AG211" s="1"/>
      <c r="AH211" s="1"/>
      <c r="AI211" s="1"/>
      <c r="AJ211" s="1"/>
    </row>
    <row r="212" spans="1:37" s="2" customFormat="1" ht="11.25" customHeight="1">
      <c r="A212" s="95" t="s">
        <v>1654</v>
      </c>
      <c r="B212" s="1" t="s">
        <v>581</v>
      </c>
      <c r="C212" s="1" t="s">
        <v>582</v>
      </c>
      <c r="D212" s="4" t="s">
        <v>387</v>
      </c>
      <c r="E212" s="4" t="s">
        <v>626</v>
      </c>
      <c r="F212" s="4"/>
      <c r="G212" s="85">
        <v>2</v>
      </c>
      <c r="H212" s="5"/>
      <c r="I212" s="5" t="s">
        <v>623</v>
      </c>
      <c r="J212" s="5"/>
      <c r="K212" s="5"/>
      <c r="L212" s="48" t="s">
        <v>388</v>
      </c>
      <c r="M212" s="5"/>
      <c r="N212" s="5"/>
      <c r="O212" s="5"/>
      <c r="P212" s="5"/>
      <c r="Q212" s="5" t="s">
        <v>623</v>
      </c>
      <c r="R212" s="5"/>
      <c r="S212" s="5"/>
      <c r="T212" s="5"/>
      <c r="U212" s="5"/>
      <c r="V212" s="5"/>
      <c r="W212" s="5"/>
      <c r="X212" s="5"/>
      <c r="Y212" s="5"/>
      <c r="Z212" s="5"/>
      <c r="AA212" s="5"/>
      <c r="AB212" s="5"/>
      <c r="AC212" s="8"/>
      <c r="AD212" s="8"/>
      <c r="AE212" s="124">
        <v>4</v>
      </c>
      <c r="AF212" s="5" t="s">
        <v>394</v>
      </c>
      <c r="AG212" s="1" t="s">
        <v>583</v>
      </c>
      <c r="AJ212" s="1"/>
    </row>
    <row r="213" spans="1:37" s="2" customFormat="1" ht="11.25" customHeight="1">
      <c r="A213" s="95" t="s">
        <v>558</v>
      </c>
      <c r="B213" s="1" t="s">
        <v>559</v>
      </c>
      <c r="C213" s="1" t="s">
        <v>560</v>
      </c>
      <c r="D213" s="4" t="s">
        <v>387</v>
      </c>
      <c r="E213" s="4" t="s">
        <v>626</v>
      </c>
      <c r="F213" s="4"/>
      <c r="G213" s="85">
        <v>2</v>
      </c>
      <c r="H213" s="5"/>
      <c r="I213" s="5"/>
      <c r="J213" s="5"/>
      <c r="K213" s="5"/>
      <c r="L213" s="5"/>
      <c r="M213" s="5"/>
      <c r="N213" s="5"/>
      <c r="O213" s="5"/>
      <c r="P213" s="5"/>
      <c r="Q213" s="5" t="s">
        <v>623</v>
      </c>
      <c r="R213" s="5"/>
      <c r="S213" s="5"/>
      <c r="T213" s="5"/>
      <c r="U213" s="5" t="s">
        <v>623</v>
      </c>
      <c r="V213" s="5"/>
      <c r="W213" s="5"/>
      <c r="X213" s="5"/>
      <c r="Y213" s="5"/>
      <c r="Z213" s="5"/>
      <c r="AA213" s="5"/>
      <c r="AB213" s="5"/>
      <c r="AC213" s="8"/>
      <c r="AD213" s="8"/>
      <c r="AE213" s="124">
        <v>2</v>
      </c>
      <c r="AF213" s="5" t="s">
        <v>394</v>
      </c>
      <c r="AG213" s="1" t="s">
        <v>561</v>
      </c>
      <c r="AJ213" s="1"/>
    </row>
    <row r="214" spans="1:37" s="2" customFormat="1" ht="11.25" customHeight="1">
      <c r="A214" s="95" t="s">
        <v>657</v>
      </c>
      <c r="B214" s="2" t="s">
        <v>656</v>
      </c>
      <c r="C214" s="2" t="s">
        <v>655</v>
      </c>
      <c r="D214" s="34" t="s">
        <v>387</v>
      </c>
      <c r="E214" s="34"/>
      <c r="F214" s="34"/>
      <c r="G214" s="85">
        <v>2</v>
      </c>
      <c r="H214" s="6" t="s">
        <v>388</v>
      </c>
      <c r="I214" s="6"/>
      <c r="J214" s="6" t="s">
        <v>388</v>
      </c>
      <c r="K214" s="6"/>
      <c r="L214" s="6"/>
      <c r="M214" s="6" t="s">
        <v>388</v>
      </c>
      <c r="N214" s="6" t="s">
        <v>388</v>
      </c>
      <c r="O214" s="6"/>
      <c r="P214" s="6"/>
      <c r="Q214" s="6" t="s">
        <v>388</v>
      </c>
      <c r="R214" s="6"/>
      <c r="S214" s="6"/>
      <c r="T214" s="6"/>
      <c r="U214" s="6" t="s">
        <v>388</v>
      </c>
      <c r="V214" s="6"/>
      <c r="W214" s="6"/>
      <c r="X214" s="6"/>
      <c r="Y214" s="6"/>
      <c r="Z214" s="6"/>
      <c r="AA214" s="6"/>
      <c r="AB214" s="6"/>
      <c r="AC214" s="6" t="s">
        <v>388</v>
      </c>
      <c r="AD214" s="6"/>
      <c r="AE214" s="85">
        <v>3</v>
      </c>
      <c r="AF214" s="6" t="s">
        <v>389</v>
      </c>
    </row>
    <row r="215" spans="1:37" s="2" customFormat="1" ht="11.25" customHeight="1">
      <c r="A215" s="95" t="s">
        <v>369</v>
      </c>
      <c r="B215" s="2" t="s">
        <v>370</v>
      </c>
      <c r="C215" s="1" t="s">
        <v>371</v>
      </c>
      <c r="D215" s="4" t="s">
        <v>387</v>
      </c>
      <c r="E215" s="4"/>
      <c r="F215" s="4"/>
      <c r="G215" s="124">
        <v>2</v>
      </c>
      <c r="H215" s="5"/>
      <c r="I215" s="5"/>
      <c r="J215" s="5"/>
      <c r="K215" s="5"/>
      <c r="L215" s="5"/>
      <c r="M215" s="5" t="s">
        <v>388</v>
      </c>
      <c r="N215" s="5" t="s">
        <v>388</v>
      </c>
      <c r="O215" s="5"/>
      <c r="P215" s="5"/>
      <c r="Q215" s="5"/>
      <c r="R215" s="5"/>
      <c r="S215" s="5"/>
      <c r="T215" s="5"/>
      <c r="U215" s="5"/>
      <c r="V215" s="5"/>
      <c r="W215" s="5"/>
      <c r="X215" s="5"/>
      <c r="Y215" s="5"/>
      <c r="Z215" s="5"/>
      <c r="AA215" s="5"/>
      <c r="AB215" s="5"/>
      <c r="AC215" s="8"/>
      <c r="AD215" s="8"/>
      <c r="AE215" s="124">
        <v>3</v>
      </c>
      <c r="AF215" s="5" t="s">
        <v>389</v>
      </c>
      <c r="AG215" s="1"/>
      <c r="AH215" s="1"/>
      <c r="AI215" s="1" t="s">
        <v>372</v>
      </c>
      <c r="AJ215" s="1"/>
    </row>
    <row r="216" spans="1:37" s="2" customFormat="1" ht="11.25" customHeight="1">
      <c r="A216" s="95" t="s">
        <v>204</v>
      </c>
      <c r="B216" s="1" t="s">
        <v>205</v>
      </c>
      <c r="C216" s="1" t="s">
        <v>206</v>
      </c>
      <c r="D216" s="4" t="s">
        <v>387</v>
      </c>
      <c r="E216" s="4"/>
      <c r="F216" s="4"/>
      <c r="G216" s="124">
        <v>2</v>
      </c>
      <c r="H216" s="5"/>
      <c r="I216" s="5"/>
      <c r="J216" s="5"/>
      <c r="K216" s="5"/>
      <c r="L216" s="5"/>
      <c r="M216" s="5"/>
      <c r="N216" s="5"/>
      <c r="O216" s="5"/>
      <c r="P216" s="5"/>
      <c r="Q216" s="5"/>
      <c r="R216" s="5"/>
      <c r="S216" s="5"/>
      <c r="T216" s="5"/>
      <c r="U216" s="5"/>
      <c r="V216" s="5"/>
      <c r="W216" s="5"/>
      <c r="X216" s="5"/>
      <c r="Y216" s="5"/>
      <c r="Z216" s="5"/>
      <c r="AA216" s="5"/>
      <c r="AB216" s="5"/>
      <c r="AC216" s="8" t="s">
        <v>388</v>
      </c>
      <c r="AD216" s="8"/>
      <c r="AE216" s="124">
        <v>3</v>
      </c>
      <c r="AF216" s="5" t="s">
        <v>394</v>
      </c>
      <c r="AG216" s="1"/>
      <c r="AH216" s="1"/>
      <c r="AI216" s="1" t="s">
        <v>1119</v>
      </c>
      <c r="AJ216" s="1"/>
    </row>
    <row r="217" spans="1:37" s="2" customFormat="1" ht="11.25" customHeight="1">
      <c r="A217" s="95" t="s">
        <v>701</v>
      </c>
      <c r="B217" s="2" t="s">
        <v>703</v>
      </c>
      <c r="C217" s="2" t="s">
        <v>702</v>
      </c>
      <c r="D217" s="34" t="s">
        <v>387</v>
      </c>
      <c r="E217" s="34"/>
      <c r="F217" s="34"/>
      <c r="G217" s="85">
        <v>2</v>
      </c>
      <c r="H217" s="6"/>
      <c r="I217" s="6"/>
      <c r="J217" s="6"/>
      <c r="K217" s="6"/>
      <c r="L217" s="6"/>
      <c r="M217" s="6"/>
      <c r="N217" s="6"/>
      <c r="O217" s="6" t="s">
        <v>388</v>
      </c>
      <c r="P217" s="6" t="s">
        <v>388</v>
      </c>
      <c r="Q217" s="6" t="s">
        <v>388</v>
      </c>
      <c r="R217" s="6"/>
      <c r="S217" s="6" t="s">
        <v>388</v>
      </c>
      <c r="T217" s="6"/>
      <c r="U217" s="6"/>
      <c r="V217" s="6" t="s">
        <v>388</v>
      </c>
      <c r="W217" s="6"/>
      <c r="X217" s="6" t="s">
        <v>388</v>
      </c>
      <c r="Y217" s="6"/>
      <c r="Z217" s="6"/>
      <c r="AA217" s="6"/>
      <c r="AB217" s="6"/>
      <c r="AC217" s="12"/>
      <c r="AD217" s="12"/>
      <c r="AE217" s="85" t="s">
        <v>648</v>
      </c>
      <c r="AF217" s="6" t="s">
        <v>394</v>
      </c>
      <c r="AG217" s="2" t="s">
        <v>704</v>
      </c>
    </row>
    <row r="218" spans="1:37" s="2" customFormat="1" ht="11.25" customHeight="1">
      <c r="A218" s="1" t="s">
        <v>1010</v>
      </c>
      <c r="B218" s="2" t="s">
        <v>1023</v>
      </c>
      <c r="C218" s="9" t="s">
        <v>1014</v>
      </c>
      <c r="D218" s="35" t="s">
        <v>739</v>
      </c>
      <c r="E218" s="36"/>
      <c r="F218" s="36"/>
      <c r="G218" s="124">
        <v>2</v>
      </c>
      <c r="H218" s="5"/>
      <c r="I218" s="5"/>
      <c r="J218" s="5"/>
      <c r="K218" s="5"/>
      <c r="L218" s="5"/>
      <c r="M218" s="5"/>
      <c r="N218" s="5"/>
      <c r="O218" s="5"/>
      <c r="P218" s="5"/>
      <c r="Q218" s="5"/>
      <c r="R218" s="5" t="s">
        <v>623</v>
      </c>
      <c r="S218" s="5" t="s">
        <v>623</v>
      </c>
      <c r="T218" s="5"/>
      <c r="U218" s="5"/>
      <c r="V218" s="5"/>
      <c r="W218" s="5"/>
      <c r="X218" s="5"/>
      <c r="Y218" s="5"/>
      <c r="Z218" s="5"/>
      <c r="AA218" s="5"/>
      <c r="AB218" s="5"/>
      <c r="AC218" s="8"/>
      <c r="AD218" s="8"/>
      <c r="AE218" s="124"/>
      <c r="AF218" s="1" t="s">
        <v>1022</v>
      </c>
      <c r="AG218" s="1" t="s">
        <v>1015</v>
      </c>
      <c r="AH218" s="1"/>
      <c r="AI218" s="1"/>
      <c r="AJ218" s="1"/>
    </row>
    <row r="219" spans="1:37" s="2" customFormat="1" ht="11.25" customHeight="1">
      <c r="A219" s="95" t="s">
        <v>410</v>
      </c>
      <c r="B219" s="51" t="s">
        <v>411</v>
      </c>
      <c r="C219" s="51" t="s">
        <v>412</v>
      </c>
      <c r="D219" s="56" t="s">
        <v>387</v>
      </c>
      <c r="E219" s="56" t="s">
        <v>626</v>
      </c>
      <c r="F219" s="56"/>
      <c r="G219" s="126">
        <v>2</v>
      </c>
      <c r="H219" s="54"/>
      <c r="I219" s="54"/>
      <c r="J219" s="54"/>
      <c r="K219" s="54"/>
      <c r="L219" s="54"/>
      <c r="M219" s="54"/>
      <c r="N219" s="54"/>
      <c r="O219" s="54"/>
      <c r="P219" s="54"/>
      <c r="Q219" s="54"/>
      <c r="R219" s="54"/>
      <c r="S219" s="54"/>
      <c r="T219" s="54"/>
      <c r="U219" s="54"/>
      <c r="V219" s="54"/>
      <c r="W219" s="54"/>
      <c r="X219" s="54"/>
      <c r="Y219" s="54"/>
      <c r="Z219" s="54"/>
      <c r="AA219" s="54"/>
      <c r="AB219" s="54"/>
      <c r="AC219" s="55"/>
      <c r="AD219" s="55"/>
      <c r="AE219" s="126"/>
      <c r="AF219" s="54" t="s">
        <v>389</v>
      </c>
      <c r="AG219" s="51" t="s">
        <v>612</v>
      </c>
      <c r="AH219" s="51"/>
      <c r="AI219" s="51"/>
      <c r="AJ219" s="51"/>
      <c r="AK219" s="51"/>
    </row>
    <row r="220" spans="1:37" s="2" customFormat="1" ht="11.25" customHeight="1">
      <c r="A220" s="95" t="s">
        <v>207</v>
      </c>
      <c r="B220" s="1" t="s">
        <v>379</v>
      </c>
      <c r="C220" s="1" t="s">
        <v>380</v>
      </c>
      <c r="D220" s="4" t="s">
        <v>387</v>
      </c>
      <c r="E220" s="4"/>
      <c r="F220" s="4"/>
      <c r="G220" s="124">
        <v>2</v>
      </c>
      <c r="H220" s="5"/>
      <c r="I220" s="5"/>
      <c r="J220" s="5"/>
      <c r="K220" s="5" t="s">
        <v>388</v>
      </c>
      <c r="L220" s="5"/>
      <c r="M220" s="5"/>
      <c r="N220" s="5"/>
      <c r="O220" s="5"/>
      <c r="P220" s="5" t="s">
        <v>388</v>
      </c>
      <c r="Q220" s="5"/>
      <c r="R220" s="5"/>
      <c r="S220" s="5"/>
      <c r="T220" s="5" t="s">
        <v>388</v>
      </c>
      <c r="U220" s="5" t="s">
        <v>388</v>
      </c>
      <c r="V220" s="5"/>
      <c r="W220" s="5"/>
      <c r="X220" s="5"/>
      <c r="Y220" s="5"/>
      <c r="Z220" s="5" t="s">
        <v>388</v>
      </c>
      <c r="AA220" s="5" t="s">
        <v>388</v>
      </c>
      <c r="AB220" s="5" t="s">
        <v>388</v>
      </c>
      <c r="AC220" s="8" t="s">
        <v>388</v>
      </c>
      <c r="AD220" s="8"/>
      <c r="AE220" s="124">
        <v>3</v>
      </c>
      <c r="AF220" s="5" t="s">
        <v>389</v>
      </c>
      <c r="AG220" s="1"/>
      <c r="AH220" s="1"/>
      <c r="AI220" s="1"/>
      <c r="AJ220" s="1"/>
    </row>
    <row r="221" spans="1:37" s="2" customFormat="1" ht="11.25" customHeight="1">
      <c r="A221" s="95" t="s">
        <v>207</v>
      </c>
      <c r="B221" s="2" t="s">
        <v>208</v>
      </c>
      <c r="C221" s="1" t="s">
        <v>209</v>
      </c>
      <c r="D221" s="4" t="s">
        <v>387</v>
      </c>
      <c r="E221" s="4"/>
      <c r="F221" s="4"/>
      <c r="G221" s="124">
        <v>2</v>
      </c>
      <c r="H221" s="5"/>
      <c r="I221" s="5"/>
      <c r="J221" s="5"/>
      <c r="K221" s="5"/>
      <c r="L221" s="5"/>
      <c r="M221" s="5"/>
      <c r="N221" s="5"/>
      <c r="O221" s="5"/>
      <c r="P221" s="5"/>
      <c r="Q221" s="5"/>
      <c r="R221" s="5"/>
      <c r="S221" s="5"/>
      <c r="T221" s="5"/>
      <c r="U221" s="5"/>
      <c r="V221" s="5"/>
      <c r="W221" s="5"/>
      <c r="X221" s="5"/>
      <c r="Y221" s="5"/>
      <c r="Z221" s="5"/>
      <c r="AA221" s="5"/>
      <c r="AB221" s="5"/>
      <c r="AC221" s="8" t="s">
        <v>388</v>
      </c>
      <c r="AD221" s="8"/>
      <c r="AE221" s="124">
        <v>3</v>
      </c>
      <c r="AF221" s="5" t="s">
        <v>394</v>
      </c>
      <c r="AG221" s="1"/>
      <c r="AH221" s="1"/>
      <c r="AI221" s="1"/>
      <c r="AJ221" s="1"/>
    </row>
    <row r="222" spans="1:37" s="2" customFormat="1" ht="11.25" customHeight="1">
      <c r="A222" s="95" t="s">
        <v>381</v>
      </c>
      <c r="B222" s="2" t="s">
        <v>382</v>
      </c>
      <c r="C222" s="9" t="s">
        <v>383</v>
      </c>
      <c r="D222" s="35" t="s">
        <v>387</v>
      </c>
      <c r="E222" s="35"/>
      <c r="F222" s="35"/>
      <c r="G222" s="124">
        <v>2</v>
      </c>
      <c r="H222" s="5"/>
      <c r="I222" s="5"/>
      <c r="J222" s="5"/>
      <c r="K222" s="5"/>
      <c r="L222" s="5"/>
      <c r="M222" s="5"/>
      <c r="N222" s="5"/>
      <c r="O222" s="5"/>
      <c r="P222" s="5"/>
      <c r="Q222" s="5"/>
      <c r="R222" s="5"/>
      <c r="S222" s="5"/>
      <c r="T222" s="5"/>
      <c r="U222" s="5"/>
      <c r="V222" s="5" t="s">
        <v>388</v>
      </c>
      <c r="W222" s="5" t="s">
        <v>388</v>
      </c>
      <c r="X222" s="5" t="s">
        <v>388</v>
      </c>
      <c r="Y222" s="5" t="s">
        <v>388</v>
      </c>
      <c r="Z222" s="5" t="s">
        <v>388</v>
      </c>
      <c r="AA222" s="5" t="s">
        <v>388</v>
      </c>
      <c r="AB222" s="5"/>
      <c r="AC222" s="8" t="s">
        <v>388</v>
      </c>
      <c r="AD222" s="8"/>
      <c r="AE222" s="124">
        <v>3</v>
      </c>
      <c r="AF222" s="5" t="s">
        <v>389</v>
      </c>
      <c r="AG222" s="1"/>
      <c r="AH222" s="1"/>
      <c r="AI222" s="1" t="s">
        <v>384</v>
      </c>
      <c r="AJ222" s="1"/>
    </row>
    <row r="223" spans="1:37" s="2" customFormat="1" ht="11.25" customHeight="1">
      <c r="A223" s="95" t="s">
        <v>808</v>
      </c>
      <c r="B223" s="2" t="s">
        <v>809</v>
      </c>
      <c r="C223" s="2" t="s">
        <v>810</v>
      </c>
      <c r="D223" s="34" t="s">
        <v>739</v>
      </c>
      <c r="E223" s="34"/>
      <c r="F223" s="34"/>
      <c r="G223" s="85">
        <v>2</v>
      </c>
      <c r="H223" s="6"/>
      <c r="I223" s="6"/>
      <c r="J223" s="6" t="s">
        <v>388</v>
      </c>
      <c r="K223" s="6" t="s">
        <v>388</v>
      </c>
      <c r="L223" s="6"/>
      <c r="M223" s="6" t="s">
        <v>388</v>
      </c>
      <c r="N223" s="6" t="s">
        <v>388</v>
      </c>
      <c r="O223" s="6"/>
      <c r="P223" s="6"/>
      <c r="Q223" s="6"/>
      <c r="R223" s="6"/>
      <c r="S223" s="6"/>
      <c r="T223" s="6"/>
      <c r="U223" s="6"/>
      <c r="V223" s="6"/>
      <c r="W223" s="6"/>
      <c r="X223" s="6"/>
      <c r="Y223" s="6"/>
      <c r="Z223" s="6"/>
      <c r="AA223" s="6"/>
      <c r="AB223" s="6"/>
      <c r="AC223" s="12"/>
      <c r="AD223" s="12"/>
      <c r="AE223" s="85" t="s">
        <v>648</v>
      </c>
      <c r="AF223" s="6" t="s">
        <v>394</v>
      </c>
      <c r="AG223" s="2" t="s">
        <v>811</v>
      </c>
      <c r="AJ223" s="2" t="s">
        <v>763</v>
      </c>
    </row>
    <row r="224" spans="1:37" s="2" customFormat="1" ht="11.25" customHeight="1">
      <c r="A224" s="95" t="s">
        <v>663</v>
      </c>
      <c r="B224" s="2" t="s">
        <v>638</v>
      </c>
      <c r="C224" s="2" t="s">
        <v>631</v>
      </c>
      <c r="D224" s="34" t="s">
        <v>387</v>
      </c>
      <c r="E224" s="34"/>
      <c r="F224" s="34"/>
      <c r="G224" s="85">
        <v>2</v>
      </c>
      <c r="H224" s="6"/>
      <c r="I224" s="6"/>
      <c r="J224" s="6"/>
      <c r="K224" s="6" t="s">
        <v>388</v>
      </c>
      <c r="L224" s="6"/>
      <c r="M224" s="6" t="s">
        <v>388</v>
      </c>
      <c r="N224" s="6"/>
      <c r="O224" s="6"/>
      <c r="P224" s="6"/>
      <c r="Q224" s="6"/>
      <c r="R224" s="6"/>
      <c r="S224" s="6"/>
      <c r="T224" s="6"/>
      <c r="U224" s="6" t="s">
        <v>388</v>
      </c>
      <c r="V224" s="6"/>
      <c r="W224" s="6" t="s">
        <v>388</v>
      </c>
      <c r="X224" s="6" t="s">
        <v>388</v>
      </c>
      <c r="Y224" s="6"/>
      <c r="Z224" s="6"/>
      <c r="AA224" s="6"/>
      <c r="AB224" s="6"/>
      <c r="AC224" s="12"/>
      <c r="AD224" s="12"/>
      <c r="AE224" s="85" t="s">
        <v>664</v>
      </c>
      <c r="AF224" s="6" t="s">
        <v>389</v>
      </c>
    </row>
    <row r="225" spans="1:36" s="2" customFormat="1" ht="11.25" customHeight="1">
      <c r="A225" s="95" t="s">
        <v>1652</v>
      </c>
      <c r="B225" s="9" t="s">
        <v>1024</v>
      </c>
      <c r="C225" s="35" t="s">
        <v>1016</v>
      </c>
      <c r="D225" s="4" t="s">
        <v>739</v>
      </c>
      <c r="E225" s="35"/>
      <c r="F225" s="35"/>
      <c r="G225" s="124">
        <v>3</v>
      </c>
      <c r="H225" s="5"/>
      <c r="I225" s="5"/>
      <c r="J225" s="5"/>
      <c r="K225" s="5"/>
      <c r="L225" s="5"/>
      <c r="M225" s="5"/>
      <c r="N225" s="5"/>
      <c r="O225" s="6"/>
      <c r="P225" s="5"/>
      <c r="Q225" s="6" t="s">
        <v>623</v>
      </c>
      <c r="R225" s="5" t="s">
        <v>623</v>
      </c>
      <c r="S225" s="5" t="s">
        <v>623</v>
      </c>
      <c r="T225" s="5"/>
      <c r="U225" s="5"/>
      <c r="V225" s="5"/>
      <c r="W225" s="5"/>
      <c r="X225" s="5"/>
      <c r="Y225" s="5"/>
      <c r="Z225" s="5"/>
      <c r="AA225" s="5"/>
      <c r="AB225" s="5"/>
      <c r="AC225" s="8"/>
      <c r="AD225" s="8"/>
      <c r="AE225" s="125"/>
      <c r="AF225" s="8" t="s">
        <v>1022</v>
      </c>
      <c r="AG225" s="2" t="s">
        <v>1017</v>
      </c>
      <c r="AI225" s="1"/>
      <c r="AJ225" s="1"/>
    </row>
    <row r="226" spans="1:36" s="2" customFormat="1" ht="11.25" customHeight="1">
      <c r="A226" s="95" t="s">
        <v>35</v>
      </c>
      <c r="B226" s="1" t="s">
        <v>39</v>
      </c>
      <c r="C226" s="1" t="s">
        <v>40</v>
      </c>
      <c r="D226" s="4" t="s">
        <v>387</v>
      </c>
      <c r="E226" s="4" t="s">
        <v>624</v>
      </c>
      <c r="F226" s="4" t="s">
        <v>625</v>
      </c>
      <c r="G226" s="124">
        <v>3</v>
      </c>
      <c r="H226" s="5" t="s">
        <v>388</v>
      </c>
      <c r="I226" s="5"/>
      <c r="J226" s="5"/>
      <c r="K226" s="5" t="s">
        <v>388</v>
      </c>
      <c r="L226" s="5" t="s">
        <v>388</v>
      </c>
      <c r="M226" s="5" t="s">
        <v>388</v>
      </c>
      <c r="N226" s="5"/>
      <c r="O226" s="5" t="s">
        <v>388</v>
      </c>
      <c r="P226" s="5"/>
      <c r="Q226" s="5"/>
      <c r="R226" s="5" t="s">
        <v>388</v>
      </c>
      <c r="S226" s="5"/>
      <c r="T226" s="5" t="s">
        <v>388</v>
      </c>
      <c r="U226" s="5"/>
      <c r="V226" s="5" t="s">
        <v>388</v>
      </c>
      <c r="W226" s="5"/>
      <c r="X226" s="5"/>
      <c r="Y226" s="5"/>
      <c r="Z226" s="5" t="s">
        <v>388</v>
      </c>
      <c r="AA226" s="5" t="s">
        <v>388</v>
      </c>
      <c r="AB226" s="5"/>
      <c r="AC226" s="8"/>
      <c r="AD226" s="8"/>
      <c r="AE226" s="124">
        <v>3</v>
      </c>
      <c r="AF226" s="5" t="s">
        <v>394</v>
      </c>
      <c r="AG226" s="1"/>
      <c r="AH226" s="1"/>
      <c r="AI226" s="1"/>
      <c r="AJ226" s="1"/>
    </row>
    <row r="227" spans="1:36" s="2" customFormat="1" ht="11.25" customHeight="1">
      <c r="A227" s="95" t="s">
        <v>432</v>
      </c>
      <c r="B227" s="94" t="s">
        <v>601</v>
      </c>
      <c r="C227" s="3" t="s">
        <v>602</v>
      </c>
      <c r="D227" s="13" t="s">
        <v>387</v>
      </c>
      <c r="E227" s="13" t="s">
        <v>626</v>
      </c>
      <c r="F227" s="13"/>
      <c r="G227" s="124">
        <v>3</v>
      </c>
      <c r="H227" s="5"/>
      <c r="I227" s="5"/>
      <c r="J227" s="5"/>
      <c r="K227" s="5"/>
      <c r="L227" s="5" t="s">
        <v>623</v>
      </c>
      <c r="M227" s="5" t="s">
        <v>623</v>
      </c>
      <c r="N227" s="5"/>
      <c r="O227" s="5"/>
      <c r="P227" s="5"/>
      <c r="Q227" s="5"/>
      <c r="R227" s="5"/>
      <c r="S227" s="5"/>
      <c r="T227" s="5"/>
      <c r="U227" s="5"/>
      <c r="V227" s="5"/>
      <c r="W227" s="5"/>
      <c r="X227" s="5"/>
      <c r="Y227" s="5"/>
      <c r="Z227" s="5"/>
      <c r="AA227" s="5"/>
      <c r="AB227" s="5"/>
      <c r="AC227" s="8"/>
      <c r="AD227" s="8"/>
      <c r="AE227" s="124">
        <v>2</v>
      </c>
      <c r="AF227" s="5" t="s">
        <v>394</v>
      </c>
      <c r="AG227" s="1" t="s">
        <v>603</v>
      </c>
      <c r="AI227" s="1"/>
      <c r="AJ227" s="1"/>
    </row>
    <row r="228" spans="1:36" s="2" customFormat="1" ht="11.25" customHeight="1">
      <c r="A228" s="95" t="s">
        <v>246</v>
      </c>
      <c r="B228" s="1" t="s">
        <v>250</v>
      </c>
      <c r="C228" s="1" t="s">
        <v>251</v>
      </c>
      <c r="D228" s="4" t="s">
        <v>387</v>
      </c>
      <c r="E228" s="4"/>
      <c r="F228" s="4"/>
      <c r="G228" s="124">
        <v>3</v>
      </c>
      <c r="H228" s="5"/>
      <c r="I228" s="5"/>
      <c r="J228" s="5"/>
      <c r="K228" s="5"/>
      <c r="L228" s="5" t="s">
        <v>388</v>
      </c>
      <c r="M228" s="5"/>
      <c r="N228" s="5"/>
      <c r="O228" s="5"/>
      <c r="P228" s="5"/>
      <c r="Q228" s="5"/>
      <c r="R228" s="5"/>
      <c r="S228" s="5"/>
      <c r="T228" s="5" t="s">
        <v>388</v>
      </c>
      <c r="U228" s="5" t="s">
        <v>388</v>
      </c>
      <c r="V228" s="5"/>
      <c r="W228" s="5"/>
      <c r="X228" s="5"/>
      <c r="Y228" s="5"/>
      <c r="Z228" s="5"/>
      <c r="AA228" s="5"/>
      <c r="AB228" s="5"/>
      <c r="AC228" s="8"/>
      <c r="AD228" s="8"/>
      <c r="AE228" s="124">
        <v>3</v>
      </c>
      <c r="AF228" s="5" t="s">
        <v>389</v>
      </c>
      <c r="AG228" s="1"/>
      <c r="AH228" s="1"/>
      <c r="AI228" s="1" t="s">
        <v>252</v>
      </c>
      <c r="AJ228" s="1"/>
    </row>
    <row r="229" spans="1:36" s="2" customFormat="1" ht="11.25" customHeight="1">
      <c r="A229" s="95" t="s">
        <v>90</v>
      </c>
      <c r="B229" s="2" t="s">
        <v>91</v>
      </c>
      <c r="C229" s="3" t="s">
        <v>92</v>
      </c>
      <c r="D229" s="13" t="s">
        <v>387</v>
      </c>
      <c r="E229" s="13" t="s">
        <v>624</v>
      </c>
      <c r="F229" s="13" t="s">
        <v>625</v>
      </c>
      <c r="G229" s="124">
        <v>3</v>
      </c>
      <c r="H229" s="5"/>
      <c r="I229" s="5"/>
      <c r="J229" s="5" t="s">
        <v>388</v>
      </c>
      <c r="K229" s="5"/>
      <c r="L229" s="5"/>
      <c r="M229" s="5"/>
      <c r="N229" s="5" t="s">
        <v>388</v>
      </c>
      <c r="O229" s="5"/>
      <c r="P229" s="5"/>
      <c r="Q229" s="5"/>
      <c r="R229" s="5"/>
      <c r="S229" s="5"/>
      <c r="T229" s="5" t="s">
        <v>388</v>
      </c>
      <c r="U229" s="5" t="s">
        <v>388</v>
      </c>
      <c r="V229" s="5"/>
      <c r="W229" s="5"/>
      <c r="X229" s="5"/>
      <c r="Y229" s="5" t="s">
        <v>388</v>
      </c>
      <c r="Z229" s="5" t="s">
        <v>388</v>
      </c>
      <c r="AA229" s="5"/>
      <c r="AB229" s="5" t="s">
        <v>388</v>
      </c>
      <c r="AC229" s="8"/>
      <c r="AD229" s="8"/>
      <c r="AE229" s="124">
        <v>2</v>
      </c>
      <c r="AF229" s="5" t="s">
        <v>394</v>
      </c>
      <c r="AG229" s="1"/>
      <c r="AH229" s="1"/>
      <c r="AI229" s="1" t="s">
        <v>93</v>
      </c>
      <c r="AJ229" s="1"/>
    </row>
    <row r="230" spans="1:36" s="2" customFormat="1" ht="11.25" customHeight="1">
      <c r="A230" s="95" t="s">
        <v>114</v>
      </c>
      <c r="B230" s="1" t="s">
        <v>115</v>
      </c>
      <c r="C230" s="1" t="s">
        <v>116</v>
      </c>
      <c r="D230" s="4" t="s">
        <v>387</v>
      </c>
      <c r="E230" s="4" t="s">
        <v>624</v>
      </c>
      <c r="F230" s="4" t="s">
        <v>625</v>
      </c>
      <c r="G230" s="124">
        <v>3</v>
      </c>
      <c r="H230" s="5" t="s">
        <v>388</v>
      </c>
      <c r="I230" s="5"/>
      <c r="J230" s="5"/>
      <c r="K230" s="5"/>
      <c r="L230" s="5"/>
      <c r="M230" s="5"/>
      <c r="N230" s="5"/>
      <c r="O230" s="5" t="s">
        <v>388</v>
      </c>
      <c r="P230" s="5" t="s">
        <v>388</v>
      </c>
      <c r="Q230" s="5" t="s">
        <v>388</v>
      </c>
      <c r="R230" s="5" t="s">
        <v>388</v>
      </c>
      <c r="S230" s="5" t="s">
        <v>388</v>
      </c>
      <c r="T230" s="5"/>
      <c r="U230" s="5"/>
      <c r="V230" s="5" t="s">
        <v>388</v>
      </c>
      <c r="W230" s="5" t="s">
        <v>388</v>
      </c>
      <c r="X230" s="5"/>
      <c r="Y230" s="5"/>
      <c r="Z230" s="5"/>
      <c r="AA230" s="5"/>
      <c r="AB230" s="5"/>
      <c r="AC230" s="8" t="s">
        <v>388</v>
      </c>
      <c r="AD230" s="8"/>
      <c r="AE230" s="124">
        <v>3</v>
      </c>
      <c r="AF230" s="5" t="s">
        <v>394</v>
      </c>
      <c r="AG230" s="1"/>
      <c r="AH230" s="1"/>
      <c r="AI230" s="1" t="s">
        <v>117</v>
      </c>
      <c r="AJ230" s="1"/>
    </row>
    <row r="231" spans="1:36" s="2" customFormat="1" ht="11.25" customHeight="1">
      <c r="A231" s="95" t="s">
        <v>651</v>
      </c>
      <c r="B231" s="2" t="s">
        <v>635</v>
      </c>
      <c r="C231" s="2" t="s">
        <v>629</v>
      </c>
      <c r="D231" s="34" t="s">
        <v>387</v>
      </c>
      <c r="E231" s="34"/>
      <c r="F231" s="34"/>
      <c r="G231" s="85">
        <v>3</v>
      </c>
      <c r="H231" s="6"/>
      <c r="I231" s="6"/>
      <c r="J231" s="6" t="s">
        <v>388</v>
      </c>
      <c r="K231" s="6"/>
      <c r="L231" s="6"/>
      <c r="M231" s="6" t="s">
        <v>388</v>
      </c>
      <c r="N231" s="6"/>
      <c r="O231" s="6"/>
      <c r="P231" s="6" t="s">
        <v>388</v>
      </c>
      <c r="Q231" s="6"/>
      <c r="R231" s="6"/>
      <c r="S231" s="6"/>
      <c r="T231" s="6"/>
      <c r="U231" s="6"/>
      <c r="V231" s="6"/>
      <c r="W231" s="6"/>
      <c r="X231" s="6"/>
      <c r="Y231" s="6"/>
      <c r="Z231" s="6"/>
      <c r="AA231" s="6"/>
      <c r="AB231" s="6"/>
      <c r="AC231" s="12"/>
      <c r="AD231" s="12"/>
      <c r="AE231" s="85" t="s">
        <v>648</v>
      </c>
      <c r="AF231" s="6" t="s">
        <v>389</v>
      </c>
      <c r="AG231" s="2" t="s">
        <v>652</v>
      </c>
    </row>
    <row r="232" spans="1:36" s="2" customFormat="1" ht="11.25" customHeight="1">
      <c r="A232" s="95" t="s">
        <v>285</v>
      </c>
      <c r="B232" s="2" t="s">
        <v>286</v>
      </c>
      <c r="C232" s="1" t="s">
        <v>287</v>
      </c>
      <c r="D232" s="4" t="s">
        <v>387</v>
      </c>
      <c r="E232" s="4"/>
      <c r="F232" s="4"/>
      <c r="G232" s="124">
        <v>3</v>
      </c>
      <c r="H232" s="5" t="s">
        <v>388</v>
      </c>
      <c r="I232" s="5"/>
      <c r="J232" s="5"/>
      <c r="K232" s="5"/>
      <c r="L232" s="5"/>
      <c r="M232" s="5" t="s">
        <v>388</v>
      </c>
      <c r="N232" s="5"/>
      <c r="O232" s="5"/>
      <c r="P232" s="5" t="s">
        <v>388</v>
      </c>
      <c r="Q232" s="5"/>
      <c r="R232" s="5"/>
      <c r="S232" s="5"/>
      <c r="T232" s="5"/>
      <c r="U232" s="5" t="s">
        <v>388</v>
      </c>
      <c r="V232" s="5"/>
      <c r="W232" s="5"/>
      <c r="X232" s="5"/>
      <c r="Y232" s="5"/>
      <c r="Z232" s="5"/>
      <c r="AA232" s="5"/>
      <c r="AB232" s="5"/>
      <c r="AC232" s="8"/>
      <c r="AD232" s="8"/>
      <c r="AE232" s="124">
        <v>3</v>
      </c>
      <c r="AF232" s="5" t="s">
        <v>389</v>
      </c>
      <c r="AG232" s="1"/>
      <c r="AH232" s="1"/>
      <c r="AI232" s="1" t="s">
        <v>288</v>
      </c>
      <c r="AJ232" s="1"/>
    </row>
    <row r="233" spans="1:36" s="2" customFormat="1" ht="11.25" customHeight="1">
      <c r="A233" s="95" t="s">
        <v>137</v>
      </c>
      <c r="B233" s="1" t="s">
        <v>138</v>
      </c>
      <c r="C233" s="1" t="s">
        <v>139</v>
      </c>
      <c r="D233" s="4" t="s">
        <v>387</v>
      </c>
      <c r="E233" s="4" t="s">
        <v>624</v>
      </c>
      <c r="F233" s="4" t="s">
        <v>625</v>
      </c>
      <c r="G233" s="85">
        <v>3</v>
      </c>
      <c r="H233" s="5" t="s">
        <v>388</v>
      </c>
      <c r="I233" s="5"/>
      <c r="J233" s="5"/>
      <c r="K233" s="5"/>
      <c r="L233" s="5"/>
      <c r="M233" s="5" t="s">
        <v>388</v>
      </c>
      <c r="N233" s="5" t="s">
        <v>388</v>
      </c>
      <c r="O233" s="5"/>
      <c r="P233" s="5" t="s">
        <v>388</v>
      </c>
      <c r="Q233" s="5"/>
      <c r="R233" s="5"/>
      <c r="S233" s="5"/>
      <c r="T233" s="5" t="s">
        <v>388</v>
      </c>
      <c r="U233" s="5"/>
      <c r="V233" s="5"/>
      <c r="W233" s="5" t="s">
        <v>388</v>
      </c>
      <c r="X233" s="5"/>
      <c r="Y233" s="5"/>
      <c r="Z233" s="5" t="s">
        <v>388</v>
      </c>
      <c r="AA233" s="5" t="s">
        <v>388</v>
      </c>
      <c r="AB233" s="5" t="s">
        <v>388</v>
      </c>
      <c r="AC233" s="12"/>
      <c r="AD233" s="8" t="s">
        <v>388</v>
      </c>
      <c r="AE233" s="124">
        <v>3</v>
      </c>
      <c r="AF233" s="5" t="s">
        <v>394</v>
      </c>
      <c r="AG233" s="1"/>
      <c r="AH233" s="1"/>
      <c r="AI233" s="1"/>
      <c r="AJ233" s="1"/>
    </row>
    <row r="234" spans="1:36" s="2" customFormat="1" ht="11.25" customHeight="1">
      <c r="A234" s="95" t="s">
        <v>157</v>
      </c>
      <c r="B234" s="1" t="s">
        <v>158</v>
      </c>
      <c r="C234" s="1" t="s">
        <v>159</v>
      </c>
      <c r="D234" s="4" t="s">
        <v>387</v>
      </c>
      <c r="E234" s="4" t="s">
        <v>624</v>
      </c>
      <c r="F234" s="4" t="s">
        <v>625</v>
      </c>
      <c r="G234" s="124">
        <v>3</v>
      </c>
      <c r="H234" s="5"/>
      <c r="I234" s="5"/>
      <c r="J234" s="5" t="s">
        <v>388</v>
      </c>
      <c r="K234" s="5"/>
      <c r="L234" s="5"/>
      <c r="M234" s="5" t="s">
        <v>388</v>
      </c>
      <c r="N234" s="5" t="s">
        <v>388</v>
      </c>
      <c r="O234" s="5"/>
      <c r="P234" s="5"/>
      <c r="Q234" s="5" t="s">
        <v>388</v>
      </c>
      <c r="R234" s="5"/>
      <c r="S234" s="5"/>
      <c r="T234" s="5"/>
      <c r="U234" s="5"/>
      <c r="V234" s="5"/>
      <c r="W234" s="5"/>
      <c r="X234" s="5"/>
      <c r="Y234" s="5"/>
      <c r="Z234" s="5"/>
      <c r="AA234" s="5"/>
      <c r="AB234" s="5"/>
      <c r="AC234" s="8"/>
      <c r="AD234" s="8"/>
      <c r="AE234" s="124">
        <v>3</v>
      </c>
      <c r="AF234" s="5" t="s">
        <v>394</v>
      </c>
      <c r="AG234" s="1"/>
      <c r="AH234" s="1"/>
      <c r="AI234" s="1"/>
      <c r="AJ234" s="1"/>
    </row>
    <row r="235" spans="1:36" s="2" customFormat="1" ht="11.25" customHeight="1">
      <c r="A235" s="95" t="s">
        <v>321</v>
      </c>
      <c r="B235" s="1" t="s">
        <v>322</v>
      </c>
      <c r="C235" s="1" t="s">
        <v>323</v>
      </c>
      <c r="D235" s="4" t="s">
        <v>387</v>
      </c>
      <c r="E235" s="4"/>
      <c r="F235" s="4"/>
      <c r="G235" s="124">
        <v>3</v>
      </c>
      <c r="H235" s="5"/>
      <c r="I235" s="5"/>
      <c r="J235" s="5"/>
      <c r="K235" s="5"/>
      <c r="L235" s="5"/>
      <c r="M235" s="5" t="s">
        <v>388</v>
      </c>
      <c r="N235" s="5" t="s">
        <v>388</v>
      </c>
      <c r="O235" s="5" t="s">
        <v>388</v>
      </c>
      <c r="P235" s="5"/>
      <c r="Q235" s="5"/>
      <c r="R235" s="5" t="s">
        <v>388</v>
      </c>
      <c r="S235" s="5"/>
      <c r="T235" s="5" t="s">
        <v>388</v>
      </c>
      <c r="U235" s="5"/>
      <c r="V235" s="5"/>
      <c r="W235" s="5"/>
      <c r="X235" s="5"/>
      <c r="Y235" s="5"/>
      <c r="Z235" s="5"/>
      <c r="AA235" s="5"/>
      <c r="AB235" s="5"/>
      <c r="AC235" s="8"/>
      <c r="AD235" s="8"/>
      <c r="AE235" s="124">
        <v>2</v>
      </c>
      <c r="AF235" s="5" t="s">
        <v>389</v>
      </c>
      <c r="AG235" s="1"/>
      <c r="AH235" s="1"/>
      <c r="AI235" s="1" t="s">
        <v>324</v>
      </c>
      <c r="AJ235" s="1"/>
    </row>
    <row r="236" spans="1:36" s="2" customFormat="1" ht="11.25" customHeight="1">
      <c r="A236" s="95" t="s">
        <v>328</v>
      </c>
      <c r="B236" s="1" t="s">
        <v>329</v>
      </c>
      <c r="C236" s="1" t="s">
        <v>398</v>
      </c>
      <c r="D236" s="4" t="s">
        <v>387</v>
      </c>
      <c r="E236" s="4"/>
      <c r="F236" s="4"/>
      <c r="G236" s="124">
        <v>3</v>
      </c>
      <c r="H236" s="5" t="s">
        <v>388</v>
      </c>
      <c r="I236" s="5"/>
      <c r="J236" s="5" t="s">
        <v>388</v>
      </c>
      <c r="K236" s="5"/>
      <c r="L236" s="5"/>
      <c r="M236" s="5"/>
      <c r="N236" s="5" t="s">
        <v>388</v>
      </c>
      <c r="O236" s="5"/>
      <c r="P236" s="5"/>
      <c r="Q236" s="5"/>
      <c r="R236" s="5" t="s">
        <v>388</v>
      </c>
      <c r="S236" s="5"/>
      <c r="T236" s="5" t="s">
        <v>388</v>
      </c>
      <c r="U236" s="5"/>
      <c r="V236" s="5"/>
      <c r="W236" s="5"/>
      <c r="X236" s="5"/>
      <c r="Y236" s="5"/>
      <c r="Z236" s="5"/>
      <c r="AA236" s="5"/>
      <c r="AB236" s="5"/>
      <c r="AC236" s="8"/>
      <c r="AD236" s="8"/>
      <c r="AE236" s="124">
        <v>1.5</v>
      </c>
      <c r="AF236" s="5" t="s">
        <v>389</v>
      </c>
      <c r="AG236" s="1"/>
      <c r="AH236" s="1"/>
      <c r="AI236" s="1" t="s">
        <v>330</v>
      </c>
      <c r="AJ236" s="1"/>
    </row>
    <row r="237" spans="1:36" s="2" customFormat="1" ht="11.25" customHeight="1">
      <c r="A237" s="95" t="s">
        <v>178</v>
      </c>
      <c r="B237" s="1" t="s">
        <v>344</v>
      </c>
      <c r="C237" s="1" t="s">
        <v>345</v>
      </c>
      <c r="D237" s="4" t="s">
        <v>387</v>
      </c>
      <c r="E237" s="4"/>
      <c r="F237" s="4"/>
      <c r="G237" s="124">
        <v>3</v>
      </c>
      <c r="H237" s="5"/>
      <c r="I237" s="5"/>
      <c r="J237" s="5"/>
      <c r="K237" s="5"/>
      <c r="L237" s="5"/>
      <c r="M237" s="5"/>
      <c r="N237" s="5"/>
      <c r="O237" s="5"/>
      <c r="P237" s="5"/>
      <c r="Q237" s="5"/>
      <c r="R237" s="5"/>
      <c r="S237" s="5"/>
      <c r="T237" s="5" t="s">
        <v>388</v>
      </c>
      <c r="U237" s="5"/>
      <c r="V237" s="5"/>
      <c r="W237" s="5"/>
      <c r="X237" s="5"/>
      <c r="Y237" s="5"/>
      <c r="Z237" s="5"/>
      <c r="AA237" s="5" t="s">
        <v>388</v>
      </c>
      <c r="AB237" s="5" t="s">
        <v>388</v>
      </c>
      <c r="AC237" s="8" t="s">
        <v>388</v>
      </c>
      <c r="AD237" s="8"/>
      <c r="AE237" s="124">
        <v>3</v>
      </c>
      <c r="AF237" s="5" t="s">
        <v>389</v>
      </c>
      <c r="AG237" s="1"/>
      <c r="AH237" s="1"/>
      <c r="AI237" s="1"/>
      <c r="AJ237" s="1"/>
    </row>
    <row r="238" spans="1:36" s="2" customFormat="1" ht="11.25" customHeight="1">
      <c r="A238" s="95" t="s">
        <v>823</v>
      </c>
      <c r="B238" s="2" t="s">
        <v>824</v>
      </c>
      <c r="C238" s="2" t="s">
        <v>825</v>
      </c>
      <c r="D238" s="34" t="s">
        <v>739</v>
      </c>
      <c r="E238" s="34"/>
      <c r="F238" s="34"/>
      <c r="G238" s="85">
        <v>3</v>
      </c>
      <c r="H238" s="6"/>
      <c r="I238" s="6"/>
      <c r="J238" s="6" t="s">
        <v>388</v>
      </c>
      <c r="K238" s="6" t="s">
        <v>388</v>
      </c>
      <c r="L238" s="6"/>
      <c r="M238" s="6" t="s">
        <v>388</v>
      </c>
      <c r="N238" s="6" t="s">
        <v>388</v>
      </c>
      <c r="O238" s="6"/>
      <c r="P238" s="6"/>
      <c r="Q238" s="6"/>
      <c r="R238" s="6" t="s">
        <v>388</v>
      </c>
      <c r="S238" s="6"/>
      <c r="T238" s="6" t="s">
        <v>388</v>
      </c>
      <c r="U238" s="6" t="s">
        <v>388</v>
      </c>
      <c r="V238" s="6"/>
      <c r="W238" s="6" t="s">
        <v>388</v>
      </c>
      <c r="X238" s="6" t="s">
        <v>388</v>
      </c>
      <c r="Y238" s="6"/>
      <c r="Z238" s="6"/>
      <c r="AA238" s="6"/>
      <c r="AB238" s="6"/>
      <c r="AC238" s="12"/>
      <c r="AD238" s="12" t="s">
        <v>388</v>
      </c>
      <c r="AE238" s="85" t="s">
        <v>648</v>
      </c>
      <c r="AF238" s="6" t="s">
        <v>394</v>
      </c>
      <c r="AG238" s="2" t="s">
        <v>826</v>
      </c>
      <c r="AJ238" s="2" t="s">
        <v>831</v>
      </c>
    </row>
    <row r="239" spans="1:36" s="2" customFormat="1" ht="11.25" customHeight="1">
      <c r="A239" s="95" t="s">
        <v>677</v>
      </c>
      <c r="B239" s="1" t="s">
        <v>501</v>
      </c>
      <c r="C239" s="1" t="s">
        <v>502</v>
      </c>
      <c r="D239" s="4" t="s">
        <v>387</v>
      </c>
      <c r="E239" s="4" t="s">
        <v>626</v>
      </c>
      <c r="F239" s="4"/>
      <c r="G239" s="124">
        <v>3</v>
      </c>
      <c r="H239" s="5"/>
      <c r="I239" s="5" t="s">
        <v>388</v>
      </c>
      <c r="J239" s="5"/>
      <c r="K239" s="5"/>
      <c r="L239" s="5"/>
      <c r="M239" s="5"/>
      <c r="N239" s="5"/>
      <c r="O239" s="5"/>
      <c r="P239" s="5"/>
      <c r="Q239" s="5"/>
      <c r="R239" s="5"/>
      <c r="S239" s="5"/>
      <c r="T239" s="5"/>
      <c r="U239" s="5"/>
      <c r="V239" s="5"/>
      <c r="W239" s="5"/>
      <c r="X239" s="5"/>
      <c r="Y239" s="5"/>
      <c r="Z239" s="5"/>
      <c r="AA239" s="5"/>
      <c r="AB239" s="5"/>
      <c r="AC239" s="8"/>
      <c r="AD239" s="8"/>
      <c r="AE239" s="124">
        <v>2</v>
      </c>
      <c r="AF239" s="5" t="s">
        <v>394</v>
      </c>
      <c r="AG239" s="1" t="s">
        <v>503</v>
      </c>
      <c r="AI239" s="1" t="s">
        <v>676</v>
      </c>
      <c r="AJ239" s="1"/>
    </row>
    <row r="240" spans="1:36" s="2" customFormat="1" ht="11.25" customHeight="1">
      <c r="A240" s="95" t="s">
        <v>240</v>
      </c>
      <c r="B240" s="1" t="s">
        <v>241</v>
      </c>
      <c r="C240" s="1" t="s">
        <v>242</v>
      </c>
      <c r="D240" s="4" t="s">
        <v>387</v>
      </c>
      <c r="E240" s="4"/>
      <c r="F240" s="4"/>
      <c r="G240" s="124">
        <v>4</v>
      </c>
      <c r="H240" s="5" t="s">
        <v>388</v>
      </c>
      <c r="I240" s="5"/>
      <c r="J240" s="5"/>
      <c r="K240" s="5"/>
      <c r="L240" s="5"/>
      <c r="M240" s="5"/>
      <c r="N240" s="5"/>
      <c r="O240" s="5" t="s">
        <v>388</v>
      </c>
      <c r="P240" s="5"/>
      <c r="Q240" s="5" t="s">
        <v>388</v>
      </c>
      <c r="R240" s="5"/>
      <c r="S240" s="5"/>
      <c r="T240" s="5"/>
      <c r="U240" s="5"/>
      <c r="V240" s="5"/>
      <c r="W240" s="5"/>
      <c r="X240" s="5"/>
      <c r="Y240" s="5"/>
      <c r="Z240" s="5"/>
      <c r="AA240" s="5"/>
      <c r="AB240" s="5"/>
      <c r="AC240" s="8"/>
      <c r="AD240" s="8"/>
      <c r="AE240" s="124">
        <v>3</v>
      </c>
      <c r="AF240" s="5" t="s">
        <v>389</v>
      </c>
      <c r="AG240" s="1"/>
      <c r="AH240" s="1"/>
      <c r="AI240" s="1" t="s">
        <v>243</v>
      </c>
      <c r="AJ240" s="1"/>
    </row>
    <row r="241" spans="1:37" s="2" customFormat="1" ht="11.25" customHeight="1">
      <c r="A241" s="95" t="s">
        <v>66</v>
      </c>
      <c r="B241" s="2" t="s">
        <v>642</v>
      </c>
      <c r="C241" s="1" t="s">
        <v>67</v>
      </c>
      <c r="D241" s="4" t="s">
        <v>387</v>
      </c>
      <c r="E241" s="4" t="s">
        <v>624</v>
      </c>
      <c r="F241" s="4" t="s">
        <v>625</v>
      </c>
      <c r="G241" s="124">
        <v>4</v>
      </c>
      <c r="H241" s="5" t="s">
        <v>388</v>
      </c>
      <c r="I241" s="5"/>
      <c r="J241" s="5" t="s">
        <v>388</v>
      </c>
      <c r="K241" s="5"/>
      <c r="L241" s="5" t="s">
        <v>388</v>
      </c>
      <c r="M241" s="5" t="s">
        <v>388</v>
      </c>
      <c r="N241" s="5" t="s">
        <v>388</v>
      </c>
      <c r="O241" s="5" t="s">
        <v>388</v>
      </c>
      <c r="P241" s="5"/>
      <c r="Q241" s="5" t="s">
        <v>388</v>
      </c>
      <c r="R241" s="5"/>
      <c r="S241" s="5"/>
      <c r="T241" s="5"/>
      <c r="U241" s="5"/>
      <c r="V241" s="5"/>
      <c r="W241" s="5"/>
      <c r="X241" s="5"/>
      <c r="Y241" s="5"/>
      <c r="Z241" s="5"/>
      <c r="AA241" s="5"/>
      <c r="AB241" s="5"/>
      <c r="AC241" s="8"/>
      <c r="AD241" s="8"/>
      <c r="AE241" s="124">
        <v>3</v>
      </c>
      <c r="AF241" s="5" t="s">
        <v>641</v>
      </c>
      <c r="AG241" s="1"/>
      <c r="AI241" s="2" t="s">
        <v>68</v>
      </c>
      <c r="AJ241" s="1"/>
    </row>
    <row r="242" spans="1:37" s="2" customFormat="1" ht="11.25" customHeight="1">
      <c r="A242" s="95" t="s">
        <v>87</v>
      </c>
      <c r="B242" s="1" t="s">
        <v>255</v>
      </c>
      <c r="C242" s="1" t="s">
        <v>256</v>
      </c>
      <c r="D242" s="4" t="s">
        <v>387</v>
      </c>
      <c r="E242" s="4"/>
      <c r="F242" s="4"/>
      <c r="G242" s="124">
        <v>4</v>
      </c>
      <c r="H242" s="5" t="s">
        <v>388</v>
      </c>
      <c r="I242" s="5"/>
      <c r="J242" s="5"/>
      <c r="K242" s="5"/>
      <c r="L242" s="5"/>
      <c r="M242" s="5" t="s">
        <v>388</v>
      </c>
      <c r="N242" s="5"/>
      <c r="O242" s="5" t="s">
        <v>388</v>
      </c>
      <c r="P242" s="5"/>
      <c r="Q242" s="5" t="s">
        <v>388</v>
      </c>
      <c r="R242" s="5"/>
      <c r="S242" s="5"/>
      <c r="T242" s="5"/>
      <c r="U242" s="5" t="s">
        <v>388</v>
      </c>
      <c r="V242" s="5"/>
      <c r="W242" s="5"/>
      <c r="X242" s="5"/>
      <c r="Y242" s="5"/>
      <c r="Z242" s="5"/>
      <c r="AA242" s="5"/>
      <c r="AB242" s="5"/>
      <c r="AC242" s="8"/>
      <c r="AD242" s="8"/>
      <c r="AE242" s="124">
        <v>3</v>
      </c>
      <c r="AF242" s="5" t="s">
        <v>389</v>
      </c>
      <c r="AG242" s="1"/>
      <c r="AH242" s="1"/>
      <c r="AI242" s="1" t="s">
        <v>257</v>
      </c>
      <c r="AJ242" s="1"/>
    </row>
    <row r="243" spans="1:37" s="2" customFormat="1" ht="11.25" customHeight="1">
      <c r="A243" s="95" t="s">
        <v>114</v>
      </c>
      <c r="B243" s="1" t="s">
        <v>118</v>
      </c>
      <c r="C243" s="1" t="s">
        <v>119</v>
      </c>
      <c r="D243" s="4" t="s">
        <v>387</v>
      </c>
      <c r="E243" s="4" t="s">
        <v>624</v>
      </c>
      <c r="F243" s="4" t="s">
        <v>625</v>
      </c>
      <c r="G243" s="124">
        <v>4</v>
      </c>
      <c r="H243" s="5" t="s">
        <v>388</v>
      </c>
      <c r="I243" s="5"/>
      <c r="J243" s="5"/>
      <c r="K243" s="5"/>
      <c r="L243" s="5"/>
      <c r="M243" s="5"/>
      <c r="N243" s="5" t="s">
        <v>388</v>
      </c>
      <c r="O243" s="5"/>
      <c r="P243" s="5" t="s">
        <v>388</v>
      </c>
      <c r="Q243" s="5" t="s">
        <v>388</v>
      </c>
      <c r="R243" s="5" t="s">
        <v>388</v>
      </c>
      <c r="S243" s="5" t="s">
        <v>388</v>
      </c>
      <c r="T243" s="5"/>
      <c r="U243" s="5"/>
      <c r="V243" s="5"/>
      <c r="W243" s="5"/>
      <c r="X243" s="5"/>
      <c r="Y243" s="5"/>
      <c r="Z243" s="5"/>
      <c r="AA243" s="5"/>
      <c r="AB243" s="5"/>
      <c r="AC243" s="8" t="s">
        <v>388</v>
      </c>
      <c r="AD243" s="8" t="s">
        <v>388</v>
      </c>
      <c r="AE243" s="124">
        <v>3</v>
      </c>
      <c r="AF243" s="5" t="s">
        <v>394</v>
      </c>
      <c r="AG243" s="1"/>
      <c r="AH243" s="1"/>
      <c r="AI243" s="1"/>
      <c r="AJ243" s="1"/>
    </row>
    <row r="244" spans="1:37" s="2" customFormat="1" ht="11.25" customHeight="1">
      <c r="A244" s="95" t="s">
        <v>644</v>
      </c>
      <c r="B244" s="2" t="s">
        <v>636</v>
      </c>
      <c r="C244" s="45" t="s">
        <v>654</v>
      </c>
      <c r="D244" s="34" t="s">
        <v>387</v>
      </c>
      <c r="E244" s="34"/>
      <c r="F244" s="34"/>
      <c r="G244" s="85">
        <v>4</v>
      </c>
      <c r="H244" s="6"/>
      <c r="I244" s="6"/>
      <c r="J244" s="6" t="s">
        <v>388</v>
      </c>
      <c r="K244" s="6"/>
      <c r="L244" s="6" t="s">
        <v>388</v>
      </c>
      <c r="M244" s="6" t="s">
        <v>388</v>
      </c>
      <c r="N244" s="6" t="s">
        <v>388</v>
      </c>
      <c r="O244" s="6"/>
      <c r="P244" s="6" t="s">
        <v>388</v>
      </c>
      <c r="Q244" s="6"/>
      <c r="R244" s="6"/>
      <c r="S244" s="6"/>
      <c r="T244" s="6"/>
      <c r="U244" s="6"/>
      <c r="V244" s="6"/>
      <c r="W244" s="6"/>
      <c r="X244" s="6"/>
      <c r="Y244" s="6"/>
      <c r="Z244" s="6"/>
      <c r="AA244" s="6"/>
      <c r="AB244" s="6"/>
      <c r="AC244" s="12"/>
      <c r="AD244" s="12" t="s">
        <v>388</v>
      </c>
      <c r="AE244" s="85" t="s">
        <v>645</v>
      </c>
      <c r="AF244" s="6" t="s">
        <v>389</v>
      </c>
      <c r="AJ244" s="2" t="s">
        <v>653</v>
      </c>
      <c r="AK244" s="2" t="s">
        <v>646</v>
      </c>
    </row>
    <row r="245" spans="1:37" s="2" customFormat="1" ht="11.25" customHeight="1">
      <c r="A245" s="95" t="s">
        <v>310</v>
      </c>
      <c r="B245" s="1" t="s">
        <v>313</v>
      </c>
      <c r="C245" s="1" t="s">
        <v>314</v>
      </c>
      <c r="D245" s="4" t="s">
        <v>387</v>
      </c>
      <c r="E245" s="4"/>
      <c r="F245" s="4"/>
      <c r="G245" s="124">
        <v>4</v>
      </c>
      <c r="H245" s="5" t="s">
        <v>388</v>
      </c>
      <c r="I245" s="5"/>
      <c r="J245" s="5" t="s">
        <v>388</v>
      </c>
      <c r="K245" s="5" t="s">
        <v>388</v>
      </c>
      <c r="L245" s="5"/>
      <c r="M245" s="5"/>
      <c r="N245" s="5" t="s">
        <v>388</v>
      </c>
      <c r="O245" s="5"/>
      <c r="P245" s="5"/>
      <c r="Q245" s="5"/>
      <c r="R245" s="5" t="s">
        <v>388</v>
      </c>
      <c r="S245" s="5"/>
      <c r="T245" s="5"/>
      <c r="U245" s="5"/>
      <c r="V245" s="5"/>
      <c r="W245" s="5"/>
      <c r="X245" s="5"/>
      <c r="Y245" s="5"/>
      <c r="Z245" s="5"/>
      <c r="AA245" s="5"/>
      <c r="AB245" s="5"/>
      <c r="AC245" s="8" t="s">
        <v>388</v>
      </c>
      <c r="AD245" s="8"/>
      <c r="AE245" s="124">
        <v>3</v>
      </c>
      <c r="AF245" s="5" t="s">
        <v>389</v>
      </c>
      <c r="AG245" s="1"/>
      <c r="AH245" s="1"/>
      <c r="AI245" s="1" t="s">
        <v>315</v>
      </c>
      <c r="AJ245" s="1"/>
    </row>
    <row r="246" spans="1:37" s="2" customFormat="1" ht="11.25" customHeight="1">
      <c r="A246" s="95" t="s">
        <v>310</v>
      </c>
      <c r="B246" s="1" t="s">
        <v>311</v>
      </c>
      <c r="C246" s="1" t="s">
        <v>312</v>
      </c>
      <c r="D246" s="4" t="s">
        <v>387</v>
      </c>
      <c r="E246" s="4"/>
      <c r="F246" s="4"/>
      <c r="G246" s="124">
        <v>4</v>
      </c>
      <c r="H246" s="5" t="s">
        <v>388</v>
      </c>
      <c r="I246" s="5"/>
      <c r="J246" s="5" t="s">
        <v>388</v>
      </c>
      <c r="K246" s="5" t="s">
        <v>388</v>
      </c>
      <c r="L246" s="5"/>
      <c r="M246" s="5"/>
      <c r="N246" s="5" t="s">
        <v>388</v>
      </c>
      <c r="O246" s="5"/>
      <c r="P246" s="5"/>
      <c r="Q246" s="5"/>
      <c r="R246" s="5" t="s">
        <v>388</v>
      </c>
      <c r="S246" s="5"/>
      <c r="T246" s="5"/>
      <c r="U246" s="5"/>
      <c r="V246" s="5"/>
      <c r="W246" s="5"/>
      <c r="X246" s="5"/>
      <c r="Y246" s="5"/>
      <c r="Z246" s="5"/>
      <c r="AA246" s="5"/>
      <c r="AB246" s="5"/>
      <c r="AC246" s="8"/>
      <c r="AD246" s="8"/>
      <c r="AE246" s="124">
        <v>3</v>
      </c>
      <c r="AF246" s="5" t="s">
        <v>389</v>
      </c>
      <c r="AG246" s="1"/>
      <c r="AH246" s="1"/>
      <c r="AI246" s="1"/>
      <c r="AJ246" s="1"/>
    </row>
    <row r="247" spans="1:37" s="2" customFormat="1" ht="11.25" customHeight="1">
      <c r="A247" s="95" t="s">
        <v>173</v>
      </c>
      <c r="B247" s="1" t="s">
        <v>174</v>
      </c>
      <c r="C247" s="1" t="s">
        <v>393</v>
      </c>
      <c r="D247" s="4" t="s">
        <v>387</v>
      </c>
      <c r="E247" s="4" t="s">
        <v>624</v>
      </c>
      <c r="F247" s="4" t="s">
        <v>625</v>
      </c>
      <c r="G247" s="124">
        <v>4</v>
      </c>
      <c r="H247" s="5"/>
      <c r="I247" s="5"/>
      <c r="J247" s="5"/>
      <c r="K247" s="5"/>
      <c r="L247" s="5"/>
      <c r="M247" s="5" t="s">
        <v>388</v>
      </c>
      <c r="N247" s="5"/>
      <c r="O247" s="5"/>
      <c r="P247" s="5"/>
      <c r="Q247" s="5"/>
      <c r="R247" s="5"/>
      <c r="S247" s="5"/>
      <c r="T247" s="5" t="s">
        <v>388</v>
      </c>
      <c r="U247" s="5"/>
      <c r="V247" s="5"/>
      <c r="W247" s="5"/>
      <c r="X247" s="5"/>
      <c r="Y247" s="5"/>
      <c r="Z247" s="5"/>
      <c r="AA247" s="5"/>
      <c r="AB247" s="5"/>
      <c r="AC247" s="8"/>
      <c r="AD247" s="8"/>
      <c r="AE247" s="124">
        <v>3</v>
      </c>
      <c r="AF247" s="5" t="s">
        <v>394</v>
      </c>
      <c r="AG247" s="1"/>
      <c r="AH247" s="1"/>
      <c r="AI247" s="1"/>
      <c r="AJ247" s="1"/>
    </row>
    <row r="248" spans="1:37" s="2" customFormat="1" ht="11.25" customHeight="1">
      <c r="A248" s="95" t="s">
        <v>328</v>
      </c>
      <c r="B248" s="1" t="s">
        <v>331</v>
      </c>
      <c r="C248" s="1" t="s">
        <v>332</v>
      </c>
      <c r="D248" s="4" t="s">
        <v>387</v>
      </c>
      <c r="E248" s="4"/>
      <c r="F248" s="4"/>
      <c r="G248" s="124">
        <v>4</v>
      </c>
      <c r="H248" s="5" t="s">
        <v>388</v>
      </c>
      <c r="I248" s="5"/>
      <c r="J248" s="5"/>
      <c r="K248" s="5"/>
      <c r="L248" s="5"/>
      <c r="M248" s="5"/>
      <c r="N248" s="5"/>
      <c r="O248" s="5" t="s">
        <v>388</v>
      </c>
      <c r="P248" s="5"/>
      <c r="Q248" s="5" t="s">
        <v>388</v>
      </c>
      <c r="R248" s="5"/>
      <c r="S248" s="5"/>
      <c r="T248" s="5" t="s">
        <v>388</v>
      </c>
      <c r="U248" s="5"/>
      <c r="V248" s="5"/>
      <c r="W248" s="5"/>
      <c r="X248" s="5"/>
      <c r="Y248" s="5"/>
      <c r="Z248" s="5"/>
      <c r="AA248" s="5" t="s">
        <v>388</v>
      </c>
      <c r="AB248" s="5"/>
      <c r="AC248" s="8"/>
      <c r="AD248" s="8"/>
      <c r="AE248" s="124">
        <v>3</v>
      </c>
      <c r="AF248" s="5" t="s">
        <v>389</v>
      </c>
      <c r="AG248" s="1"/>
      <c r="AH248" s="1"/>
      <c r="AI248" s="1" t="s">
        <v>333</v>
      </c>
      <c r="AJ248" s="1"/>
    </row>
    <row r="249" spans="1:37" s="2" customFormat="1" ht="11.25" customHeight="1">
      <c r="A249" s="95" t="s">
        <v>175</v>
      </c>
      <c r="B249" s="2" t="s">
        <v>820</v>
      </c>
      <c r="C249" s="2" t="s">
        <v>821</v>
      </c>
      <c r="D249" s="34" t="s">
        <v>739</v>
      </c>
      <c r="E249" s="34"/>
      <c r="F249" s="34"/>
      <c r="G249" s="85">
        <v>4</v>
      </c>
      <c r="H249" s="6"/>
      <c r="I249" s="6"/>
      <c r="J249" s="6"/>
      <c r="K249" s="6" t="s">
        <v>388</v>
      </c>
      <c r="L249" s="6"/>
      <c r="M249" s="6" t="s">
        <v>388</v>
      </c>
      <c r="N249" s="6" t="s">
        <v>388</v>
      </c>
      <c r="O249" s="6" t="s">
        <v>388</v>
      </c>
      <c r="P249" s="6"/>
      <c r="Q249" s="6"/>
      <c r="R249" s="6" t="s">
        <v>388</v>
      </c>
      <c r="S249" s="6"/>
      <c r="T249" s="6" t="s">
        <v>388</v>
      </c>
      <c r="U249" s="6" t="s">
        <v>388</v>
      </c>
      <c r="V249" s="6"/>
      <c r="W249" s="6" t="s">
        <v>388</v>
      </c>
      <c r="X249" s="6" t="s">
        <v>388</v>
      </c>
      <c r="Y249" s="6"/>
      <c r="Z249" s="6" t="s">
        <v>388</v>
      </c>
      <c r="AA249" s="6" t="s">
        <v>388</v>
      </c>
      <c r="AB249" s="6" t="s">
        <v>388</v>
      </c>
      <c r="AC249" s="12"/>
      <c r="AD249" s="12"/>
      <c r="AE249" s="85" t="s">
        <v>648</v>
      </c>
      <c r="AF249" s="6" t="s">
        <v>389</v>
      </c>
      <c r="AG249" s="2" t="s">
        <v>822</v>
      </c>
    </row>
    <row r="250" spans="1:37" s="2" customFormat="1" ht="11.25" customHeight="1">
      <c r="A250" s="95" t="s">
        <v>175</v>
      </c>
      <c r="B250" s="2" t="s">
        <v>176</v>
      </c>
      <c r="C250" s="3" t="s">
        <v>177</v>
      </c>
      <c r="D250" s="13" t="s">
        <v>387</v>
      </c>
      <c r="E250" s="13" t="s">
        <v>624</v>
      </c>
      <c r="F250" s="13" t="s">
        <v>625</v>
      </c>
      <c r="G250" s="124">
        <v>4</v>
      </c>
      <c r="H250" s="5"/>
      <c r="I250" s="5"/>
      <c r="J250" s="5" t="s">
        <v>388</v>
      </c>
      <c r="K250" s="5"/>
      <c r="L250" s="5"/>
      <c r="M250" s="5" t="s">
        <v>388</v>
      </c>
      <c r="N250" s="5" t="s">
        <v>388</v>
      </c>
      <c r="O250" s="5"/>
      <c r="P250" s="5"/>
      <c r="Q250" s="5"/>
      <c r="R250" s="5"/>
      <c r="S250" s="5"/>
      <c r="T250" s="5" t="s">
        <v>388</v>
      </c>
      <c r="U250" s="5"/>
      <c r="V250" s="5"/>
      <c r="W250" s="5"/>
      <c r="X250" s="5"/>
      <c r="Y250" s="5"/>
      <c r="Z250" s="5"/>
      <c r="AA250" s="5"/>
      <c r="AB250" s="5"/>
      <c r="AC250" s="8" t="s">
        <v>388</v>
      </c>
      <c r="AD250" s="8"/>
      <c r="AE250" s="124">
        <v>3</v>
      </c>
      <c r="AF250" s="5" t="s">
        <v>394</v>
      </c>
      <c r="AG250" s="1"/>
      <c r="AH250" s="1"/>
      <c r="AI250" s="1"/>
      <c r="AJ250" s="1"/>
    </row>
    <row r="251" spans="1:37" ht="11.25" customHeight="1">
      <c r="A251" s="95" t="s">
        <v>337</v>
      </c>
      <c r="B251" s="1" t="s">
        <v>338</v>
      </c>
      <c r="C251" s="2" t="s">
        <v>339</v>
      </c>
      <c r="D251" s="34" t="s">
        <v>387</v>
      </c>
      <c r="E251" s="34"/>
      <c r="F251" s="34"/>
      <c r="G251" s="124">
        <v>4</v>
      </c>
      <c r="J251" s="5" t="s">
        <v>388</v>
      </c>
      <c r="K251" s="5" t="s">
        <v>388</v>
      </c>
      <c r="N251" s="5" t="s">
        <v>388</v>
      </c>
      <c r="T251" s="5" t="s">
        <v>388</v>
      </c>
      <c r="W251" s="5" t="s">
        <v>388</v>
      </c>
      <c r="AB251" s="5"/>
      <c r="AC251" s="8"/>
      <c r="AD251" s="8"/>
      <c r="AE251" s="124">
        <v>3</v>
      </c>
      <c r="AF251" s="5" t="s">
        <v>389</v>
      </c>
      <c r="AI251" s="1"/>
      <c r="AK251" s="2"/>
    </row>
    <row r="252" spans="1:37" ht="11.25" customHeight="1">
      <c r="A252" s="95" t="s">
        <v>354</v>
      </c>
      <c r="B252" s="1" t="s">
        <v>355</v>
      </c>
      <c r="C252" s="1" t="s">
        <v>356</v>
      </c>
      <c r="D252" s="4" t="s">
        <v>1150</v>
      </c>
      <c r="E252" s="4"/>
      <c r="F252" s="4"/>
      <c r="G252" s="124">
        <v>4</v>
      </c>
      <c r="H252" s="5" t="s">
        <v>388</v>
      </c>
      <c r="N252" s="5" t="s">
        <v>388</v>
      </c>
      <c r="U252" s="5" t="s">
        <v>388</v>
      </c>
      <c r="AB252" s="5"/>
      <c r="AC252" s="8"/>
      <c r="AD252" s="8"/>
      <c r="AE252" s="124">
        <v>3</v>
      </c>
      <c r="AF252" s="5" t="s">
        <v>389</v>
      </c>
      <c r="AI252" s="1" t="s">
        <v>1152</v>
      </c>
      <c r="AK252" s="2"/>
    </row>
    <row r="253" spans="1:37" ht="11.25" customHeight="1">
      <c r="A253" s="95" t="s">
        <v>385</v>
      </c>
      <c r="B253" s="2" t="s">
        <v>386</v>
      </c>
      <c r="C253" s="9" t="s">
        <v>400</v>
      </c>
      <c r="D253" s="35" t="s">
        <v>387</v>
      </c>
      <c r="E253" s="35"/>
      <c r="F253" s="35"/>
      <c r="G253" s="124">
        <v>4</v>
      </c>
      <c r="AB253" s="5"/>
      <c r="AC253" s="8" t="s">
        <v>388</v>
      </c>
      <c r="AD253" s="8"/>
      <c r="AE253" s="124">
        <v>3</v>
      </c>
      <c r="AF253" s="5" t="s">
        <v>389</v>
      </c>
      <c r="AI253" s="1"/>
      <c r="AK253" s="2"/>
    </row>
    <row r="254" spans="1:37" ht="11.25" customHeight="1">
      <c r="A254" s="95" t="s">
        <v>69</v>
      </c>
      <c r="B254" s="2" t="s">
        <v>643</v>
      </c>
      <c r="C254" s="1" t="s">
        <v>70</v>
      </c>
      <c r="D254" s="4" t="s">
        <v>387</v>
      </c>
      <c r="E254" s="4" t="s">
        <v>624</v>
      </c>
      <c r="F254" s="4" t="s">
        <v>625</v>
      </c>
      <c r="G254" s="124">
        <v>5</v>
      </c>
      <c r="H254" s="5" t="s">
        <v>388</v>
      </c>
      <c r="J254" s="5" t="s">
        <v>388</v>
      </c>
      <c r="M254" s="5" t="s">
        <v>388</v>
      </c>
      <c r="O254" s="5" t="s">
        <v>388</v>
      </c>
      <c r="Q254" s="5" t="s">
        <v>388</v>
      </c>
      <c r="AB254" s="5"/>
      <c r="AC254" s="8" t="s">
        <v>388</v>
      </c>
      <c r="AD254" s="8"/>
      <c r="AE254" s="124">
        <v>3</v>
      </c>
      <c r="AF254" s="5" t="s">
        <v>641</v>
      </c>
      <c r="AH254" s="2"/>
      <c r="AI254" s="2"/>
      <c r="AK254" s="2"/>
    </row>
    <row r="255" spans="1:37" ht="11.25" customHeight="1">
      <c r="A255" s="95" t="s">
        <v>87</v>
      </c>
      <c r="B255" s="1" t="s">
        <v>253</v>
      </c>
      <c r="C255" s="1" t="s">
        <v>254</v>
      </c>
      <c r="D255" s="4" t="s">
        <v>387</v>
      </c>
      <c r="E255" s="4"/>
      <c r="F255" s="4"/>
      <c r="G255" s="124">
        <v>5</v>
      </c>
      <c r="H255" s="5" t="s">
        <v>388</v>
      </c>
      <c r="J255" s="5" t="s">
        <v>388</v>
      </c>
      <c r="L255" s="5" t="s">
        <v>388</v>
      </c>
      <c r="W255" s="5" t="s">
        <v>388</v>
      </c>
      <c r="AB255" s="5"/>
      <c r="AC255" s="8"/>
      <c r="AD255" s="8"/>
      <c r="AE255" s="124">
        <v>3</v>
      </c>
      <c r="AF255" s="5" t="s">
        <v>389</v>
      </c>
      <c r="AI255" s="1"/>
      <c r="AK255" s="2"/>
    </row>
    <row r="256" spans="1:37" ht="11.25" customHeight="1">
      <c r="A256" s="95" t="s">
        <v>94</v>
      </c>
      <c r="B256" s="2" t="s">
        <v>95</v>
      </c>
      <c r="C256" s="3" t="s">
        <v>96</v>
      </c>
      <c r="D256" s="13" t="s">
        <v>387</v>
      </c>
      <c r="E256" s="13" t="s">
        <v>624</v>
      </c>
      <c r="F256" s="13" t="s">
        <v>625</v>
      </c>
      <c r="G256" s="124">
        <v>5</v>
      </c>
      <c r="H256" s="5" t="s">
        <v>388</v>
      </c>
      <c r="J256" s="5" t="s">
        <v>388</v>
      </c>
      <c r="K256" s="5" t="s">
        <v>388</v>
      </c>
      <c r="N256" s="5" t="s">
        <v>388</v>
      </c>
      <c r="O256" s="5" t="s">
        <v>388</v>
      </c>
      <c r="P256" s="5" t="s">
        <v>388</v>
      </c>
      <c r="Q256" s="5" t="s">
        <v>388</v>
      </c>
      <c r="R256" s="5" t="s">
        <v>388</v>
      </c>
      <c r="S256" s="5" t="s">
        <v>388</v>
      </c>
      <c r="AB256" s="5"/>
      <c r="AC256" s="8"/>
      <c r="AD256" s="8" t="s">
        <v>388</v>
      </c>
      <c r="AE256" s="124">
        <v>3</v>
      </c>
      <c r="AF256" s="5" t="s">
        <v>394</v>
      </c>
      <c r="AI256" s="1"/>
      <c r="AK256" s="2"/>
    </row>
    <row r="257" spans="1:37" ht="11.25" customHeight="1">
      <c r="A257" s="95" t="s">
        <v>97</v>
      </c>
      <c r="B257" s="1" t="s">
        <v>258</v>
      </c>
      <c r="C257" s="1" t="s">
        <v>259</v>
      </c>
      <c r="D257" s="4" t="s">
        <v>387</v>
      </c>
      <c r="E257" s="4"/>
      <c r="F257" s="4"/>
      <c r="G257" s="124">
        <v>5</v>
      </c>
      <c r="H257" s="5" t="s">
        <v>388</v>
      </c>
      <c r="J257" s="5" t="s">
        <v>388</v>
      </c>
      <c r="N257" s="5" t="s">
        <v>388</v>
      </c>
      <c r="O257" s="5" t="s">
        <v>388</v>
      </c>
      <c r="P257" s="5" t="s">
        <v>388</v>
      </c>
      <c r="Q257" s="5" t="s">
        <v>388</v>
      </c>
      <c r="R257" s="5" t="s">
        <v>388</v>
      </c>
      <c r="S257" s="5" t="s">
        <v>388</v>
      </c>
      <c r="AB257" s="5"/>
      <c r="AC257" s="8" t="s">
        <v>388</v>
      </c>
      <c r="AD257" s="8"/>
      <c r="AE257" s="124">
        <v>4</v>
      </c>
      <c r="AF257" s="5" t="s">
        <v>389</v>
      </c>
      <c r="AI257" s="1" t="s">
        <v>260</v>
      </c>
      <c r="AK257" s="2"/>
    </row>
    <row r="258" spans="1:37" ht="11.25" customHeight="1">
      <c r="A258" s="95" t="s">
        <v>97</v>
      </c>
      <c r="B258" s="1" t="s">
        <v>98</v>
      </c>
      <c r="C258" s="1" t="s">
        <v>20</v>
      </c>
      <c r="D258" s="4" t="s">
        <v>387</v>
      </c>
      <c r="E258" s="4" t="s">
        <v>624</v>
      </c>
      <c r="F258" s="4" t="s">
        <v>625</v>
      </c>
      <c r="G258" s="124">
        <v>5</v>
      </c>
      <c r="H258" s="5" t="s">
        <v>388</v>
      </c>
      <c r="J258" s="5" t="s">
        <v>388</v>
      </c>
      <c r="K258" s="5" t="s">
        <v>388</v>
      </c>
      <c r="N258" s="5" t="s">
        <v>388</v>
      </c>
      <c r="O258" s="5" t="s">
        <v>388</v>
      </c>
      <c r="P258" s="5" t="s">
        <v>388</v>
      </c>
      <c r="Q258" s="5" t="s">
        <v>388</v>
      </c>
      <c r="R258" s="5" t="s">
        <v>388</v>
      </c>
      <c r="S258" s="5" t="s">
        <v>388</v>
      </c>
      <c r="X258" s="5" t="s">
        <v>388</v>
      </c>
      <c r="Z258" s="5" t="s">
        <v>388</v>
      </c>
      <c r="AB258" s="5"/>
      <c r="AC258" s="8"/>
      <c r="AD258" s="8"/>
      <c r="AE258" s="124">
        <v>3</v>
      </c>
      <c r="AF258" s="5" t="s">
        <v>394</v>
      </c>
      <c r="AI258" s="1"/>
      <c r="AK258" s="2"/>
    </row>
    <row r="259" spans="1:37" ht="11.25" customHeight="1">
      <c r="A259" s="95" t="s">
        <v>262</v>
      </c>
      <c r="B259" s="1" t="s">
        <v>263</v>
      </c>
      <c r="C259" s="1" t="s">
        <v>396</v>
      </c>
      <c r="D259" s="4" t="s">
        <v>387</v>
      </c>
      <c r="E259" s="4"/>
      <c r="F259" s="4"/>
      <c r="G259" s="124">
        <v>5</v>
      </c>
      <c r="H259" s="5" t="s">
        <v>388</v>
      </c>
      <c r="I259" s="5" t="s">
        <v>388</v>
      </c>
      <c r="J259" s="5" t="s">
        <v>388</v>
      </c>
      <c r="N259" s="5" t="s">
        <v>388</v>
      </c>
      <c r="Q259" s="5" t="s">
        <v>388</v>
      </c>
      <c r="AB259" s="5"/>
      <c r="AC259" s="8"/>
      <c r="AD259" s="8"/>
      <c r="AE259" s="124">
        <v>3</v>
      </c>
      <c r="AF259" s="5" t="s">
        <v>389</v>
      </c>
      <c r="AI259" s="1" t="s">
        <v>264</v>
      </c>
      <c r="AK259" s="2"/>
    </row>
    <row r="260" spans="1:37" ht="11.25" customHeight="1">
      <c r="A260" s="95" t="s">
        <v>120</v>
      </c>
      <c r="B260" s="1" t="s">
        <v>121</v>
      </c>
      <c r="C260" s="1" t="s">
        <v>391</v>
      </c>
      <c r="D260" s="4" t="s">
        <v>387</v>
      </c>
      <c r="E260" s="4" t="s">
        <v>624</v>
      </c>
      <c r="F260" s="4" t="s">
        <v>625</v>
      </c>
      <c r="G260" s="124">
        <v>5</v>
      </c>
      <c r="H260" s="5" t="s">
        <v>388</v>
      </c>
      <c r="K260" s="5" t="s">
        <v>388</v>
      </c>
      <c r="L260" s="5" t="s">
        <v>388</v>
      </c>
      <c r="M260" s="5" t="s">
        <v>388</v>
      </c>
      <c r="N260" s="5" t="s">
        <v>388</v>
      </c>
      <c r="Q260" s="5" t="s">
        <v>388</v>
      </c>
      <c r="T260" s="5" t="s">
        <v>388</v>
      </c>
      <c r="U260" s="5" t="s">
        <v>388</v>
      </c>
      <c r="W260" s="5" t="s">
        <v>388</v>
      </c>
      <c r="X260" s="5" t="s">
        <v>388</v>
      </c>
      <c r="Z260" s="5" t="s">
        <v>388</v>
      </c>
      <c r="AA260" s="5" t="s">
        <v>388</v>
      </c>
      <c r="AB260" s="5"/>
      <c r="AC260" s="8"/>
      <c r="AD260" s="8"/>
      <c r="AE260" s="124">
        <v>3</v>
      </c>
      <c r="AF260" s="5" t="s">
        <v>394</v>
      </c>
      <c r="AI260" s="1" t="s">
        <v>122</v>
      </c>
      <c r="AK260" s="2"/>
    </row>
    <row r="261" spans="1:37" ht="11.25" customHeight="1">
      <c r="A261" s="95" t="s">
        <v>282</v>
      </c>
      <c r="B261" s="2" t="s">
        <v>283</v>
      </c>
      <c r="C261" s="1" t="s">
        <v>284</v>
      </c>
      <c r="D261" s="4" t="s">
        <v>387</v>
      </c>
      <c r="E261" s="4"/>
      <c r="F261" s="4"/>
      <c r="G261" s="124">
        <v>5</v>
      </c>
      <c r="H261" s="5" t="s">
        <v>388</v>
      </c>
      <c r="M261" s="5" t="s">
        <v>388</v>
      </c>
      <c r="O261" s="5" t="s">
        <v>388</v>
      </c>
      <c r="Q261" s="5" t="s">
        <v>388</v>
      </c>
      <c r="AB261" s="5"/>
      <c r="AC261" s="8"/>
      <c r="AD261" s="8"/>
      <c r="AE261" s="124">
        <v>3</v>
      </c>
      <c r="AF261" s="5" t="s">
        <v>389</v>
      </c>
      <c r="AI261" s="1" t="s">
        <v>675</v>
      </c>
      <c r="AK261" s="2"/>
    </row>
    <row r="262" spans="1:37" ht="11.25" customHeight="1">
      <c r="A262" s="95" t="s">
        <v>134</v>
      </c>
      <c r="B262" s="2" t="s">
        <v>292</v>
      </c>
      <c r="C262" s="9" t="s">
        <v>293</v>
      </c>
      <c r="D262" s="35" t="s">
        <v>387</v>
      </c>
      <c r="E262" s="35"/>
      <c r="F262" s="35"/>
      <c r="G262" s="124">
        <v>5</v>
      </c>
      <c r="H262" s="5" t="s">
        <v>388</v>
      </c>
      <c r="M262" s="5" t="s">
        <v>388</v>
      </c>
      <c r="O262" s="5" t="s">
        <v>388</v>
      </c>
      <c r="Q262" s="5" t="s">
        <v>388</v>
      </c>
      <c r="T262" s="5" t="s">
        <v>388</v>
      </c>
      <c r="Y262" s="5" t="s">
        <v>388</v>
      </c>
      <c r="Z262" s="5" t="s">
        <v>388</v>
      </c>
      <c r="AB262" s="5"/>
      <c r="AC262" s="8"/>
      <c r="AD262" s="8"/>
      <c r="AE262" s="124">
        <v>3</v>
      </c>
      <c r="AF262" s="5" t="s">
        <v>389</v>
      </c>
      <c r="AI262" s="1" t="s">
        <v>294</v>
      </c>
      <c r="AK262" s="2"/>
    </row>
    <row r="263" spans="1:37" ht="11.25" customHeight="1">
      <c r="A263" s="95" t="s">
        <v>361</v>
      </c>
      <c r="B263" s="1" t="s">
        <v>362</v>
      </c>
      <c r="C263" s="1" t="s">
        <v>399</v>
      </c>
      <c r="D263" s="4" t="s">
        <v>387</v>
      </c>
      <c r="E263" s="4"/>
      <c r="F263" s="4"/>
      <c r="G263" s="124">
        <v>5</v>
      </c>
      <c r="M263" s="5" t="s">
        <v>388</v>
      </c>
      <c r="R263" s="5" t="s">
        <v>388</v>
      </c>
      <c r="T263" s="5" t="s">
        <v>388</v>
      </c>
      <c r="U263" s="5" t="s">
        <v>388</v>
      </c>
      <c r="X263" s="5" t="s">
        <v>388</v>
      </c>
      <c r="Y263" s="5" t="s">
        <v>388</v>
      </c>
      <c r="Z263" s="5" t="s">
        <v>388</v>
      </c>
      <c r="AA263" s="5" t="s">
        <v>388</v>
      </c>
      <c r="AB263" s="5" t="s">
        <v>388</v>
      </c>
      <c r="AC263" s="5"/>
      <c r="AD263" s="5"/>
      <c r="AE263" s="124">
        <v>6</v>
      </c>
      <c r="AF263" s="5" t="s">
        <v>389</v>
      </c>
      <c r="AI263" s="1"/>
      <c r="AK263" s="2"/>
    </row>
    <row r="264" spans="1:37" ht="11.25" customHeight="1">
      <c r="A264" s="95" t="s">
        <v>827</v>
      </c>
      <c r="B264" s="2" t="s">
        <v>828</v>
      </c>
      <c r="C264" s="2" t="s">
        <v>829</v>
      </c>
      <c r="D264" s="34" t="s">
        <v>739</v>
      </c>
      <c r="E264" s="34"/>
      <c r="F264" s="34"/>
      <c r="G264" s="85" t="s">
        <v>743</v>
      </c>
      <c r="H264" s="6"/>
      <c r="I264" s="6"/>
      <c r="J264" s="6"/>
      <c r="K264" s="6"/>
      <c r="L264" s="6"/>
      <c r="M264" s="6"/>
      <c r="N264" s="6" t="s">
        <v>388</v>
      </c>
      <c r="O264" s="6"/>
      <c r="P264" s="6"/>
      <c r="Q264" s="6"/>
      <c r="R264" s="6"/>
      <c r="S264" s="6"/>
      <c r="T264" s="6"/>
      <c r="U264" s="6" t="s">
        <v>388</v>
      </c>
      <c r="V264" s="6"/>
      <c r="W264" s="6"/>
      <c r="X264" s="6"/>
      <c r="Y264" s="6"/>
      <c r="Z264" s="6"/>
      <c r="AA264" s="6"/>
      <c r="AB264" s="6"/>
      <c r="AC264" s="12"/>
      <c r="AD264" s="12" t="s">
        <v>388</v>
      </c>
      <c r="AE264" s="85" t="s">
        <v>648</v>
      </c>
      <c r="AF264" s="6" t="s">
        <v>394</v>
      </c>
      <c r="AG264" s="2" t="s">
        <v>830</v>
      </c>
      <c r="AH264" s="2"/>
      <c r="AI264" s="2"/>
      <c r="AJ264" s="2" t="s">
        <v>832</v>
      </c>
      <c r="AK264" s="2"/>
    </row>
    <row r="265" spans="1:37" ht="11.25" customHeight="1">
      <c r="A265" s="95" t="s">
        <v>749</v>
      </c>
      <c r="B265" s="2" t="s">
        <v>747</v>
      </c>
      <c r="C265" s="2" t="s">
        <v>748</v>
      </c>
      <c r="D265" s="2" t="s">
        <v>739</v>
      </c>
      <c r="E265" s="34"/>
      <c r="F265" s="34"/>
      <c r="G265" s="85" t="s">
        <v>743</v>
      </c>
      <c r="H265" s="6"/>
      <c r="I265" s="6"/>
      <c r="J265" s="6"/>
      <c r="K265" s="6"/>
      <c r="L265" s="6"/>
      <c r="M265" s="6"/>
      <c r="N265" s="6" t="s">
        <v>388</v>
      </c>
      <c r="O265" s="6"/>
      <c r="P265" s="6"/>
      <c r="Q265" s="6"/>
      <c r="R265" s="6"/>
      <c r="S265" s="6"/>
      <c r="T265" s="6"/>
      <c r="U265" s="6"/>
      <c r="V265" s="6"/>
      <c r="W265" s="6"/>
      <c r="X265" s="6"/>
      <c r="Y265" s="6"/>
      <c r="Z265" s="6"/>
      <c r="AA265" s="6"/>
      <c r="AB265" s="6"/>
      <c r="AC265" s="12" t="s">
        <v>388</v>
      </c>
      <c r="AD265" s="12"/>
      <c r="AE265" s="85">
        <v>3</v>
      </c>
      <c r="AF265" s="6" t="s">
        <v>394</v>
      </c>
      <c r="AG265" s="2" t="s">
        <v>750</v>
      </c>
      <c r="AH265" s="2"/>
      <c r="AI265" s="2"/>
      <c r="AJ265" s="2"/>
      <c r="AK265" s="2"/>
    </row>
    <row r="266" spans="1:37" ht="11.25" customHeight="1">
      <c r="A266" s="95" t="s">
        <v>789</v>
      </c>
      <c r="B266" s="2" t="s">
        <v>790</v>
      </c>
      <c r="C266" s="2" t="s">
        <v>791</v>
      </c>
      <c r="D266" s="34" t="s">
        <v>739</v>
      </c>
      <c r="E266" s="34"/>
      <c r="F266" s="34"/>
      <c r="G266" s="85" t="s">
        <v>743</v>
      </c>
      <c r="H266" s="6"/>
      <c r="I266" s="6"/>
      <c r="J266" s="6"/>
      <c r="K266" s="6"/>
      <c r="L266" s="6"/>
      <c r="M266" s="6"/>
      <c r="N266" s="6" t="s">
        <v>388</v>
      </c>
      <c r="O266" s="6"/>
      <c r="P266" s="6"/>
      <c r="Q266" s="6"/>
      <c r="R266" s="6"/>
      <c r="S266" s="6"/>
      <c r="T266" s="6"/>
      <c r="U266" s="6"/>
      <c r="V266" s="6"/>
      <c r="W266" s="6"/>
      <c r="X266" s="6"/>
      <c r="Y266" s="6"/>
      <c r="Z266" s="6"/>
      <c r="AA266" s="6"/>
      <c r="AB266" s="6"/>
      <c r="AC266" s="12" t="s">
        <v>388</v>
      </c>
      <c r="AD266" s="12" t="s">
        <v>388</v>
      </c>
      <c r="AE266" s="85">
        <v>3</v>
      </c>
      <c r="AF266" s="6" t="s">
        <v>389</v>
      </c>
      <c r="AG266" s="2" t="s">
        <v>792</v>
      </c>
      <c r="AH266" s="2"/>
      <c r="AI266" s="2"/>
      <c r="AJ266" s="2" t="s">
        <v>788</v>
      </c>
      <c r="AK266" s="2"/>
    </row>
    <row r="267" spans="1:37" ht="11.25" customHeight="1">
      <c r="A267" s="95" t="s">
        <v>757</v>
      </c>
      <c r="B267" s="2" t="s">
        <v>1659</v>
      </c>
      <c r="C267" s="2" t="s">
        <v>756</v>
      </c>
      <c r="D267" s="34" t="s">
        <v>739</v>
      </c>
      <c r="E267" s="34"/>
      <c r="F267" s="34"/>
      <c r="G267" s="85" t="s">
        <v>743</v>
      </c>
      <c r="H267" s="6"/>
      <c r="I267" s="6"/>
      <c r="J267" s="6"/>
      <c r="K267" s="6"/>
      <c r="L267" s="6"/>
      <c r="M267" s="6"/>
      <c r="N267" s="6" t="s">
        <v>388</v>
      </c>
      <c r="O267" s="6"/>
      <c r="P267" s="6"/>
      <c r="Q267" s="6"/>
      <c r="R267" s="6"/>
      <c r="S267" s="6"/>
      <c r="T267" s="6"/>
      <c r="U267" s="6"/>
      <c r="V267" s="6"/>
      <c r="W267" s="6"/>
      <c r="X267" s="6"/>
      <c r="Y267" s="6"/>
      <c r="Z267" s="6"/>
      <c r="AA267" s="6"/>
      <c r="AB267" s="6"/>
      <c r="AC267" s="12" t="s">
        <v>388</v>
      </c>
      <c r="AD267" s="12"/>
      <c r="AE267" s="85">
        <v>3</v>
      </c>
      <c r="AF267" s="6" t="s">
        <v>641</v>
      </c>
      <c r="AG267" s="2" t="s">
        <v>758</v>
      </c>
      <c r="AH267" s="2"/>
      <c r="AI267" s="2"/>
      <c r="AJ267" s="2"/>
      <c r="AK267" s="2"/>
    </row>
    <row r="268" spans="1:37" ht="11.25" customHeight="1">
      <c r="A268" s="95" t="s">
        <v>795</v>
      </c>
      <c r="B268" s="2" t="s">
        <v>793</v>
      </c>
      <c r="C268" s="2" t="s">
        <v>794</v>
      </c>
      <c r="D268" s="34" t="s">
        <v>739</v>
      </c>
      <c r="E268" s="34"/>
      <c r="F268" s="34"/>
      <c r="G268" s="85" t="s">
        <v>743</v>
      </c>
      <c r="H268" s="6"/>
      <c r="I268" s="6"/>
      <c r="J268" s="6"/>
      <c r="K268" s="6"/>
      <c r="L268" s="6"/>
      <c r="M268" s="6"/>
      <c r="N268" s="6" t="s">
        <v>388</v>
      </c>
      <c r="O268" s="6" t="s">
        <v>388</v>
      </c>
      <c r="P268" s="6"/>
      <c r="Q268" s="6"/>
      <c r="R268" s="6"/>
      <c r="S268" s="6"/>
      <c r="T268" s="6"/>
      <c r="U268" s="6"/>
      <c r="V268" s="6"/>
      <c r="W268" s="6"/>
      <c r="X268" s="6"/>
      <c r="Y268" s="6"/>
      <c r="Z268" s="6"/>
      <c r="AA268" s="6"/>
      <c r="AB268" s="6"/>
      <c r="AC268" s="12"/>
      <c r="AD268" s="12"/>
      <c r="AE268" s="85">
        <v>3</v>
      </c>
      <c r="AF268" s="6" t="s">
        <v>389</v>
      </c>
      <c r="AG268" s="2" t="s">
        <v>796</v>
      </c>
      <c r="AH268" s="2"/>
      <c r="AI268" s="2"/>
      <c r="AJ268" s="2" t="s">
        <v>763</v>
      </c>
      <c r="AK268" s="2"/>
    </row>
    <row r="269" spans="1:37" ht="11.25" customHeight="1">
      <c r="A269" s="95" t="s">
        <v>803</v>
      </c>
      <c r="B269" s="2" t="s">
        <v>801</v>
      </c>
      <c r="C269" s="3" t="s">
        <v>802</v>
      </c>
      <c r="D269" s="13" t="s">
        <v>739</v>
      </c>
      <c r="E269" s="13"/>
      <c r="F269" s="13"/>
      <c r="G269" s="85" t="s">
        <v>743</v>
      </c>
      <c r="H269" s="6" t="s">
        <v>388</v>
      </c>
      <c r="I269" s="6"/>
      <c r="J269" s="6"/>
      <c r="K269" s="6"/>
      <c r="L269" s="6"/>
      <c r="M269" s="6"/>
      <c r="N269" s="6" t="s">
        <v>388</v>
      </c>
      <c r="O269" s="6"/>
      <c r="P269" s="6"/>
      <c r="Q269" s="6"/>
      <c r="R269" s="6"/>
      <c r="S269" s="6"/>
      <c r="T269" s="6"/>
      <c r="U269" s="6"/>
      <c r="V269" s="6"/>
      <c r="W269" s="6"/>
      <c r="X269" s="6"/>
      <c r="Y269" s="6"/>
      <c r="Z269" s="6"/>
      <c r="AA269" s="6"/>
      <c r="AB269" s="6"/>
      <c r="AC269" s="12"/>
      <c r="AD269" s="12"/>
      <c r="AE269" s="85">
        <v>3</v>
      </c>
      <c r="AF269" s="6" t="s">
        <v>389</v>
      </c>
      <c r="AG269" s="2" t="s">
        <v>804</v>
      </c>
      <c r="AH269" s="2"/>
      <c r="AI269" s="2"/>
      <c r="AJ269" s="2" t="s">
        <v>763</v>
      </c>
      <c r="AK269" s="2"/>
    </row>
    <row r="270" spans="1:37" ht="11.25" customHeight="1">
      <c r="A270" s="95" t="s">
        <v>769</v>
      </c>
      <c r="B270" s="2" t="s">
        <v>770</v>
      </c>
      <c r="C270" s="2" t="s">
        <v>771</v>
      </c>
      <c r="D270" s="34" t="s">
        <v>739</v>
      </c>
      <c r="E270" s="34"/>
      <c r="F270" s="34"/>
      <c r="G270" s="85" t="s">
        <v>743</v>
      </c>
      <c r="H270" s="6"/>
      <c r="I270" s="6"/>
      <c r="J270" s="6"/>
      <c r="K270" s="6"/>
      <c r="L270" s="6"/>
      <c r="M270" s="6"/>
      <c r="N270" s="6" t="s">
        <v>388</v>
      </c>
      <c r="O270" s="6"/>
      <c r="P270" s="6"/>
      <c r="Q270" s="6"/>
      <c r="R270" s="6"/>
      <c r="S270" s="6"/>
      <c r="T270" s="6"/>
      <c r="U270" s="6"/>
      <c r="V270" s="6"/>
      <c r="W270" s="6"/>
      <c r="X270" s="6"/>
      <c r="Y270" s="6"/>
      <c r="Z270" s="6"/>
      <c r="AA270" s="6"/>
      <c r="AB270" s="6"/>
      <c r="AC270" s="12" t="s">
        <v>388</v>
      </c>
      <c r="AD270" s="12"/>
      <c r="AE270" s="85">
        <v>3</v>
      </c>
      <c r="AF270" s="6" t="s">
        <v>389</v>
      </c>
      <c r="AG270" s="2" t="s">
        <v>772</v>
      </c>
      <c r="AH270" s="2"/>
      <c r="AI270" s="2"/>
      <c r="AJ270" s="2" t="s">
        <v>763</v>
      </c>
      <c r="AK270" s="2"/>
    </row>
    <row r="271" spans="1:37" ht="11.25" customHeight="1">
      <c r="A271" s="95" t="s">
        <v>886</v>
      </c>
      <c r="B271" s="2" t="s">
        <v>885</v>
      </c>
      <c r="C271" s="2" t="s">
        <v>887</v>
      </c>
      <c r="D271" s="34" t="s">
        <v>739</v>
      </c>
      <c r="E271" s="34"/>
      <c r="F271" s="34"/>
      <c r="G271" s="85" t="s">
        <v>743</v>
      </c>
      <c r="H271" s="6"/>
      <c r="I271" s="6"/>
      <c r="J271" s="6"/>
      <c r="K271" s="6"/>
      <c r="L271" s="6"/>
      <c r="M271" s="6"/>
      <c r="N271" s="6" t="s">
        <v>388</v>
      </c>
      <c r="O271" s="6"/>
      <c r="P271" s="6"/>
      <c r="Q271" s="6"/>
      <c r="R271" s="6"/>
      <c r="S271" s="6"/>
      <c r="T271" s="6"/>
      <c r="U271" s="6" t="s">
        <v>388</v>
      </c>
      <c r="V271" s="6"/>
      <c r="W271" s="6"/>
      <c r="X271" s="6"/>
      <c r="Y271" s="6"/>
      <c r="Z271" s="6"/>
      <c r="AA271" s="6"/>
      <c r="AB271" s="6"/>
      <c r="AC271" s="12"/>
      <c r="AD271" s="12"/>
      <c r="AE271" s="85" t="s">
        <v>648</v>
      </c>
      <c r="AF271" s="6" t="s">
        <v>389</v>
      </c>
      <c r="AG271" s="2" t="s">
        <v>888</v>
      </c>
      <c r="AH271" s="2"/>
      <c r="AI271" s="2"/>
      <c r="AJ271" s="2" t="s">
        <v>763</v>
      </c>
      <c r="AK271" s="2"/>
    </row>
    <row r="272" spans="1:37" ht="11.25" customHeight="1">
      <c r="A272" s="95" t="s">
        <v>737</v>
      </c>
      <c r="B272" s="2" t="s">
        <v>1661</v>
      </c>
      <c r="C272" s="2" t="s">
        <v>736</v>
      </c>
      <c r="D272" s="2" t="s">
        <v>739</v>
      </c>
      <c r="E272" s="34"/>
      <c r="F272" s="34"/>
      <c r="G272" s="85" t="s">
        <v>743</v>
      </c>
      <c r="H272" s="6"/>
      <c r="I272" s="6"/>
      <c r="J272" s="6"/>
      <c r="K272" s="6"/>
      <c r="L272" s="6"/>
      <c r="M272" s="6"/>
      <c r="N272" s="6" t="s">
        <v>388</v>
      </c>
      <c r="O272" s="6"/>
      <c r="P272" s="6"/>
      <c r="Q272" s="6"/>
      <c r="R272" s="6"/>
      <c r="S272" s="6"/>
      <c r="T272" s="6"/>
      <c r="U272" s="6"/>
      <c r="V272" s="6"/>
      <c r="W272" s="6"/>
      <c r="X272" s="6"/>
      <c r="Y272" s="6"/>
      <c r="Z272" s="6"/>
      <c r="AA272" s="6"/>
      <c r="AB272" s="6"/>
      <c r="AC272" s="12" t="s">
        <v>388</v>
      </c>
      <c r="AD272" s="12"/>
      <c r="AE272" s="85">
        <v>3</v>
      </c>
      <c r="AF272" s="6" t="s">
        <v>641</v>
      </c>
      <c r="AG272" s="2" t="s">
        <v>740</v>
      </c>
      <c r="AH272" s="2"/>
      <c r="AI272" s="2"/>
      <c r="AJ272" s="2"/>
      <c r="AK272" s="2"/>
    </row>
    <row r="273" spans="1:37" ht="11.25" customHeight="1">
      <c r="A273" s="95" t="s">
        <v>861</v>
      </c>
      <c r="B273" s="2" t="s">
        <v>860</v>
      </c>
      <c r="C273" s="2" t="s">
        <v>862</v>
      </c>
      <c r="D273" s="34" t="s">
        <v>739</v>
      </c>
      <c r="E273" s="34"/>
      <c r="F273" s="34"/>
      <c r="G273" s="85" t="s">
        <v>743</v>
      </c>
      <c r="H273" s="6"/>
      <c r="I273" s="6"/>
      <c r="J273" s="6" t="s">
        <v>388</v>
      </c>
      <c r="K273" s="6"/>
      <c r="L273" s="6"/>
      <c r="M273" s="6"/>
      <c r="N273" s="6" t="s">
        <v>388</v>
      </c>
      <c r="O273" s="6"/>
      <c r="P273" s="6"/>
      <c r="Q273" s="6"/>
      <c r="R273" s="6"/>
      <c r="S273" s="6"/>
      <c r="T273" s="6"/>
      <c r="U273" s="6"/>
      <c r="V273" s="6"/>
      <c r="W273" s="6"/>
      <c r="X273" s="6"/>
      <c r="Y273" s="6"/>
      <c r="Z273" s="6"/>
      <c r="AA273" s="6"/>
      <c r="AB273" s="6"/>
      <c r="AC273" s="12"/>
      <c r="AD273" s="12" t="s">
        <v>388</v>
      </c>
      <c r="AE273" s="85" t="s">
        <v>648</v>
      </c>
      <c r="AF273" s="6" t="s">
        <v>394</v>
      </c>
      <c r="AG273" s="2" t="s">
        <v>863</v>
      </c>
      <c r="AH273" s="2"/>
      <c r="AI273" s="2"/>
      <c r="AJ273" s="2" t="s">
        <v>866</v>
      </c>
      <c r="AK273" s="2"/>
    </row>
    <row r="274" spans="1:37" ht="11.25" customHeight="1">
      <c r="A274" s="95" t="s">
        <v>775</v>
      </c>
      <c r="B274" s="2" t="s">
        <v>773</v>
      </c>
      <c r="C274" s="2" t="s">
        <v>774</v>
      </c>
      <c r="D274" s="34" t="s">
        <v>739</v>
      </c>
      <c r="E274" s="34"/>
      <c r="F274" s="34"/>
      <c r="G274" s="85" t="s">
        <v>743</v>
      </c>
      <c r="H274" s="6"/>
      <c r="I274" s="6"/>
      <c r="J274" s="6"/>
      <c r="K274" s="6"/>
      <c r="L274" s="6"/>
      <c r="M274" s="6"/>
      <c r="N274" s="6" t="s">
        <v>388</v>
      </c>
      <c r="O274" s="6"/>
      <c r="P274" s="6"/>
      <c r="Q274" s="6"/>
      <c r="R274" s="6"/>
      <c r="S274" s="6"/>
      <c r="T274" s="6"/>
      <c r="U274" s="6"/>
      <c r="V274" s="6"/>
      <c r="W274" s="6"/>
      <c r="X274" s="6"/>
      <c r="Y274" s="6"/>
      <c r="Z274" s="6"/>
      <c r="AA274" s="6"/>
      <c r="AB274" s="6"/>
      <c r="AC274" s="12" t="s">
        <v>388</v>
      </c>
      <c r="AD274" s="12" t="s">
        <v>388</v>
      </c>
      <c r="AE274" s="85">
        <v>3</v>
      </c>
      <c r="AF274" s="6" t="s">
        <v>394</v>
      </c>
      <c r="AG274" s="2" t="s">
        <v>776</v>
      </c>
      <c r="AH274" s="2"/>
      <c r="AI274" s="2"/>
      <c r="AJ274" s="2" t="s">
        <v>763</v>
      </c>
      <c r="AK274" s="2"/>
    </row>
    <row r="275" spans="1:37" ht="11.25" customHeight="1">
      <c r="A275" s="95" t="s">
        <v>1656</v>
      </c>
      <c r="B275" s="2" t="s">
        <v>1657</v>
      </c>
      <c r="C275" s="2" t="s">
        <v>766</v>
      </c>
      <c r="D275" s="34" t="s">
        <v>739</v>
      </c>
      <c r="E275" s="34"/>
      <c r="F275" s="34"/>
      <c r="G275" s="85" t="s">
        <v>743</v>
      </c>
      <c r="H275" s="6"/>
      <c r="I275" s="6"/>
      <c r="J275" s="6"/>
      <c r="K275" s="6"/>
      <c r="L275" s="6"/>
      <c r="M275" s="6"/>
      <c r="N275" s="6" t="s">
        <v>388</v>
      </c>
      <c r="O275" s="6"/>
      <c r="P275" s="6"/>
      <c r="Q275" s="6"/>
      <c r="R275" s="6"/>
      <c r="S275" s="6"/>
      <c r="T275" s="6"/>
      <c r="U275" s="6" t="s">
        <v>388</v>
      </c>
      <c r="V275" s="6"/>
      <c r="W275" s="6"/>
      <c r="X275" s="6"/>
      <c r="Y275" s="6"/>
      <c r="Z275" s="6"/>
      <c r="AA275" s="6"/>
      <c r="AB275" s="6"/>
      <c r="AC275" s="6"/>
      <c r="AD275" s="6"/>
      <c r="AE275" s="85">
        <v>3</v>
      </c>
      <c r="AF275" s="6" t="s">
        <v>641</v>
      </c>
      <c r="AG275" s="2" t="s">
        <v>767</v>
      </c>
      <c r="AH275" s="2"/>
      <c r="AI275" s="2"/>
      <c r="AJ275" s="2" t="s">
        <v>763</v>
      </c>
      <c r="AK275" s="2" t="s">
        <v>768</v>
      </c>
    </row>
    <row r="276" spans="1:37" ht="11.25" customHeight="1">
      <c r="A276" s="95" t="s">
        <v>779</v>
      </c>
      <c r="B276" s="2" t="s">
        <v>777</v>
      </c>
      <c r="C276" s="2" t="s">
        <v>778</v>
      </c>
      <c r="D276" s="34" t="s">
        <v>739</v>
      </c>
      <c r="E276" s="34"/>
      <c r="F276" s="34"/>
      <c r="G276" s="85" t="s">
        <v>743</v>
      </c>
      <c r="H276" s="6"/>
      <c r="I276" s="6"/>
      <c r="J276" s="6"/>
      <c r="K276" s="6"/>
      <c r="L276" s="6"/>
      <c r="M276" s="6"/>
      <c r="N276" s="6" t="s">
        <v>388</v>
      </c>
      <c r="O276" s="6"/>
      <c r="P276" s="6"/>
      <c r="Q276" s="6"/>
      <c r="R276" s="6"/>
      <c r="S276" s="6"/>
      <c r="T276" s="6"/>
      <c r="U276" s="6"/>
      <c r="V276" s="6"/>
      <c r="W276" s="6"/>
      <c r="X276" s="6"/>
      <c r="Y276" s="6"/>
      <c r="Z276" s="6"/>
      <c r="AA276" s="6"/>
      <c r="AB276" s="6"/>
      <c r="AC276" s="12" t="s">
        <v>388</v>
      </c>
      <c r="AD276" s="12"/>
      <c r="AE276" s="85">
        <v>3</v>
      </c>
      <c r="AF276" s="6" t="s">
        <v>389</v>
      </c>
      <c r="AG276" s="2" t="s">
        <v>780</v>
      </c>
      <c r="AH276" s="2"/>
      <c r="AI276" s="2"/>
      <c r="AJ276" s="2" t="s">
        <v>763</v>
      </c>
      <c r="AK276" s="2"/>
    </row>
    <row r="277" spans="1:37" ht="11.25" customHeight="1">
      <c r="A277" s="95" t="s">
        <v>779</v>
      </c>
      <c r="B277" s="2" t="s">
        <v>784</v>
      </c>
      <c r="C277" s="2" t="s">
        <v>778</v>
      </c>
      <c r="D277" s="34" t="s">
        <v>739</v>
      </c>
      <c r="E277" s="34"/>
      <c r="F277" s="34"/>
      <c r="G277" s="85" t="s">
        <v>743</v>
      </c>
      <c r="H277" s="6"/>
      <c r="I277" s="6"/>
      <c r="J277" s="6"/>
      <c r="K277" s="6"/>
      <c r="L277" s="6"/>
      <c r="M277" s="6"/>
      <c r="N277" s="6" t="s">
        <v>388</v>
      </c>
      <c r="O277" s="6"/>
      <c r="P277" s="6"/>
      <c r="Q277" s="6"/>
      <c r="R277" s="6"/>
      <c r="S277" s="6"/>
      <c r="T277" s="6"/>
      <c r="U277" s="6"/>
      <c r="V277" s="6"/>
      <c r="W277" s="6"/>
      <c r="X277" s="6"/>
      <c r="Y277" s="6"/>
      <c r="Z277" s="6"/>
      <c r="AA277" s="6"/>
      <c r="AB277" s="6"/>
      <c r="AC277" s="12" t="s">
        <v>388</v>
      </c>
      <c r="AD277" s="12"/>
      <c r="AE277" s="85">
        <v>3</v>
      </c>
      <c r="AF277" s="6" t="s">
        <v>389</v>
      </c>
      <c r="AG277" s="2" t="s">
        <v>785</v>
      </c>
      <c r="AH277" s="2"/>
      <c r="AI277" s="2"/>
      <c r="AJ277" s="2" t="s">
        <v>788</v>
      </c>
      <c r="AK277" s="2"/>
    </row>
    <row r="278" spans="1:37" ht="11.25" customHeight="1">
      <c r="A278" s="95" t="s">
        <v>783</v>
      </c>
      <c r="B278" s="2" t="s">
        <v>781</v>
      </c>
      <c r="C278" s="2" t="s">
        <v>782</v>
      </c>
      <c r="D278" s="34" t="s">
        <v>739</v>
      </c>
      <c r="E278" s="34"/>
      <c r="F278" s="34"/>
      <c r="G278" s="85" t="s">
        <v>743</v>
      </c>
      <c r="H278" s="6"/>
      <c r="I278" s="6"/>
      <c r="J278" s="6"/>
      <c r="K278" s="6"/>
      <c r="L278" s="6"/>
      <c r="M278" s="6"/>
      <c r="N278" s="6" t="s">
        <v>388</v>
      </c>
      <c r="O278" s="6"/>
      <c r="P278" s="6"/>
      <c r="Q278" s="6"/>
      <c r="R278" s="6"/>
      <c r="S278" s="6"/>
      <c r="T278" s="6"/>
      <c r="U278" s="6"/>
      <c r="V278" s="6"/>
      <c r="W278" s="6"/>
      <c r="X278" s="6"/>
      <c r="Y278" s="6"/>
      <c r="Z278" s="6"/>
      <c r="AA278" s="6"/>
      <c r="AB278" s="6"/>
      <c r="AC278" s="12" t="s">
        <v>388</v>
      </c>
      <c r="AD278" s="12"/>
      <c r="AE278" s="85">
        <v>3</v>
      </c>
      <c r="AF278" s="6" t="s">
        <v>394</v>
      </c>
      <c r="AG278" s="2" t="s">
        <v>780</v>
      </c>
      <c r="AH278" s="2"/>
      <c r="AI278" s="2"/>
      <c r="AJ278" s="2" t="s">
        <v>788</v>
      </c>
      <c r="AK278" s="2"/>
    </row>
    <row r="279" spans="1:37" ht="11.25" customHeight="1">
      <c r="A279" s="95" t="s">
        <v>874</v>
      </c>
      <c r="B279" s="2" t="s">
        <v>873</v>
      </c>
      <c r="C279" s="2" t="s">
        <v>875</v>
      </c>
      <c r="D279" s="34" t="s">
        <v>739</v>
      </c>
      <c r="E279" s="34"/>
      <c r="F279" s="34"/>
      <c r="G279" s="85" t="s">
        <v>743</v>
      </c>
      <c r="H279" s="6"/>
      <c r="I279" s="6"/>
      <c r="J279" s="6"/>
      <c r="K279" s="6"/>
      <c r="L279" s="6" t="s">
        <v>388</v>
      </c>
      <c r="M279" s="6"/>
      <c r="N279" s="6" t="s">
        <v>388</v>
      </c>
      <c r="O279" s="6"/>
      <c r="P279" s="6"/>
      <c r="Q279" s="6"/>
      <c r="R279" s="6"/>
      <c r="S279" s="6"/>
      <c r="T279" s="6"/>
      <c r="U279" s="6"/>
      <c r="V279" s="6"/>
      <c r="W279" s="6"/>
      <c r="X279" s="6"/>
      <c r="Y279" s="6"/>
      <c r="Z279" s="6"/>
      <c r="AA279" s="6"/>
      <c r="AB279" s="6"/>
      <c r="AC279" s="12"/>
      <c r="AD279" s="12"/>
      <c r="AE279" s="85" t="s">
        <v>648</v>
      </c>
      <c r="AF279" s="6" t="s">
        <v>394</v>
      </c>
      <c r="AG279" s="2" t="s">
        <v>876</v>
      </c>
      <c r="AH279" s="2"/>
      <c r="AI279" s="2"/>
      <c r="AJ279" s="2" t="s">
        <v>831</v>
      </c>
      <c r="AK279" s="2"/>
    </row>
    <row r="280" spans="1:37" ht="11.25" customHeight="1">
      <c r="A280" s="95" t="s">
        <v>798</v>
      </c>
      <c r="B280" s="2" t="s">
        <v>797</v>
      </c>
      <c r="C280" s="3" t="s">
        <v>799</v>
      </c>
      <c r="D280" s="13" t="s">
        <v>739</v>
      </c>
      <c r="E280" s="13"/>
      <c r="F280" s="13"/>
      <c r="G280" s="85" t="s">
        <v>743</v>
      </c>
      <c r="H280" s="6" t="s">
        <v>388</v>
      </c>
      <c r="I280" s="6"/>
      <c r="J280" s="6"/>
      <c r="K280" s="6"/>
      <c r="L280" s="6"/>
      <c r="M280" s="6" t="s">
        <v>388</v>
      </c>
      <c r="N280" s="6" t="s">
        <v>388</v>
      </c>
      <c r="O280" s="6"/>
      <c r="P280" s="6"/>
      <c r="Q280" s="6"/>
      <c r="R280" s="6"/>
      <c r="S280" s="6"/>
      <c r="T280" s="6"/>
      <c r="U280" s="6"/>
      <c r="V280" s="6"/>
      <c r="W280" s="6"/>
      <c r="X280" s="6"/>
      <c r="Y280" s="6"/>
      <c r="Z280" s="6"/>
      <c r="AA280" s="6"/>
      <c r="AB280" s="6"/>
      <c r="AC280" s="12"/>
      <c r="AD280" s="12"/>
      <c r="AE280" s="85">
        <v>3</v>
      </c>
      <c r="AF280" s="6" t="s">
        <v>394</v>
      </c>
      <c r="AG280" s="2" t="s">
        <v>800</v>
      </c>
      <c r="AH280" s="2"/>
      <c r="AI280" s="2"/>
      <c r="AJ280" s="2" t="s">
        <v>763</v>
      </c>
      <c r="AK280" s="2"/>
    </row>
    <row r="281" spans="1:37" ht="11.25" customHeight="1">
      <c r="A281" s="95" t="s">
        <v>657</v>
      </c>
      <c r="B281" s="2" t="s">
        <v>805</v>
      </c>
      <c r="C281" s="2" t="s">
        <v>806</v>
      </c>
      <c r="D281" s="34" t="s">
        <v>739</v>
      </c>
      <c r="E281" s="34"/>
      <c r="F281" s="34"/>
      <c r="G281" s="85" t="s">
        <v>743</v>
      </c>
      <c r="H281" s="6" t="s">
        <v>388</v>
      </c>
      <c r="I281" s="6"/>
      <c r="J281" s="6" t="s">
        <v>388</v>
      </c>
      <c r="K281" s="6"/>
      <c r="L281" s="6"/>
      <c r="M281" s="6"/>
      <c r="N281" s="6" t="s">
        <v>388</v>
      </c>
      <c r="O281" s="6"/>
      <c r="P281" s="6"/>
      <c r="Q281" s="6"/>
      <c r="R281" s="6"/>
      <c r="S281" s="6"/>
      <c r="T281" s="6"/>
      <c r="U281" s="6"/>
      <c r="V281" s="6"/>
      <c r="W281" s="6"/>
      <c r="X281" s="6"/>
      <c r="Y281" s="6"/>
      <c r="Z281" s="6"/>
      <c r="AA281" s="6"/>
      <c r="AB281" s="6"/>
      <c r="AC281" s="12"/>
      <c r="AD281" s="12" t="s">
        <v>388</v>
      </c>
      <c r="AE281" s="85">
        <v>3</v>
      </c>
      <c r="AF281" s="6" t="s">
        <v>394</v>
      </c>
      <c r="AG281" s="2" t="s">
        <v>807</v>
      </c>
      <c r="AH281" s="2"/>
      <c r="AI281" s="2"/>
      <c r="AJ281" s="2" t="s">
        <v>763</v>
      </c>
      <c r="AK281" s="2"/>
    </row>
    <row r="282" spans="1:37" ht="11.25" customHeight="1">
      <c r="A282" s="1" t="s">
        <v>1417</v>
      </c>
      <c r="B282" s="2" t="s">
        <v>1432</v>
      </c>
      <c r="C282" s="2" t="s">
        <v>1431</v>
      </c>
      <c r="D282" s="4" t="s">
        <v>1306</v>
      </c>
      <c r="G282" s="85" t="s">
        <v>664</v>
      </c>
      <c r="H282" s="6"/>
      <c r="I282" s="6"/>
      <c r="J282" s="6"/>
      <c r="K282" s="6"/>
      <c r="L282" s="6"/>
      <c r="M282" s="6"/>
      <c r="O282" s="6"/>
      <c r="Q282" s="6"/>
      <c r="T282" s="5" t="s">
        <v>388</v>
      </c>
      <c r="V282" s="5" t="s">
        <v>388</v>
      </c>
      <c r="AB282" s="8"/>
      <c r="AC282" s="12"/>
      <c r="AD282" s="8"/>
      <c r="AE282" s="124" t="s">
        <v>648</v>
      </c>
      <c r="AF282" s="2" t="s">
        <v>389</v>
      </c>
      <c r="AG282" s="2" t="s">
        <v>1433</v>
      </c>
      <c r="AH282" s="2"/>
      <c r="AI282" s="2" t="s">
        <v>1434</v>
      </c>
      <c r="AJ282" s="2"/>
      <c r="AK282" s="2"/>
    </row>
    <row r="283" spans="1:37" ht="11.25" customHeight="1">
      <c r="A283" s="1" t="s">
        <v>1412</v>
      </c>
      <c r="B283" s="2" t="s">
        <v>1429</v>
      </c>
      <c r="C283" s="2" t="s">
        <v>1410</v>
      </c>
      <c r="D283" s="4" t="s">
        <v>1306</v>
      </c>
      <c r="G283" s="85" t="s">
        <v>664</v>
      </c>
      <c r="H283" s="6"/>
      <c r="I283" s="6"/>
      <c r="J283" s="6"/>
      <c r="K283" s="6"/>
      <c r="L283" s="6"/>
      <c r="M283" s="6"/>
      <c r="O283" s="6"/>
      <c r="Q283" s="6"/>
      <c r="T283" s="5" t="s">
        <v>388</v>
      </c>
      <c r="V283" s="5" t="s">
        <v>388</v>
      </c>
      <c r="X283" s="5" t="s">
        <v>388</v>
      </c>
      <c r="Z283" s="5" t="s">
        <v>388</v>
      </c>
      <c r="AB283" s="8"/>
      <c r="AC283" s="12"/>
      <c r="AD283" s="8" t="s">
        <v>388</v>
      </c>
      <c r="AE283" s="124" t="s">
        <v>648</v>
      </c>
      <c r="AF283" s="2" t="s">
        <v>394</v>
      </c>
      <c r="AG283" s="2" t="s">
        <v>1413</v>
      </c>
      <c r="AH283" s="2"/>
      <c r="AI283" s="2" t="s">
        <v>1430</v>
      </c>
      <c r="AJ283" s="2" t="s">
        <v>1415</v>
      </c>
      <c r="AK283" s="2"/>
    </row>
    <row r="284" spans="1:37" ht="11.25" customHeight="1">
      <c r="A284" s="1" t="s">
        <v>1424</v>
      </c>
      <c r="B284" s="2" t="s">
        <v>1425</v>
      </c>
      <c r="C284" s="2" t="s">
        <v>990</v>
      </c>
      <c r="D284" s="4" t="s">
        <v>739</v>
      </c>
      <c r="G284" s="85" t="s">
        <v>674</v>
      </c>
      <c r="H284" s="6"/>
      <c r="I284" s="6"/>
      <c r="J284" s="6"/>
      <c r="K284" s="6"/>
      <c r="L284" s="6"/>
      <c r="M284" s="6"/>
      <c r="O284" s="6"/>
      <c r="Q284" s="6"/>
      <c r="R284" s="5" t="s">
        <v>388</v>
      </c>
      <c r="AB284" s="8"/>
      <c r="AC284" s="12"/>
      <c r="AD284" s="8"/>
      <c r="AE284" s="124" t="s">
        <v>648</v>
      </c>
      <c r="AF284" s="2" t="s">
        <v>394</v>
      </c>
      <c r="AG284" s="2" t="s">
        <v>1426</v>
      </c>
      <c r="AH284" s="2"/>
      <c r="AI284" s="2" t="s">
        <v>1428</v>
      </c>
      <c r="AJ284" s="2" t="s">
        <v>1427</v>
      </c>
      <c r="AK284" s="2"/>
    </row>
    <row r="285" spans="1:37" ht="11.25" customHeight="1">
      <c r="A285" s="1" t="s">
        <v>1085</v>
      </c>
      <c r="B285" s="1" t="s">
        <v>1083</v>
      </c>
      <c r="C285" s="1" t="s">
        <v>1084</v>
      </c>
      <c r="D285" s="1" t="s">
        <v>739</v>
      </c>
      <c r="G285" s="124">
        <v>1</v>
      </c>
      <c r="K285" s="5" t="s">
        <v>388</v>
      </c>
      <c r="M285" s="5" t="s">
        <v>388</v>
      </c>
      <c r="N285" s="5" t="s">
        <v>388</v>
      </c>
      <c r="T285" s="5" t="s">
        <v>388</v>
      </c>
      <c r="W285" s="5" t="s">
        <v>388</v>
      </c>
      <c r="X285" s="5" t="s">
        <v>388</v>
      </c>
      <c r="Z285" s="5" t="s">
        <v>388</v>
      </c>
      <c r="AE285" s="141" t="s">
        <v>648</v>
      </c>
      <c r="AF285" s="1" t="s">
        <v>394</v>
      </c>
      <c r="AG285" s="1" t="s">
        <v>1086</v>
      </c>
      <c r="AI285" s="142"/>
    </row>
    <row r="286" spans="1:37" ht="11.25" customHeight="1">
      <c r="A286" s="1" t="s">
        <v>1089</v>
      </c>
      <c r="B286" s="1" t="s">
        <v>1088</v>
      </c>
      <c r="C286" s="1" t="s">
        <v>1087</v>
      </c>
      <c r="D286" s="1" t="s">
        <v>739</v>
      </c>
      <c r="G286" s="124">
        <v>2</v>
      </c>
      <c r="H286" s="5" t="s">
        <v>388</v>
      </c>
      <c r="I286" s="5" t="s">
        <v>388</v>
      </c>
      <c r="M286" s="5" t="s">
        <v>388</v>
      </c>
      <c r="Q286" s="5" t="s">
        <v>388</v>
      </c>
      <c r="AE286" s="141" t="s">
        <v>648</v>
      </c>
      <c r="AF286" s="1" t="s">
        <v>394</v>
      </c>
      <c r="AG286" s="1" t="s">
        <v>1090</v>
      </c>
      <c r="AI286" s="142"/>
    </row>
    <row r="287" spans="1:37" ht="11.25" customHeight="1">
      <c r="A287" s="1" t="s">
        <v>1091</v>
      </c>
      <c r="B287" s="1" t="s">
        <v>1093</v>
      </c>
      <c r="C287" s="1" t="s">
        <v>1092</v>
      </c>
      <c r="D287" s="1" t="s">
        <v>739</v>
      </c>
      <c r="G287" s="124">
        <v>1</v>
      </c>
      <c r="K287" s="5" t="s">
        <v>388</v>
      </c>
      <c r="R287" s="5" t="s">
        <v>388</v>
      </c>
      <c r="T287" s="5" t="s">
        <v>388</v>
      </c>
      <c r="V287" s="5" t="s">
        <v>388</v>
      </c>
      <c r="W287" s="5" t="s">
        <v>388</v>
      </c>
      <c r="X287" s="5" t="s">
        <v>388</v>
      </c>
      <c r="Y287" s="5" t="s">
        <v>388</v>
      </c>
      <c r="Z287" s="5" t="s">
        <v>388</v>
      </c>
      <c r="AE287" s="141" t="s">
        <v>648</v>
      </c>
      <c r="AF287" s="1" t="s">
        <v>394</v>
      </c>
      <c r="AG287" s="1" t="s">
        <v>1094</v>
      </c>
      <c r="AI287" s="142"/>
    </row>
    <row r="288" spans="1:37" ht="11.25" customHeight="1">
      <c r="A288" s="1" t="s">
        <v>1097</v>
      </c>
      <c r="B288" s="1" t="s">
        <v>1096</v>
      </c>
      <c r="C288" s="1" t="s">
        <v>1095</v>
      </c>
      <c r="D288" s="1" t="s">
        <v>739</v>
      </c>
      <c r="G288" s="124">
        <v>1</v>
      </c>
      <c r="K288" s="5" t="s">
        <v>388</v>
      </c>
      <c r="L288" s="5" t="s">
        <v>388</v>
      </c>
      <c r="M288" s="5" t="s">
        <v>388</v>
      </c>
      <c r="O288" s="5" t="s">
        <v>388</v>
      </c>
      <c r="T288" s="5" t="s">
        <v>388</v>
      </c>
      <c r="U288" s="5" t="s">
        <v>388</v>
      </c>
      <c r="X288" s="5" t="s">
        <v>388</v>
      </c>
      <c r="AE288" s="141" t="s">
        <v>648</v>
      </c>
      <c r="AF288" s="1" t="s">
        <v>394</v>
      </c>
      <c r="AG288" s="1" t="s">
        <v>1098</v>
      </c>
      <c r="AI288" s="142" t="s">
        <v>1099</v>
      </c>
    </row>
    <row r="289" spans="1:36" ht="11.25" customHeight="1">
      <c r="A289" s="1" t="s">
        <v>1102</v>
      </c>
      <c r="B289" s="1" t="s">
        <v>1100</v>
      </c>
      <c r="C289" s="1" t="s">
        <v>1101</v>
      </c>
      <c r="D289" s="1" t="s">
        <v>739</v>
      </c>
      <c r="G289" s="124">
        <v>2</v>
      </c>
      <c r="K289" s="5" t="s">
        <v>388</v>
      </c>
      <c r="L289" s="5" t="s">
        <v>388</v>
      </c>
      <c r="M289" s="5" t="s">
        <v>388</v>
      </c>
      <c r="O289" s="5" t="s">
        <v>388</v>
      </c>
      <c r="P289" s="5" t="s">
        <v>388</v>
      </c>
      <c r="R289" s="5" t="s">
        <v>388</v>
      </c>
      <c r="W289" s="5" t="s">
        <v>388</v>
      </c>
      <c r="X289" s="5" t="s">
        <v>388</v>
      </c>
      <c r="Z289" s="5" t="s">
        <v>388</v>
      </c>
      <c r="AE289" s="141" t="s">
        <v>648</v>
      </c>
      <c r="AF289" s="1" t="s">
        <v>394</v>
      </c>
      <c r="AG289" s="1" t="s">
        <v>1103</v>
      </c>
      <c r="AI289" s="142" t="s">
        <v>1104</v>
      </c>
    </row>
    <row r="290" spans="1:36" ht="11.25" customHeight="1">
      <c r="A290" s="1" t="s">
        <v>1109</v>
      </c>
      <c r="B290" s="1" t="s">
        <v>1106</v>
      </c>
      <c r="C290" s="1" t="s">
        <v>1107</v>
      </c>
      <c r="D290" s="1" t="s">
        <v>739</v>
      </c>
      <c r="G290" s="124">
        <v>1</v>
      </c>
      <c r="K290" s="5" t="s">
        <v>388</v>
      </c>
      <c r="R290" s="5" t="s">
        <v>388</v>
      </c>
      <c r="S290" s="5" t="s">
        <v>388</v>
      </c>
      <c r="T290" s="5" t="s">
        <v>388</v>
      </c>
      <c r="W290" s="5" t="s">
        <v>388</v>
      </c>
      <c r="X290" s="5" t="s">
        <v>388</v>
      </c>
      <c r="Y290" s="5" t="s">
        <v>388</v>
      </c>
      <c r="Z290" s="5" t="s">
        <v>388</v>
      </c>
      <c r="AA290" s="5" t="s">
        <v>388</v>
      </c>
      <c r="AB290" s="15" t="s">
        <v>388</v>
      </c>
      <c r="AE290" s="141" t="s">
        <v>648</v>
      </c>
      <c r="AF290" s="1" t="s">
        <v>394</v>
      </c>
      <c r="AG290" s="1" t="s">
        <v>1108</v>
      </c>
      <c r="AI290" s="142"/>
    </row>
    <row r="291" spans="1:36" ht="11.25" customHeight="1">
      <c r="A291" s="1" t="s">
        <v>1110</v>
      </c>
      <c r="B291" s="1" t="s">
        <v>1112</v>
      </c>
      <c r="C291" s="1" t="s">
        <v>1111</v>
      </c>
      <c r="D291" s="1" t="s">
        <v>739</v>
      </c>
      <c r="G291" s="124">
        <v>1</v>
      </c>
      <c r="K291" s="5" t="s">
        <v>388</v>
      </c>
      <c r="L291" s="5" t="s">
        <v>388</v>
      </c>
      <c r="M291" s="5" t="s">
        <v>388</v>
      </c>
      <c r="T291" s="5" t="s">
        <v>388</v>
      </c>
      <c r="Y291" s="5" t="s">
        <v>388</v>
      </c>
      <c r="AB291" s="15" t="s">
        <v>388</v>
      </c>
      <c r="AE291" s="141" t="s">
        <v>648</v>
      </c>
      <c r="AF291" s="1" t="s">
        <v>394</v>
      </c>
      <c r="AG291" s="1" t="s">
        <v>1113</v>
      </c>
      <c r="AI291" s="142" t="s">
        <v>1114</v>
      </c>
    </row>
    <row r="292" spans="1:36" ht="11.25" customHeight="1">
      <c r="A292" s="1" t="s">
        <v>667</v>
      </c>
      <c r="B292" s="1" t="s">
        <v>1115</v>
      </c>
      <c r="C292" s="1" t="s">
        <v>1116</v>
      </c>
      <c r="D292" s="1" t="s">
        <v>739</v>
      </c>
      <c r="G292" s="124">
        <v>2</v>
      </c>
      <c r="M292" s="5" t="s">
        <v>388</v>
      </c>
      <c r="N292" s="5" t="s">
        <v>388</v>
      </c>
      <c r="U292" s="5" t="s">
        <v>388</v>
      </c>
      <c r="AE292" s="141" t="s">
        <v>648</v>
      </c>
      <c r="AF292" s="1" t="s">
        <v>394</v>
      </c>
      <c r="AG292" s="1" t="s">
        <v>1117</v>
      </c>
      <c r="AI292" s="142"/>
      <c r="AJ292" s="1" t="s">
        <v>1118</v>
      </c>
    </row>
    <row r="293" spans="1:36" ht="11.25" customHeight="1">
      <c r="A293" s="1" t="s">
        <v>1122</v>
      </c>
      <c r="B293" s="1" t="s">
        <v>1120</v>
      </c>
      <c r="C293" s="1" t="s">
        <v>1121</v>
      </c>
      <c r="D293" s="1" t="s">
        <v>739</v>
      </c>
      <c r="G293" s="124">
        <v>2</v>
      </c>
      <c r="H293" s="5" t="s">
        <v>388</v>
      </c>
      <c r="L293" s="5" t="s">
        <v>388</v>
      </c>
      <c r="M293" s="5" t="s">
        <v>388</v>
      </c>
      <c r="O293" s="5" t="s">
        <v>388</v>
      </c>
      <c r="T293" s="5" t="s">
        <v>388</v>
      </c>
      <c r="U293" s="5" t="s">
        <v>388</v>
      </c>
      <c r="V293" s="5" t="s">
        <v>388</v>
      </c>
      <c r="X293" s="5" t="s">
        <v>388</v>
      </c>
      <c r="Y293" s="5" t="s">
        <v>388</v>
      </c>
      <c r="Z293" s="5" t="s">
        <v>388</v>
      </c>
      <c r="AE293" s="141" t="s">
        <v>648</v>
      </c>
      <c r="AF293" s="1" t="s">
        <v>394</v>
      </c>
      <c r="AI293" s="142" t="s">
        <v>1123</v>
      </c>
    </row>
    <row r="294" spans="1:36" ht="11.25" customHeight="1">
      <c r="A294" s="1" t="s">
        <v>1110</v>
      </c>
      <c r="B294" s="1" t="s">
        <v>1126</v>
      </c>
      <c r="C294" s="1" t="s">
        <v>1124</v>
      </c>
      <c r="D294" s="1" t="s">
        <v>739</v>
      </c>
      <c r="G294" s="124">
        <v>1</v>
      </c>
      <c r="L294" s="5" t="s">
        <v>388</v>
      </c>
      <c r="M294" s="5" t="s">
        <v>388</v>
      </c>
      <c r="N294" s="5" t="s">
        <v>388</v>
      </c>
      <c r="T294" s="5" t="s">
        <v>388</v>
      </c>
      <c r="AE294" s="141" t="s">
        <v>648</v>
      </c>
      <c r="AF294" s="1" t="s">
        <v>641</v>
      </c>
      <c r="AG294" s="1" t="s">
        <v>1125</v>
      </c>
      <c r="AI294" s="142" t="s">
        <v>1127</v>
      </c>
    </row>
    <row r="295" spans="1:36" ht="11.25" customHeight="1">
      <c r="A295" s="1" t="s">
        <v>1128</v>
      </c>
      <c r="B295" s="1" t="s">
        <v>1131</v>
      </c>
      <c r="C295" s="1" t="s">
        <v>1072</v>
      </c>
      <c r="D295" s="1" t="s">
        <v>739</v>
      </c>
      <c r="G295" s="124">
        <v>1</v>
      </c>
      <c r="K295" s="5" t="s">
        <v>388</v>
      </c>
      <c r="R295" s="5" t="s">
        <v>388</v>
      </c>
      <c r="T295" s="5" t="s">
        <v>388</v>
      </c>
      <c r="X295" s="5" t="s">
        <v>388</v>
      </c>
      <c r="Z295" s="5" t="s">
        <v>388</v>
      </c>
      <c r="AE295" s="141" t="s">
        <v>648</v>
      </c>
      <c r="AF295" s="1" t="s">
        <v>641</v>
      </c>
      <c r="AG295" s="1" t="s">
        <v>1129</v>
      </c>
      <c r="AI295" s="142" t="s">
        <v>1130</v>
      </c>
    </row>
    <row r="296" spans="1:36" ht="11.25" customHeight="1">
      <c r="A296" s="1" t="s">
        <v>111</v>
      </c>
      <c r="B296" s="1" t="s">
        <v>1133</v>
      </c>
      <c r="C296" s="1" t="s">
        <v>1132</v>
      </c>
      <c r="D296" s="1" t="s">
        <v>739</v>
      </c>
      <c r="G296" s="124">
        <v>1</v>
      </c>
      <c r="L296" s="5" t="s">
        <v>388</v>
      </c>
      <c r="M296" s="5" t="s">
        <v>388</v>
      </c>
      <c r="AE296" s="141" t="s">
        <v>648</v>
      </c>
      <c r="AF296" s="1" t="s">
        <v>641</v>
      </c>
      <c r="AG296" s="1" t="s">
        <v>1134</v>
      </c>
      <c r="AI296" s="142"/>
    </row>
    <row r="297" spans="1:36" ht="11.25" customHeight="1">
      <c r="A297" s="1" t="s">
        <v>131</v>
      </c>
      <c r="B297" s="1" t="s">
        <v>1136</v>
      </c>
      <c r="C297" s="1" t="s">
        <v>1135</v>
      </c>
      <c r="D297" s="1" t="s">
        <v>739</v>
      </c>
      <c r="G297" s="124">
        <v>0</v>
      </c>
      <c r="P297" s="5" t="s">
        <v>388</v>
      </c>
      <c r="S297" s="5" t="s">
        <v>388</v>
      </c>
      <c r="AA297" s="5" t="s">
        <v>388</v>
      </c>
      <c r="AE297" s="141" t="s">
        <v>1139</v>
      </c>
      <c r="AF297" s="1" t="s">
        <v>389</v>
      </c>
      <c r="AG297" s="1" t="s">
        <v>1137</v>
      </c>
      <c r="AI297" s="142"/>
      <c r="AJ297" s="1" t="s">
        <v>1138</v>
      </c>
    </row>
    <row r="298" spans="1:36" ht="11.25" customHeight="1">
      <c r="A298" s="1" t="s">
        <v>1141</v>
      </c>
      <c r="B298" s="1" t="s">
        <v>1142</v>
      </c>
      <c r="C298" s="1" t="s">
        <v>1140</v>
      </c>
      <c r="D298" s="1" t="s">
        <v>739</v>
      </c>
      <c r="G298" s="124">
        <v>2</v>
      </c>
      <c r="K298" s="5" t="s">
        <v>388</v>
      </c>
      <c r="P298" s="5" t="s">
        <v>388</v>
      </c>
      <c r="R298" s="5" t="s">
        <v>388</v>
      </c>
      <c r="W298" s="5" t="s">
        <v>388</v>
      </c>
      <c r="AE298" s="141">
        <v>3</v>
      </c>
      <c r="AF298" s="1" t="s">
        <v>389</v>
      </c>
      <c r="AG298" s="1" t="s">
        <v>1144</v>
      </c>
      <c r="AI298" s="142" t="s">
        <v>1143</v>
      </c>
    </row>
    <row r="299" spans="1:36" ht="11.25" customHeight="1">
      <c r="A299" s="1" t="s">
        <v>1146</v>
      </c>
      <c r="B299" s="1" t="s">
        <v>1147</v>
      </c>
      <c r="C299" s="1" t="s">
        <v>1145</v>
      </c>
      <c r="D299" s="1" t="s">
        <v>739</v>
      </c>
      <c r="G299" s="124">
        <v>1</v>
      </c>
      <c r="M299" s="5" t="s">
        <v>388</v>
      </c>
      <c r="AE299" s="141" t="s">
        <v>1139</v>
      </c>
      <c r="AF299" s="1" t="s">
        <v>389</v>
      </c>
      <c r="AG299" s="1" t="s">
        <v>1148</v>
      </c>
      <c r="AI299" s="142"/>
    </row>
    <row r="300" spans="1:36" ht="11.25" customHeight="1">
      <c r="A300" s="1" t="s">
        <v>105</v>
      </c>
      <c r="B300" s="1" t="s">
        <v>1153</v>
      </c>
      <c r="C300" s="1" t="s">
        <v>1154</v>
      </c>
      <c r="D300" s="1" t="s">
        <v>739</v>
      </c>
      <c r="G300" s="124" t="s">
        <v>664</v>
      </c>
      <c r="L300" s="5" t="s">
        <v>388</v>
      </c>
      <c r="T300" s="5" t="s">
        <v>388</v>
      </c>
      <c r="AE300" s="141" t="s">
        <v>648</v>
      </c>
      <c r="AF300" s="1" t="s">
        <v>389</v>
      </c>
      <c r="AG300" s="1" t="s">
        <v>1155</v>
      </c>
      <c r="AI300" s="142" t="s">
        <v>1156</v>
      </c>
    </row>
    <row r="301" spans="1:36" ht="11.25" customHeight="1">
      <c r="A301" s="1" t="s">
        <v>207</v>
      </c>
      <c r="B301" s="1" t="s">
        <v>1157</v>
      </c>
      <c r="C301" s="1" t="s">
        <v>1158</v>
      </c>
      <c r="D301" s="1" t="s">
        <v>739</v>
      </c>
      <c r="G301" s="124" t="s">
        <v>674</v>
      </c>
      <c r="L301" s="5" t="s">
        <v>388</v>
      </c>
      <c r="T301" s="5" t="s">
        <v>388</v>
      </c>
      <c r="U301" s="5" t="s">
        <v>388</v>
      </c>
      <c r="W301" s="5" t="s">
        <v>388</v>
      </c>
      <c r="Y301" s="5" t="s">
        <v>388</v>
      </c>
      <c r="Z301" s="5" t="s">
        <v>388</v>
      </c>
      <c r="AA301" s="5" t="s">
        <v>388</v>
      </c>
      <c r="AB301" s="15" t="s">
        <v>388</v>
      </c>
      <c r="AC301" s="15" t="s">
        <v>388</v>
      </c>
      <c r="AE301" s="141" t="s">
        <v>648</v>
      </c>
      <c r="AF301" s="1" t="s">
        <v>389</v>
      </c>
      <c r="AG301" s="1" t="s">
        <v>1159</v>
      </c>
      <c r="AI301" s="142" t="s">
        <v>1160</v>
      </c>
    </row>
    <row r="302" spans="1:36" ht="11.25" customHeight="1">
      <c r="A302" s="1" t="s">
        <v>1161</v>
      </c>
      <c r="B302" s="1" t="s">
        <v>1163</v>
      </c>
      <c r="C302" s="1" t="s">
        <v>1162</v>
      </c>
      <c r="D302" s="1" t="s">
        <v>739</v>
      </c>
      <c r="G302" s="124" t="s">
        <v>674</v>
      </c>
      <c r="K302" s="5" t="s">
        <v>388</v>
      </c>
      <c r="L302" s="5" t="s">
        <v>388</v>
      </c>
      <c r="M302" s="5" t="s">
        <v>388</v>
      </c>
      <c r="U302" s="5" t="s">
        <v>388</v>
      </c>
      <c r="W302" s="5" t="s">
        <v>388</v>
      </c>
      <c r="AE302" s="141" t="s">
        <v>648</v>
      </c>
      <c r="AF302" s="1" t="s">
        <v>389</v>
      </c>
      <c r="AG302" s="1" t="s">
        <v>1164</v>
      </c>
      <c r="AI302" s="142" t="s">
        <v>1165</v>
      </c>
    </row>
    <row r="303" spans="1:36" ht="11.25" customHeight="1">
      <c r="A303" s="1" t="s">
        <v>1168</v>
      </c>
      <c r="B303" s="1" t="s">
        <v>1167</v>
      </c>
      <c r="C303" s="1" t="s">
        <v>1166</v>
      </c>
      <c r="D303" s="1" t="s">
        <v>739</v>
      </c>
      <c r="G303" s="124" t="s">
        <v>743</v>
      </c>
      <c r="L303" s="5" t="s">
        <v>388</v>
      </c>
      <c r="AE303" s="141" t="s">
        <v>1170</v>
      </c>
      <c r="AF303" s="1" t="s">
        <v>389</v>
      </c>
      <c r="AG303" s="1" t="s">
        <v>1169</v>
      </c>
      <c r="AI303" s="142" t="s">
        <v>1171</v>
      </c>
    </row>
    <row r="304" spans="1:36" ht="11.25" customHeight="1">
      <c r="A304" s="1" t="s">
        <v>1172</v>
      </c>
      <c r="B304" s="1" t="s">
        <v>1174</v>
      </c>
      <c r="C304" s="1" t="s">
        <v>1173</v>
      </c>
      <c r="D304" s="1" t="s">
        <v>739</v>
      </c>
      <c r="G304" s="124" t="s">
        <v>664</v>
      </c>
      <c r="K304" s="5" t="s">
        <v>388</v>
      </c>
      <c r="T304" s="5" t="s">
        <v>388</v>
      </c>
      <c r="W304" s="5" t="s">
        <v>388</v>
      </c>
      <c r="X304" s="5" t="s">
        <v>388</v>
      </c>
      <c r="Y304" s="5" t="s">
        <v>388</v>
      </c>
      <c r="Z304" s="5" t="s">
        <v>388</v>
      </c>
      <c r="AA304" s="5" t="s">
        <v>388</v>
      </c>
      <c r="AB304" s="15" t="s">
        <v>388</v>
      </c>
      <c r="AE304" s="141" t="s">
        <v>648</v>
      </c>
      <c r="AF304" s="1" t="s">
        <v>389</v>
      </c>
      <c r="AG304" s="1" t="s">
        <v>1175</v>
      </c>
      <c r="AI304" s="142" t="s">
        <v>1177</v>
      </c>
      <c r="AJ304" s="1" t="s">
        <v>1176</v>
      </c>
    </row>
    <row r="305" spans="1:36" ht="11.25" customHeight="1">
      <c r="A305" s="1" t="s">
        <v>1178</v>
      </c>
      <c r="B305" s="1" t="s">
        <v>1180</v>
      </c>
      <c r="C305" s="1" t="s">
        <v>1179</v>
      </c>
      <c r="D305" s="1" t="s">
        <v>739</v>
      </c>
      <c r="G305" s="124" t="s">
        <v>674</v>
      </c>
      <c r="K305" s="5" t="s">
        <v>388</v>
      </c>
      <c r="R305" s="5" t="s">
        <v>388</v>
      </c>
      <c r="S305" s="5" t="s">
        <v>388</v>
      </c>
      <c r="T305" s="5" t="s">
        <v>388</v>
      </c>
      <c r="W305" s="5" t="s">
        <v>388</v>
      </c>
      <c r="Y305" s="5" t="s">
        <v>388</v>
      </c>
      <c r="Z305" s="5" t="s">
        <v>388</v>
      </c>
      <c r="AA305" s="5" t="s">
        <v>388</v>
      </c>
      <c r="AE305" s="141" t="s">
        <v>648</v>
      </c>
      <c r="AF305" s="1" t="s">
        <v>389</v>
      </c>
      <c r="AG305" s="1" t="s">
        <v>1181</v>
      </c>
      <c r="AI305" s="142" t="s">
        <v>1182</v>
      </c>
    </row>
    <row r="306" spans="1:36" ht="11.25" customHeight="1">
      <c r="A306" s="1" t="s">
        <v>1102</v>
      </c>
      <c r="B306" s="1" t="s">
        <v>1184</v>
      </c>
      <c r="C306" s="1" t="s">
        <v>1183</v>
      </c>
      <c r="D306" s="1" t="s">
        <v>739</v>
      </c>
      <c r="G306" s="124" t="s">
        <v>674</v>
      </c>
      <c r="K306" s="5" t="s">
        <v>388</v>
      </c>
      <c r="M306" s="5" t="s">
        <v>388</v>
      </c>
      <c r="O306" s="5" t="s">
        <v>388</v>
      </c>
      <c r="P306" s="5" t="s">
        <v>388</v>
      </c>
      <c r="U306" s="5" t="s">
        <v>388</v>
      </c>
      <c r="Z306" s="5" t="s">
        <v>388</v>
      </c>
      <c r="AE306" s="141" t="s">
        <v>648</v>
      </c>
      <c r="AF306" s="1" t="s">
        <v>389</v>
      </c>
      <c r="AG306" s="1" t="s">
        <v>1185</v>
      </c>
      <c r="AI306" s="142"/>
    </row>
    <row r="307" spans="1:36" ht="11.25" customHeight="1">
      <c r="A307" s="1" t="s">
        <v>1188</v>
      </c>
      <c r="B307" s="1" t="s">
        <v>1189</v>
      </c>
      <c r="C307" s="1" t="s">
        <v>1187</v>
      </c>
      <c r="D307" s="1" t="s">
        <v>739</v>
      </c>
      <c r="G307" s="124" t="s">
        <v>674</v>
      </c>
      <c r="L307" s="5" t="s">
        <v>388</v>
      </c>
      <c r="M307" s="5" t="s">
        <v>388</v>
      </c>
      <c r="T307" s="5" t="s">
        <v>388</v>
      </c>
      <c r="U307" s="5" t="s">
        <v>388</v>
      </c>
      <c r="AE307" s="141" t="s">
        <v>648</v>
      </c>
      <c r="AF307" s="1" t="s">
        <v>389</v>
      </c>
      <c r="AG307" s="1" t="s">
        <v>1190</v>
      </c>
      <c r="AI307" s="142" t="s">
        <v>1191</v>
      </c>
    </row>
    <row r="308" spans="1:36" ht="11.25" customHeight="1">
      <c r="A308" s="1" t="s">
        <v>1193</v>
      </c>
      <c r="B308" s="1" t="s">
        <v>1192</v>
      </c>
      <c r="C308" s="1" t="s">
        <v>947</v>
      </c>
      <c r="D308" s="1" t="s">
        <v>739</v>
      </c>
      <c r="G308" s="124" t="s">
        <v>664</v>
      </c>
      <c r="L308" s="5" t="s">
        <v>388</v>
      </c>
      <c r="M308" s="5" t="s">
        <v>388</v>
      </c>
      <c r="T308" s="5" t="s">
        <v>388</v>
      </c>
      <c r="U308" s="5" t="s">
        <v>388</v>
      </c>
      <c r="Z308" s="5" t="s">
        <v>388</v>
      </c>
      <c r="AE308" s="141" t="s">
        <v>648</v>
      </c>
      <c r="AF308" s="1" t="s">
        <v>389</v>
      </c>
      <c r="AG308" s="1" t="s">
        <v>1194</v>
      </c>
      <c r="AI308" s="142" t="s">
        <v>1195</v>
      </c>
    </row>
    <row r="309" spans="1:36" ht="11.25" customHeight="1">
      <c r="A309" s="1" t="s">
        <v>1197</v>
      </c>
      <c r="B309" s="1" t="s">
        <v>1196</v>
      </c>
      <c r="C309" s="1" t="s">
        <v>1198</v>
      </c>
      <c r="D309" s="1" t="s">
        <v>739</v>
      </c>
      <c r="G309" s="124" t="s">
        <v>664</v>
      </c>
      <c r="K309" s="5" t="s">
        <v>388</v>
      </c>
      <c r="T309" s="5" t="s">
        <v>388</v>
      </c>
      <c r="AE309" s="141" t="s">
        <v>648</v>
      </c>
      <c r="AF309" s="1" t="s">
        <v>389</v>
      </c>
      <c r="AG309" s="1" t="s">
        <v>1199</v>
      </c>
      <c r="AI309" s="142" t="s">
        <v>1200</v>
      </c>
    </row>
    <row r="310" spans="1:36" ht="11.25" customHeight="1">
      <c r="A310" s="1" t="s">
        <v>1203</v>
      </c>
      <c r="B310" s="1" t="s">
        <v>1202</v>
      </c>
      <c r="C310" s="1" t="s">
        <v>1201</v>
      </c>
      <c r="D310" s="1" t="s">
        <v>739</v>
      </c>
      <c r="G310" s="124">
        <v>1</v>
      </c>
      <c r="M310" s="5" t="s">
        <v>388</v>
      </c>
      <c r="AE310" s="141" t="s">
        <v>648</v>
      </c>
      <c r="AF310" s="1" t="s">
        <v>394</v>
      </c>
      <c r="AG310" s="1" t="s">
        <v>1204</v>
      </c>
      <c r="AI310" s="142"/>
    </row>
    <row r="311" spans="1:36" ht="11.25" customHeight="1">
      <c r="A311" s="1" t="s">
        <v>1206</v>
      </c>
      <c r="B311" s="1" t="s">
        <v>1207</v>
      </c>
      <c r="C311" s="1" t="s">
        <v>942</v>
      </c>
      <c r="D311" s="1" t="s">
        <v>739</v>
      </c>
      <c r="G311" s="124">
        <v>2</v>
      </c>
      <c r="M311" s="5" t="s">
        <v>388</v>
      </c>
      <c r="N311" s="5" t="s">
        <v>388</v>
      </c>
      <c r="U311" s="5" t="s">
        <v>388</v>
      </c>
      <c r="AE311" s="141" t="s">
        <v>648</v>
      </c>
      <c r="AF311" s="1" t="s">
        <v>389</v>
      </c>
      <c r="AG311" s="1" t="s">
        <v>1208</v>
      </c>
      <c r="AI311" s="142" t="s">
        <v>1209</v>
      </c>
    </row>
    <row r="312" spans="1:36" ht="11.25" customHeight="1">
      <c r="A312" s="1" t="s">
        <v>1211</v>
      </c>
      <c r="B312" s="1" t="s">
        <v>1212</v>
      </c>
      <c r="C312" s="1" t="s">
        <v>1210</v>
      </c>
      <c r="D312" s="1" t="s">
        <v>739</v>
      </c>
      <c r="G312" s="124">
        <v>1</v>
      </c>
      <c r="M312" s="5" t="s">
        <v>388</v>
      </c>
      <c r="AE312" s="141" t="s">
        <v>648</v>
      </c>
      <c r="AF312" s="1" t="s">
        <v>389</v>
      </c>
      <c r="AG312" s="1" t="s">
        <v>1213</v>
      </c>
      <c r="AI312" s="142"/>
      <c r="AJ312" s="1" t="s">
        <v>1214</v>
      </c>
    </row>
    <row r="313" spans="1:36" ht="11.25" customHeight="1">
      <c r="A313" s="1" t="s">
        <v>1218</v>
      </c>
      <c r="B313" s="1" t="s">
        <v>1219</v>
      </c>
      <c r="C313" s="1" t="s">
        <v>1217</v>
      </c>
      <c r="D313" s="1" t="s">
        <v>739</v>
      </c>
      <c r="G313" s="124">
        <v>1</v>
      </c>
      <c r="N313" s="5" t="s">
        <v>388</v>
      </c>
      <c r="AE313" s="141" t="s">
        <v>648</v>
      </c>
      <c r="AF313" s="1" t="s">
        <v>389</v>
      </c>
      <c r="AG313" s="1" t="s">
        <v>1215</v>
      </c>
      <c r="AI313" s="142" t="s">
        <v>1216</v>
      </c>
      <c r="AJ313" s="1" t="s">
        <v>1214</v>
      </c>
    </row>
    <row r="314" spans="1:36" ht="11.25" customHeight="1">
      <c r="A314" s="1" t="s">
        <v>1222</v>
      </c>
      <c r="B314" s="1" t="s">
        <v>1221</v>
      </c>
      <c r="C314" s="1" t="s">
        <v>1220</v>
      </c>
      <c r="D314" s="1" t="s">
        <v>739</v>
      </c>
      <c r="G314" s="124">
        <v>1</v>
      </c>
      <c r="M314" s="5" t="s">
        <v>388</v>
      </c>
      <c r="P314" s="5" t="s">
        <v>388</v>
      </c>
      <c r="AE314" s="141" t="s">
        <v>648</v>
      </c>
      <c r="AF314" s="1" t="s">
        <v>389</v>
      </c>
      <c r="AG314" s="1" t="s">
        <v>1223</v>
      </c>
      <c r="AI314" s="142" t="s">
        <v>1224</v>
      </c>
    </row>
    <row r="315" spans="1:36" ht="11.25" customHeight="1">
      <c r="A315" s="1" t="s">
        <v>349</v>
      </c>
      <c r="B315" s="1" t="s">
        <v>1226</v>
      </c>
      <c r="C315" s="1" t="s">
        <v>1225</v>
      </c>
      <c r="D315" s="1" t="s">
        <v>739</v>
      </c>
      <c r="G315" s="124">
        <v>1</v>
      </c>
      <c r="I315" s="5" t="s">
        <v>388</v>
      </c>
      <c r="AE315" s="141" t="s">
        <v>648</v>
      </c>
      <c r="AF315" s="1" t="s">
        <v>389</v>
      </c>
      <c r="AG315" s="1" t="s">
        <v>1227</v>
      </c>
      <c r="AI315" s="142" t="s">
        <v>1228</v>
      </c>
    </row>
    <row r="316" spans="1:36" ht="11.25" customHeight="1">
      <c r="B316" s="1" t="s">
        <v>1229</v>
      </c>
      <c r="C316" s="1" t="s">
        <v>1230</v>
      </c>
      <c r="D316" s="1" t="s">
        <v>739</v>
      </c>
      <c r="G316" s="124">
        <v>1</v>
      </c>
      <c r="M316" s="5" t="s">
        <v>388</v>
      </c>
      <c r="Y316" s="5" t="s">
        <v>388</v>
      </c>
      <c r="AA316" s="5" t="s">
        <v>388</v>
      </c>
      <c r="AE316" s="141" t="s">
        <v>648</v>
      </c>
      <c r="AF316" s="1" t="s">
        <v>389</v>
      </c>
      <c r="AG316" s="1" t="s">
        <v>1231</v>
      </c>
      <c r="AI316" s="142"/>
    </row>
    <row r="317" spans="1:36" ht="11.25" customHeight="1">
      <c r="A317" s="1" t="s">
        <v>349</v>
      </c>
      <c r="B317" s="1" t="s">
        <v>1233</v>
      </c>
      <c r="C317" s="1" t="s">
        <v>1232</v>
      </c>
      <c r="D317" s="1" t="s">
        <v>739</v>
      </c>
      <c r="G317" s="124">
        <v>1</v>
      </c>
      <c r="L317" s="5" t="s">
        <v>388</v>
      </c>
      <c r="AE317" s="141" t="s">
        <v>648</v>
      </c>
      <c r="AF317" s="1" t="s">
        <v>394</v>
      </c>
      <c r="AG317" s="1" t="s">
        <v>1234</v>
      </c>
      <c r="AI317" s="142" t="s">
        <v>1235</v>
      </c>
    </row>
    <row r="318" spans="1:36" ht="11.25" customHeight="1">
      <c r="A318" s="1" t="s">
        <v>1237</v>
      </c>
      <c r="B318" s="1" t="s">
        <v>1238</v>
      </c>
      <c r="C318" s="1" t="s">
        <v>1236</v>
      </c>
      <c r="D318" s="1" t="s">
        <v>739</v>
      </c>
      <c r="G318" s="124">
        <v>1</v>
      </c>
      <c r="M318" s="5" t="s">
        <v>388</v>
      </c>
      <c r="U318" s="5" t="s">
        <v>388</v>
      </c>
      <c r="AE318" s="141" t="s">
        <v>648</v>
      </c>
      <c r="AF318" s="1" t="s">
        <v>389</v>
      </c>
      <c r="AG318" s="1" t="s">
        <v>1239</v>
      </c>
      <c r="AI318" s="142" t="s">
        <v>1240</v>
      </c>
    </row>
    <row r="319" spans="1:36" ht="11.25" customHeight="1">
      <c r="A319" s="1" t="s">
        <v>1243</v>
      </c>
      <c r="B319" s="1" t="s">
        <v>1242</v>
      </c>
      <c r="C319" s="1" t="s">
        <v>1241</v>
      </c>
      <c r="D319" s="1" t="s">
        <v>387</v>
      </c>
      <c r="G319" s="124">
        <v>1</v>
      </c>
      <c r="M319" s="5" t="s">
        <v>388</v>
      </c>
      <c r="T319" s="5" t="s">
        <v>388</v>
      </c>
      <c r="U319" s="5" t="s">
        <v>388</v>
      </c>
      <c r="Y319" s="5" t="s">
        <v>388</v>
      </c>
      <c r="AA319" s="5" t="s">
        <v>388</v>
      </c>
      <c r="AE319" s="141" t="s">
        <v>648</v>
      </c>
      <c r="AF319" s="1" t="s">
        <v>389</v>
      </c>
      <c r="AG319" s="1" t="s">
        <v>1244</v>
      </c>
      <c r="AI319" s="142" t="s">
        <v>1245</v>
      </c>
    </row>
    <row r="320" spans="1:36" ht="11.25" customHeight="1">
      <c r="A320" s="1" t="s">
        <v>1237</v>
      </c>
      <c r="B320" s="1" t="s">
        <v>1247</v>
      </c>
      <c r="C320" s="1" t="s">
        <v>1246</v>
      </c>
      <c r="D320" s="1" t="s">
        <v>739</v>
      </c>
      <c r="G320" s="124">
        <v>1</v>
      </c>
      <c r="M320" s="5" t="s">
        <v>388</v>
      </c>
      <c r="U320" s="5" t="s">
        <v>388</v>
      </c>
      <c r="AE320" s="141" t="s">
        <v>648</v>
      </c>
      <c r="AF320" s="1" t="s">
        <v>389</v>
      </c>
      <c r="AG320" s="1" t="s">
        <v>1248</v>
      </c>
      <c r="AI320" s="142" t="s">
        <v>1249</v>
      </c>
    </row>
    <row r="321" spans="1:36" ht="11.25" customHeight="1">
      <c r="A321" s="1" t="s">
        <v>1250</v>
      </c>
      <c r="B321" s="1" t="s">
        <v>1252</v>
      </c>
      <c r="C321" s="1" t="s">
        <v>1251</v>
      </c>
      <c r="D321" s="1" t="s">
        <v>739</v>
      </c>
      <c r="G321" s="124">
        <v>1</v>
      </c>
      <c r="M321" s="5" t="s">
        <v>388</v>
      </c>
      <c r="AE321" s="141" t="s">
        <v>648</v>
      </c>
      <c r="AF321" s="1" t="s">
        <v>389</v>
      </c>
      <c r="AG321" s="1" t="s">
        <v>1253</v>
      </c>
      <c r="AI321" s="142" t="s">
        <v>1254</v>
      </c>
    </row>
    <row r="322" spans="1:36" ht="11.25" customHeight="1">
      <c r="A322" s="1" t="s">
        <v>1255</v>
      </c>
      <c r="B322" s="1" t="s">
        <v>1257</v>
      </c>
      <c r="C322" s="1" t="s">
        <v>1256</v>
      </c>
      <c r="D322" s="1" t="s">
        <v>1150</v>
      </c>
      <c r="G322" s="124">
        <v>1</v>
      </c>
      <c r="M322" s="5" t="s">
        <v>388</v>
      </c>
      <c r="T322" s="5" t="s">
        <v>388</v>
      </c>
      <c r="U322" s="5" t="s">
        <v>388</v>
      </c>
      <c r="Y322" s="5" t="s">
        <v>388</v>
      </c>
      <c r="AA322" s="5" t="s">
        <v>388</v>
      </c>
      <c r="AE322" s="141">
        <v>3</v>
      </c>
      <c r="AF322" s="1" t="s">
        <v>394</v>
      </c>
      <c r="AG322" s="1" t="s">
        <v>1258</v>
      </c>
      <c r="AI322" s="142" t="s">
        <v>1259</v>
      </c>
    </row>
    <row r="323" spans="1:36" ht="11.25" customHeight="1">
      <c r="A323" s="1" t="s">
        <v>1262</v>
      </c>
      <c r="B323" s="1" t="s">
        <v>1261</v>
      </c>
      <c r="C323" s="1" t="s">
        <v>1260</v>
      </c>
      <c r="D323" s="1" t="s">
        <v>387</v>
      </c>
      <c r="G323" s="124">
        <v>1</v>
      </c>
      <c r="M323" s="5" t="s">
        <v>388</v>
      </c>
      <c r="U323" s="5" t="s">
        <v>388</v>
      </c>
      <c r="AE323" s="141" t="s">
        <v>648</v>
      </c>
      <c r="AF323" s="1" t="s">
        <v>394</v>
      </c>
      <c r="AG323" s="1" t="s">
        <v>1263</v>
      </c>
      <c r="AI323" s="142"/>
    </row>
    <row r="324" spans="1:36" ht="11.25" customHeight="1">
      <c r="A324" s="1" t="s">
        <v>1266</v>
      </c>
      <c r="B324" s="1" t="s">
        <v>1267</v>
      </c>
      <c r="C324" s="1" t="s">
        <v>1265</v>
      </c>
      <c r="D324" s="1" t="s">
        <v>1306</v>
      </c>
      <c r="G324" s="124">
        <v>1</v>
      </c>
      <c r="T324" s="5" t="s">
        <v>388</v>
      </c>
      <c r="AA324" s="5" t="s">
        <v>388</v>
      </c>
      <c r="AD324" s="15" t="s">
        <v>388</v>
      </c>
      <c r="AE324" s="141" t="s">
        <v>648</v>
      </c>
      <c r="AF324" s="1" t="s">
        <v>394</v>
      </c>
      <c r="AG324" s="1" t="s">
        <v>1268</v>
      </c>
      <c r="AI324" s="142" t="s">
        <v>1270</v>
      </c>
      <c r="AJ324" s="1" t="s">
        <v>1269</v>
      </c>
    </row>
    <row r="325" spans="1:36" ht="11.25" customHeight="1">
      <c r="A325" s="1" t="s">
        <v>1273</v>
      </c>
      <c r="B325" s="1" t="s">
        <v>1274</v>
      </c>
      <c r="C325" s="1" t="s">
        <v>1272</v>
      </c>
      <c r="D325" s="1" t="s">
        <v>1306</v>
      </c>
      <c r="G325" s="124">
        <v>0</v>
      </c>
      <c r="T325" s="5" t="s">
        <v>388</v>
      </c>
      <c r="AA325" s="5" t="s">
        <v>388</v>
      </c>
      <c r="AE325" s="141" t="s">
        <v>648</v>
      </c>
      <c r="AF325" s="1" t="s">
        <v>394</v>
      </c>
      <c r="AG325" s="1" t="s">
        <v>1271</v>
      </c>
      <c r="AI325" s="142" t="s">
        <v>1281</v>
      </c>
    </row>
    <row r="326" spans="1:36" ht="11.25" customHeight="1">
      <c r="A326" s="1" t="s">
        <v>1277</v>
      </c>
      <c r="B326" s="1" t="s">
        <v>1276</v>
      </c>
      <c r="C326" s="1" t="s">
        <v>1275</v>
      </c>
      <c r="D326" s="1" t="s">
        <v>1306</v>
      </c>
      <c r="G326" s="124">
        <v>0</v>
      </c>
      <c r="T326" s="5" t="s">
        <v>388</v>
      </c>
      <c r="AA326" s="5" t="s">
        <v>388</v>
      </c>
      <c r="AD326" s="15" t="s">
        <v>388</v>
      </c>
      <c r="AE326" s="141" t="s">
        <v>648</v>
      </c>
      <c r="AF326" s="1" t="s">
        <v>394</v>
      </c>
      <c r="AG326" s="1" t="s">
        <v>1278</v>
      </c>
      <c r="AI326" s="142" t="s">
        <v>1280</v>
      </c>
      <c r="AJ326" s="1" t="s">
        <v>1279</v>
      </c>
    </row>
    <row r="327" spans="1:36" ht="11.25" customHeight="1">
      <c r="A327" s="1" t="s">
        <v>1284</v>
      </c>
      <c r="B327" s="1" t="s">
        <v>1283</v>
      </c>
      <c r="C327" s="1" t="s">
        <v>1282</v>
      </c>
      <c r="D327" s="1" t="s">
        <v>387</v>
      </c>
      <c r="G327" s="124">
        <v>0</v>
      </c>
      <c r="T327" s="5" t="s">
        <v>388</v>
      </c>
      <c r="AA327" s="5" t="s">
        <v>388</v>
      </c>
      <c r="AE327" s="141" t="s">
        <v>648</v>
      </c>
      <c r="AF327" s="1" t="s">
        <v>394</v>
      </c>
      <c r="AG327" s="1" t="s">
        <v>1285</v>
      </c>
      <c r="AI327" s="142" t="s">
        <v>1286</v>
      </c>
    </row>
    <row r="328" spans="1:36" ht="11.25" customHeight="1">
      <c r="A328" s="1" t="s">
        <v>1288</v>
      </c>
      <c r="B328" s="1" t="s">
        <v>1289</v>
      </c>
      <c r="C328" s="1" t="s">
        <v>1287</v>
      </c>
      <c r="D328" s="1" t="s">
        <v>387</v>
      </c>
      <c r="G328" s="124">
        <v>0</v>
      </c>
      <c r="T328" s="5" t="s">
        <v>388</v>
      </c>
      <c r="AA328" s="5" t="s">
        <v>388</v>
      </c>
      <c r="AE328" s="141" t="s">
        <v>648</v>
      </c>
      <c r="AF328" s="1" t="s">
        <v>394</v>
      </c>
      <c r="AG328" s="1" t="s">
        <v>1290</v>
      </c>
      <c r="AI328" s="142"/>
    </row>
    <row r="329" spans="1:36" ht="11.25" customHeight="1">
      <c r="A329" s="1" t="s">
        <v>1293</v>
      </c>
      <c r="B329" s="1" t="s">
        <v>1292</v>
      </c>
      <c r="C329" s="1" t="s">
        <v>1291</v>
      </c>
      <c r="D329" s="1" t="s">
        <v>387</v>
      </c>
      <c r="G329" s="124">
        <v>2</v>
      </c>
      <c r="T329" s="5" t="s">
        <v>388</v>
      </c>
      <c r="AA329" s="5" t="s">
        <v>388</v>
      </c>
      <c r="AC329" s="15" t="s">
        <v>388</v>
      </c>
      <c r="AE329" s="141" t="s">
        <v>648</v>
      </c>
      <c r="AF329" s="1" t="s">
        <v>394</v>
      </c>
      <c r="AG329" s="1" t="s">
        <v>1294</v>
      </c>
      <c r="AI329" s="142"/>
    </row>
    <row r="330" spans="1:36" ht="11.25" customHeight="1">
      <c r="A330" s="1" t="s">
        <v>1300</v>
      </c>
      <c r="B330" s="1" t="s">
        <v>1296</v>
      </c>
      <c r="C330" s="1" t="s">
        <v>1298</v>
      </c>
      <c r="D330" s="1" t="s">
        <v>1299</v>
      </c>
      <c r="G330" s="124">
        <v>1</v>
      </c>
      <c r="T330" s="5" t="s">
        <v>388</v>
      </c>
      <c r="Y330" s="5" t="s">
        <v>388</v>
      </c>
      <c r="AA330" s="5" t="s">
        <v>388</v>
      </c>
      <c r="AE330" s="141" t="s">
        <v>648</v>
      </c>
      <c r="AF330" s="1" t="s">
        <v>394</v>
      </c>
      <c r="AG330" s="1" t="s">
        <v>1295</v>
      </c>
      <c r="AI330" s="142" t="s">
        <v>1297</v>
      </c>
    </row>
    <row r="331" spans="1:36" ht="11.25" customHeight="1">
      <c r="A331" s="1" t="s">
        <v>1303</v>
      </c>
      <c r="B331" s="1" t="s">
        <v>1302</v>
      </c>
      <c r="C331" s="1" t="s">
        <v>1301</v>
      </c>
      <c r="D331" s="1" t="s">
        <v>1306</v>
      </c>
      <c r="G331" s="124">
        <v>1</v>
      </c>
      <c r="L331" s="5" t="s">
        <v>388</v>
      </c>
      <c r="M331" s="5" t="s">
        <v>388</v>
      </c>
      <c r="U331" s="5" t="s">
        <v>388</v>
      </c>
      <c r="AE331" s="141" t="s">
        <v>648</v>
      </c>
      <c r="AF331" s="1" t="s">
        <v>394</v>
      </c>
      <c r="AG331" s="1" t="s">
        <v>1304</v>
      </c>
      <c r="AI331" s="142" t="s">
        <v>1305</v>
      </c>
    </row>
    <row r="332" spans="1:36" ht="11.25" customHeight="1">
      <c r="A332" s="1" t="s">
        <v>1309</v>
      </c>
      <c r="B332" s="1" t="s">
        <v>1307</v>
      </c>
      <c r="C332" s="1" t="s">
        <v>1308</v>
      </c>
      <c r="D332" s="1" t="s">
        <v>739</v>
      </c>
      <c r="G332" s="124">
        <v>1</v>
      </c>
      <c r="T332" s="5" t="s">
        <v>388</v>
      </c>
      <c r="Y332" s="5" t="s">
        <v>388</v>
      </c>
      <c r="AA332" s="5" t="s">
        <v>388</v>
      </c>
      <c r="AB332" s="15" t="s">
        <v>388</v>
      </c>
      <c r="AD332" s="15" t="s">
        <v>388</v>
      </c>
      <c r="AE332" s="141" t="s">
        <v>648</v>
      </c>
      <c r="AF332" s="1" t="s">
        <v>394</v>
      </c>
      <c r="AG332" s="1" t="s">
        <v>1310</v>
      </c>
      <c r="AI332" s="142" t="s">
        <v>1312</v>
      </c>
      <c r="AJ332" s="1" t="s">
        <v>1311</v>
      </c>
    </row>
    <row r="333" spans="1:36" ht="11.25" customHeight="1">
      <c r="A333" s="1" t="s">
        <v>1314</v>
      </c>
      <c r="C333" s="1" t="s">
        <v>1313</v>
      </c>
      <c r="D333" s="1" t="s">
        <v>739</v>
      </c>
      <c r="G333" s="124">
        <v>1</v>
      </c>
      <c r="O333" s="5" t="s">
        <v>388</v>
      </c>
      <c r="R333" s="5" t="s">
        <v>388</v>
      </c>
      <c r="T333" s="5" t="s">
        <v>388</v>
      </c>
      <c r="V333" s="5" t="s">
        <v>388</v>
      </c>
      <c r="AD333" s="15" t="s">
        <v>388</v>
      </c>
      <c r="AE333" s="141" t="s">
        <v>648</v>
      </c>
      <c r="AF333" s="1" t="s">
        <v>394</v>
      </c>
      <c r="AG333" s="1" t="s">
        <v>1315</v>
      </c>
      <c r="AI333" s="142"/>
      <c r="AJ333" s="1" t="s">
        <v>1311</v>
      </c>
    </row>
    <row r="334" spans="1:36" ht="11.25" customHeight="1">
      <c r="A334" s="1" t="s">
        <v>1318</v>
      </c>
      <c r="B334" s="1" t="s">
        <v>1317</v>
      </c>
      <c r="C334" s="1" t="s">
        <v>1316</v>
      </c>
      <c r="D334" s="1" t="s">
        <v>1306</v>
      </c>
      <c r="G334" s="124">
        <v>2</v>
      </c>
      <c r="K334" s="5" t="s">
        <v>388</v>
      </c>
      <c r="T334" s="5" t="s">
        <v>388</v>
      </c>
      <c r="U334" s="5" t="s">
        <v>388</v>
      </c>
      <c r="AA334" s="5" t="s">
        <v>388</v>
      </c>
      <c r="AB334" s="15" t="s">
        <v>388</v>
      </c>
      <c r="AE334" s="141" t="s">
        <v>648</v>
      </c>
      <c r="AF334" s="1" t="s">
        <v>389</v>
      </c>
      <c r="AG334" s="1" t="s">
        <v>1319</v>
      </c>
      <c r="AI334" s="142" t="s">
        <v>1320</v>
      </c>
    </row>
    <row r="335" spans="1:36" ht="11.25" customHeight="1">
      <c r="A335" s="1" t="s">
        <v>1323</v>
      </c>
      <c r="B335" s="1" t="s">
        <v>1322</v>
      </c>
      <c r="C335" s="1" t="s">
        <v>1321</v>
      </c>
      <c r="D335" s="1" t="s">
        <v>1306</v>
      </c>
      <c r="G335" s="124">
        <v>1</v>
      </c>
      <c r="T335" s="5" t="s">
        <v>388</v>
      </c>
      <c r="AA335" s="5" t="s">
        <v>388</v>
      </c>
      <c r="AE335" s="141" t="s">
        <v>648</v>
      </c>
      <c r="AF335" s="1" t="s">
        <v>389</v>
      </c>
      <c r="AG335" s="1" t="s">
        <v>1324</v>
      </c>
      <c r="AI335" s="142" t="s">
        <v>1325</v>
      </c>
    </row>
    <row r="336" spans="1:36" ht="11.25" customHeight="1">
      <c r="A336" s="1" t="s">
        <v>1328</v>
      </c>
      <c r="B336" s="1" t="s">
        <v>1327</v>
      </c>
      <c r="C336" s="1" t="s">
        <v>1326</v>
      </c>
      <c r="D336" s="1" t="s">
        <v>1306</v>
      </c>
      <c r="G336" s="124">
        <v>1</v>
      </c>
      <c r="T336" s="5" t="s">
        <v>388</v>
      </c>
      <c r="AA336" s="5" t="s">
        <v>388</v>
      </c>
      <c r="AE336" s="141" t="s">
        <v>648</v>
      </c>
      <c r="AF336" s="1" t="s">
        <v>389</v>
      </c>
      <c r="AG336" s="1" t="s">
        <v>1330</v>
      </c>
      <c r="AI336" s="142" t="s">
        <v>1329</v>
      </c>
    </row>
    <row r="337" spans="1:36" ht="11.25" customHeight="1">
      <c r="A337" s="1" t="s">
        <v>1334</v>
      </c>
      <c r="B337" s="1" t="s">
        <v>1332</v>
      </c>
      <c r="C337" s="1" t="s">
        <v>1331</v>
      </c>
      <c r="D337" s="1" t="s">
        <v>1306</v>
      </c>
      <c r="G337" s="124">
        <v>1</v>
      </c>
      <c r="T337" s="5" t="s">
        <v>388</v>
      </c>
      <c r="AA337" s="5" t="s">
        <v>388</v>
      </c>
      <c r="AE337" s="141">
        <v>3</v>
      </c>
      <c r="AF337" s="1" t="s">
        <v>389</v>
      </c>
      <c r="AG337" s="1" t="s">
        <v>1335</v>
      </c>
      <c r="AI337" s="142" t="s">
        <v>1333</v>
      </c>
      <c r="AJ337" s="1" t="s">
        <v>1336</v>
      </c>
    </row>
    <row r="338" spans="1:36" ht="11.25" customHeight="1">
      <c r="A338" s="1" t="s">
        <v>1172</v>
      </c>
      <c r="B338" s="1" t="s">
        <v>1337</v>
      </c>
      <c r="C338" s="1" t="s">
        <v>1173</v>
      </c>
      <c r="D338" s="1" t="s">
        <v>1306</v>
      </c>
      <c r="G338" s="124">
        <v>2</v>
      </c>
      <c r="K338" s="5" t="s">
        <v>388</v>
      </c>
      <c r="T338" s="5" t="s">
        <v>388</v>
      </c>
      <c r="V338" s="5" t="s">
        <v>388</v>
      </c>
      <c r="W338" s="5" t="s">
        <v>388</v>
      </c>
      <c r="Y338" s="5" t="s">
        <v>388</v>
      </c>
      <c r="Z338" s="5" t="s">
        <v>388</v>
      </c>
      <c r="AA338" s="5" t="s">
        <v>388</v>
      </c>
      <c r="AD338" s="15" t="s">
        <v>388</v>
      </c>
      <c r="AE338" s="141" t="s">
        <v>648</v>
      </c>
      <c r="AF338" s="1" t="s">
        <v>389</v>
      </c>
      <c r="AG338" s="1" t="s">
        <v>1175</v>
      </c>
      <c r="AI338" s="142" t="s">
        <v>1339</v>
      </c>
      <c r="AJ338" s="1" t="s">
        <v>1338</v>
      </c>
    </row>
    <row r="339" spans="1:36" ht="11.25" customHeight="1">
      <c r="A339" s="1" t="s">
        <v>1342</v>
      </c>
      <c r="B339" s="1" t="s">
        <v>1341</v>
      </c>
      <c r="C339" s="1" t="s">
        <v>1340</v>
      </c>
      <c r="D339" s="1" t="s">
        <v>387</v>
      </c>
      <c r="G339" s="124" t="s">
        <v>1264</v>
      </c>
      <c r="T339" s="5" t="s">
        <v>388</v>
      </c>
      <c r="Z339" s="5" t="s">
        <v>388</v>
      </c>
      <c r="AA339" s="5" t="s">
        <v>388</v>
      </c>
      <c r="AE339" s="141" t="s">
        <v>664</v>
      </c>
      <c r="AF339" s="1" t="s">
        <v>389</v>
      </c>
      <c r="AG339" s="1" t="s">
        <v>1343</v>
      </c>
      <c r="AI339" s="142"/>
    </row>
    <row r="340" spans="1:36" ht="11.25" customHeight="1">
      <c r="A340" s="1" t="s">
        <v>1266</v>
      </c>
      <c r="B340" s="1" t="s">
        <v>1267</v>
      </c>
      <c r="C340" s="1" t="s">
        <v>1265</v>
      </c>
      <c r="D340" s="1" t="s">
        <v>1306</v>
      </c>
      <c r="G340" s="124" t="s">
        <v>664</v>
      </c>
      <c r="T340" s="5" t="s">
        <v>388</v>
      </c>
      <c r="AA340" s="5" t="s">
        <v>388</v>
      </c>
      <c r="AE340" s="141" t="s">
        <v>648</v>
      </c>
      <c r="AF340" s="1" t="s">
        <v>394</v>
      </c>
      <c r="AG340" s="1" t="s">
        <v>1268</v>
      </c>
      <c r="AI340" s="142" t="s">
        <v>1270</v>
      </c>
    </row>
    <row r="341" spans="1:36" ht="11.25" customHeight="1">
      <c r="A341" s="1" t="s">
        <v>1345</v>
      </c>
      <c r="B341" s="1" t="s">
        <v>1346</v>
      </c>
      <c r="C341" s="1" t="s">
        <v>1344</v>
      </c>
      <c r="D341" s="1" t="s">
        <v>1306</v>
      </c>
      <c r="G341" s="124" t="s">
        <v>664</v>
      </c>
      <c r="T341" s="5" t="s">
        <v>388</v>
      </c>
      <c r="Y341" s="5" t="s">
        <v>388</v>
      </c>
      <c r="AA341" s="5" t="s">
        <v>388</v>
      </c>
      <c r="AC341" s="15" t="s">
        <v>388</v>
      </c>
      <c r="AE341" s="141" t="s">
        <v>664</v>
      </c>
      <c r="AF341" s="1" t="s">
        <v>389</v>
      </c>
      <c r="AG341" s="1" t="s">
        <v>1348</v>
      </c>
      <c r="AI341" s="142" t="s">
        <v>1347</v>
      </c>
      <c r="AJ341" s="1" t="s">
        <v>1349</v>
      </c>
    </row>
    <row r="342" spans="1:36" ht="11.25" customHeight="1">
      <c r="A342" s="1" t="s">
        <v>1352</v>
      </c>
      <c r="B342" s="1" t="s">
        <v>1351</v>
      </c>
      <c r="C342" s="1" t="s">
        <v>1350</v>
      </c>
      <c r="D342" s="1" t="s">
        <v>1306</v>
      </c>
      <c r="G342" s="124" t="s">
        <v>664</v>
      </c>
      <c r="T342" s="5" t="s">
        <v>388</v>
      </c>
      <c r="Y342" s="5" t="s">
        <v>388</v>
      </c>
      <c r="AA342" s="5" t="s">
        <v>388</v>
      </c>
      <c r="AB342" s="15" t="s">
        <v>388</v>
      </c>
      <c r="AE342" s="141" t="s">
        <v>648</v>
      </c>
      <c r="AF342" s="1" t="s">
        <v>389</v>
      </c>
      <c r="AG342" s="1" t="s">
        <v>1353</v>
      </c>
      <c r="AI342" s="142" t="s">
        <v>1355</v>
      </c>
      <c r="AJ342" s="1" t="s">
        <v>1354</v>
      </c>
    </row>
    <row r="343" spans="1:36" ht="11.25" customHeight="1">
      <c r="A343" s="1" t="s">
        <v>1357</v>
      </c>
      <c r="B343" s="1" t="s">
        <v>1358</v>
      </c>
      <c r="C343" s="1" t="s">
        <v>1356</v>
      </c>
      <c r="D343" s="1" t="s">
        <v>1306</v>
      </c>
      <c r="G343" s="124" t="s">
        <v>664</v>
      </c>
      <c r="T343" s="5" t="s">
        <v>388</v>
      </c>
      <c r="Y343" s="5" t="s">
        <v>388</v>
      </c>
      <c r="AA343" s="5" t="s">
        <v>388</v>
      </c>
      <c r="AB343" s="15" t="s">
        <v>388</v>
      </c>
      <c r="AD343" s="15" t="s">
        <v>388</v>
      </c>
      <c r="AE343" s="141" t="s">
        <v>648</v>
      </c>
      <c r="AF343" s="1" t="s">
        <v>389</v>
      </c>
      <c r="AG343" s="1" t="s">
        <v>1359</v>
      </c>
      <c r="AI343" s="142" t="s">
        <v>1361</v>
      </c>
      <c r="AJ343" s="1" t="s">
        <v>1360</v>
      </c>
    </row>
    <row r="344" spans="1:36" ht="11.25" customHeight="1">
      <c r="A344" s="1" t="s">
        <v>1363</v>
      </c>
      <c r="B344" s="1" t="s">
        <v>1362</v>
      </c>
      <c r="C344" s="1" t="s">
        <v>943</v>
      </c>
      <c r="D344" s="1" t="s">
        <v>387</v>
      </c>
      <c r="G344" s="124" t="s">
        <v>674</v>
      </c>
      <c r="T344" s="5" t="s">
        <v>388</v>
      </c>
      <c r="X344" s="5" t="s">
        <v>388</v>
      </c>
      <c r="Y344" s="5" t="s">
        <v>388</v>
      </c>
      <c r="Z344" s="5" t="s">
        <v>388</v>
      </c>
      <c r="AA344" s="5" t="s">
        <v>388</v>
      </c>
      <c r="AB344" s="15" t="s">
        <v>388</v>
      </c>
      <c r="AC344" s="15" t="s">
        <v>388</v>
      </c>
      <c r="AE344" s="141" t="s">
        <v>648</v>
      </c>
      <c r="AF344" s="1" t="s">
        <v>389</v>
      </c>
      <c r="AG344" s="1" t="s">
        <v>1364</v>
      </c>
      <c r="AI344" s="142"/>
    </row>
    <row r="345" spans="1:36" ht="11.25" customHeight="1">
      <c r="A345" s="1" t="s">
        <v>1366</v>
      </c>
      <c r="B345" s="1" t="s">
        <v>1367</v>
      </c>
      <c r="C345" s="1" t="s">
        <v>1365</v>
      </c>
      <c r="D345" s="1" t="s">
        <v>739</v>
      </c>
      <c r="G345" s="124" t="s">
        <v>743</v>
      </c>
      <c r="M345" s="5" t="s">
        <v>388</v>
      </c>
      <c r="AE345" s="141" t="s">
        <v>648</v>
      </c>
      <c r="AF345" s="1" t="s">
        <v>389</v>
      </c>
      <c r="AG345" s="1" t="s">
        <v>1368</v>
      </c>
      <c r="AI345" s="142"/>
    </row>
    <row r="346" spans="1:36" ht="11.25" customHeight="1">
      <c r="A346" s="1" t="s">
        <v>1371</v>
      </c>
      <c r="B346" s="1" t="s">
        <v>1370</v>
      </c>
      <c r="C346" s="1" t="s">
        <v>1369</v>
      </c>
      <c r="D346" s="1" t="s">
        <v>739</v>
      </c>
      <c r="G346" s="124">
        <v>1</v>
      </c>
      <c r="M346" s="5" t="s">
        <v>388</v>
      </c>
      <c r="O346" s="5" t="s">
        <v>388</v>
      </c>
      <c r="U346" s="5" t="s">
        <v>388</v>
      </c>
      <c r="AE346" s="141" t="s">
        <v>648</v>
      </c>
      <c r="AF346" s="1" t="s">
        <v>394</v>
      </c>
      <c r="AG346" s="1" t="s">
        <v>1372</v>
      </c>
      <c r="AI346" s="142" t="s">
        <v>1373</v>
      </c>
    </row>
    <row r="347" spans="1:36" ht="11.25" customHeight="1">
      <c r="A347" s="1" t="s">
        <v>1374</v>
      </c>
      <c r="B347" s="1" t="s">
        <v>1376</v>
      </c>
      <c r="C347" s="1" t="s">
        <v>1375</v>
      </c>
      <c r="D347" s="1" t="s">
        <v>739</v>
      </c>
      <c r="G347" s="124">
        <v>1</v>
      </c>
      <c r="L347" s="5" t="s">
        <v>388</v>
      </c>
      <c r="M347" s="5" t="s">
        <v>388</v>
      </c>
      <c r="R347" s="5" t="s">
        <v>388</v>
      </c>
      <c r="U347" s="5" t="s">
        <v>388</v>
      </c>
      <c r="Z347" s="5" t="s">
        <v>388</v>
      </c>
      <c r="AE347" s="141" t="s">
        <v>648</v>
      </c>
      <c r="AF347" s="1" t="s">
        <v>394</v>
      </c>
      <c r="AG347" s="1" t="s">
        <v>1378</v>
      </c>
      <c r="AI347" s="142" t="s">
        <v>1377</v>
      </c>
    </row>
    <row r="348" spans="1:36" ht="11.25" customHeight="1">
      <c r="A348" s="1" t="s">
        <v>1381</v>
      </c>
      <c r="B348" s="1" t="s">
        <v>1380</v>
      </c>
      <c r="C348" s="1" t="s">
        <v>1379</v>
      </c>
      <c r="D348" s="1" t="s">
        <v>739</v>
      </c>
      <c r="G348" s="124">
        <v>1</v>
      </c>
      <c r="M348" s="5" t="s">
        <v>388</v>
      </c>
      <c r="U348" s="5" t="s">
        <v>388</v>
      </c>
      <c r="AE348" s="141" t="s">
        <v>648</v>
      </c>
      <c r="AF348" s="1" t="s">
        <v>389</v>
      </c>
      <c r="AG348" s="1" t="s">
        <v>1382</v>
      </c>
      <c r="AI348" s="142" t="s">
        <v>1383</v>
      </c>
    </row>
    <row r="349" spans="1:36" ht="11.25" customHeight="1">
      <c r="A349" s="1" t="s">
        <v>1386</v>
      </c>
      <c r="B349" s="1" t="s">
        <v>1385</v>
      </c>
      <c r="C349" s="1" t="s">
        <v>1384</v>
      </c>
      <c r="D349" s="1" t="s">
        <v>387</v>
      </c>
      <c r="G349" s="124" t="s">
        <v>664</v>
      </c>
      <c r="L349" s="5" t="s">
        <v>388</v>
      </c>
      <c r="AE349" s="141" t="s">
        <v>648</v>
      </c>
      <c r="AF349" s="1" t="s">
        <v>394</v>
      </c>
      <c r="AG349" s="1" t="s">
        <v>1387</v>
      </c>
      <c r="AI349" s="142" t="s">
        <v>1388</v>
      </c>
    </row>
    <row r="350" spans="1:36" ht="11.25" customHeight="1">
      <c r="A350" s="1" t="s">
        <v>1391</v>
      </c>
      <c r="B350" s="1" t="s">
        <v>1390</v>
      </c>
      <c r="C350" s="1" t="s">
        <v>1389</v>
      </c>
      <c r="D350" s="1" t="s">
        <v>387</v>
      </c>
      <c r="G350" s="124" t="s">
        <v>664</v>
      </c>
      <c r="L350" s="5" t="s">
        <v>388</v>
      </c>
      <c r="AE350" s="141" t="s">
        <v>648</v>
      </c>
      <c r="AF350" s="1" t="s">
        <v>394</v>
      </c>
      <c r="AI350" s="142"/>
    </row>
    <row r="351" spans="1:36" ht="11.25" customHeight="1">
      <c r="A351" s="1" t="s">
        <v>1030</v>
      </c>
      <c r="B351" s="1" t="s">
        <v>1436</v>
      </c>
      <c r="C351" s="1" t="s">
        <v>1435</v>
      </c>
      <c r="D351" s="1" t="s">
        <v>1306</v>
      </c>
      <c r="G351" s="124" t="s">
        <v>674</v>
      </c>
      <c r="P351" s="5" t="s">
        <v>388</v>
      </c>
      <c r="AE351" s="141" t="s">
        <v>648</v>
      </c>
      <c r="AF351" s="1" t="s">
        <v>394</v>
      </c>
      <c r="AG351" s="1" t="s">
        <v>1437</v>
      </c>
      <c r="AI351" s="142" t="s">
        <v>1438</v>
      </c>
    </row>
    <row r="352" spans="1:36" ht="11.25" customHeight="1">
      <c r="A352" s="1" t="s">
        <v>1490</v>
      </c>
      <c r="B352" s="1" t="s">
        <v>1491</v>
      </c>
      <c r="C352" s="1" t="s">
        <v>1492</v>
      </c>
      <c r="D352" s="1" t="s">
        <v>387</v>
      </c>
      <c r="G352" s="124" t="s">
        <v>743</v>
      </c>
      <c r="O352" s="5" t="s">
        <v>388</v>
      </c>
      <c r="AD352" s="15" t="s">
        <v>388</v>
      </c>
      <c r="AE352" s="141"/>
      <c r="AF352" s="1" t="s">
        <v>389</v>
      </c>
      <c r="AG352" s="1" t="s">
        <v>1493</v>
      </c>
      <c r="AI352" s="142"/>
    </row>
    <row r="353" spans="1:35" ht="11.25" customHeight="1">
      <c r="A353" s="1" t="s">
        <v>1454</v>
      </c>
      <c r="B353" s="1" t="s">
        <v>1455</v>
      </c>
      <c r="C353" s="1" t="s">
        <v>1456</v>
      </c>
      <c r="D353" s="1" t="s">
        <v>739</v>
      </c>
      <c r="G353" s="124" t="s">
        <v>743</v>
      </c>
      <c r="K353" s="5" t="s">
        <v>388</v>
      </c>
      <c r="AE353" s="141">
        <v>3</v>
      </c>
      <c r="AF353" s="1" t="s">
        <v>389</v>
      </c>
      <c r="AG353" s="1" t="s">
        <v>1457</v>
      </c>
      <c r="AI353" s="142"/>
    </row>
    <row r="354" spans="1:35" ht="11.25" customHeight="1">
      <c r="A354" s="1" t="s">
        <v>1458</v>
      </c>
      <c r="B354" s="1" t="s">
        <v>1459</v>
      </c>
      <c r="C354" s="1" t="s">
        <v>1460</v>
      </c>
      <c r="D354" s="1" t="s">
        <v>739</v>
      </c>
      <c r="G354" s="124" t="s">
        <v>743</v>
      </c>
      <c r="K354" s="5" t="s">
        <v>388</v>
      </c>
      <c r="U354" s="5" t="s">
        <v>388</v>
      </c>
      <c r="AA354" s="5" t="s">
        <v>388</v>
      </c>
      <c r="AE354" s="141">
        <v>3</v>
      </c>
      <c r="AF354" s="1" t="s">
        <v>389</v>
      </c>
      <c r="AG354" s="1" t="s">
        <v>1461</v>
      </c>
      <c r="AI354" s="142"/>
    </row>
    <row r="355" spans="1:35" ht="11.25" customHeight="1">
      <c r="A355" s="1" t="s">
        <v>1462</v>
      </c>
      <c r="B355" s="1" t="s">
        <v>1463</v>
      </c>
      <c r="C355" s="1" t="s">
        <v>1464</v>
      </c>
      <c r="D355" s="1" t="s">
        <v>739</v>
      </c>
      <c r="G355" s="124" t="s">
        <v>743</v>
      </c>
      <c r="N355" s="5" t="s">
        <v>388</v>
      </c>
      <c r="T355" s="5" t="s">
        <v>388</v>
      </c>
      <c r="U355" s="5" t="s">
        <v>388</v>
      </c>
      <c r="AA355" s="5" t="s">
        <v>388</v>
      </c>
      <c r="AE355" s="141">
        <v>3</v>
      </c>
      <c r="AF355" s="1" t="s">
        <v>389</v>
      </c>
      <c r="AG355" s="1" t="s">
        <v>1382</v>
      </c>
      <c r="AI355" s="142"/>
    </row>
    <row r="356" spans="1:35" ht="11.25" customHeight="1">
      <c r="A356" s="1" t="s">
        <v>1465</v>
      </c>
      <c r="B356" s="1" t="s">
        <v>1466</v>
      </c>
      <c r="C356" s="1" t="s">
        <v>1467</v>
      </c>
      <c r="D356" s="1" t="s">
        <v>739</v>
      </c>
      <c r="G356" s="124" t="s">
        <v>743</v>
      </c>
      <c r="K356" s="5" t="s">
        <v>388</v>
      </c>
      <c r="AA356" s="5" t="s">
        <v>388</v>
      </c>
      <c r="AE356" s="141">
        <v>3</v>
      </c>
      <c r="AF356" s="1" t="s">
        <v>389</v>
      </c>
      <c r="AG356" s="1" t="s">
        <v>1468</v>
      </c>
      <c r="AI356" s="142"/>
    </row>
    <row r="357" spans="1:35" ht="11.25" customHeight="1">
      <c r="A357" s="1" t="s">
        <v>1469</v>
      </c>
      <c r="B357" s="1" t="s">
        <v>1470</v>
      </c>
      <c r="C357" s="1" t="s">
        <v>1471</v>
      </c>
      <c r="D357" s="1" t="s">
        <v>387</v>
      </c>
      <c r="G357" s="124">
        <v>2</v>
      </c>
      <c r="L357" s="5" t="s">
        <v>388</v>
      </c>
      <c r="M357" s="5" t="s">
        <v>388</v>
      </c>
      <c r="AA357" s="5" t="s">
        <v>388</v>
      </c>
      <c r="AD357" s="15" t="s">
        <v>388</v>
      </c>
      <c r="AE357" s="141">
        <v>3</v>
      </c>
      <c r="AF357" s="1" t="s">
        <v>389</v>
      </c>
      <c r="AG357" s="1" t="s">
        <v>1472</v>
      </c>
      <c r="AI357" s="142"/>
    </row>
    <row r="358" spans="1:35" ht="11.25" customHeight="1">
      <c r="A358" s="1" t="s">
        <v>1465</v>
      </c>
      <c r="B358" s="1" t="s">
        <v>1473</v>
      </c>
      <c r="C358" s="1" t="s">
        <v>1198</v>
      </c>
      <c r="D358" s="1" t="s">
        <v>387</v>
      </c>
      <c r="G358" s="124">
        <v>1</v>
      </c>
      <c r="K358" s="5" t="s">
        <v>388</v>
      </c>
      <c r="M358" s="5" t="s">
        <v>388</v>
      </c>
      <c r="N358" s="5" t="s">
        <v>388</v>
      </c>
      <c r="T358" s="5" t="s">
        <v>388</v>
      </c>
      <c r="U358" s="5" t="s">
        <v>388</v>
      </c>
      <c r="AA358" s="5" t="s">
        <v>388</v>
      </c>
      <c r="AD358" s="15" t="s">
        <v>388</v>
      </c>
      <c r="AE358" s="141">
        <v>3</v>
      </c>
      <c r="AF358" s="1" t="s">
        <v>389</v>
      </c>
      <c r="AG358" s="1" t="s">
        <v>1199</v>
      </c>
      <c r="AI358" s="142"/>
    </row>
    <row r="359" spans="1:35" ht="11.25" customHeight="1">
      <c r="A359" s="1" t="s">
        <v>1474</v>
      </c>
      <c r="B359" s="1" t="s">
        <v>1475</v>
      </c>
      <c r="C359" s="1" t="s">
        <v>1476</v>
      </c>
      <c r="D359" s="1" t="s">
        <v>387</v>
      </c>
      <c r="G359" s="124">
        <v>1</v>
      </c>
      <c r="K359" s="5" t="s">
        <v>388</v>
      </c>
      <c r="M359" s="5" t="s">
        <v>388</v>
      </c>
      <c r="N359" s="5" t="s">
        <v>388</v>
      </c>
      <c r="T359" s="5" t="s">
        <v>388</v>
      </c>
      <c r="Y359" s="5" t="s">
        <v>388</v>
      </c>
      <c r="Z359" s="5" t="s">
        <v>388</v>
      </c>
      <c r="AD359" s="15" t="s">
        <v>388</v>
      </c>
      <c r="AE359" s="141">
        <v>3</v>
      </c>
      <c r="AF359" s="1" t="s">
        <v>389</v>
      </c>
      <c r="AG359" s="1" t="s">
        <v>1477</v>
      </c>
      <c r="AI359" s="142"/>
    </row>
    <row r="360" spans="1:35" ht="11.25" customHeight="1">
      <c r="A360" s="1" t="s">
        <v>1478</v>
      </c>
      <c r="B360" s="1" t="s">
        <v>1479</v>
      </c>
      <c r="C360" s="1" t="s">
        <v>1480</v>
      </c>
      <c r="D360" s="1" t="s">
        <v>387</v>
      </c>
      <c r="G360" s="124">
        <v>1</v>
      </c>
      <c r="M360" s="5" t="s">
        <v>388</v>
      </c>
      <c r="N360" s="5" t="s">
        <v>388</v>
      </c>
      <c r="T360" s="5" t="s">
        <v>388</v>
      </c>
      <c r="U360" s="5" t="s">
        <v>388</v>
      </c>
      <c r="AD360" s="15" t="s">
        <v>388</v>
      </c>
      <c r="AE360" s="141">
        <v>3</v>
      </c>
      <c r="AF360" s="1" t="s">
        <v>389</v>
      </c>
      <c r="AG360" s="1" t="s">
        <v>1481</v>
      </c>
      <c r="AI360" s="142"/>
    </row>
    <row r="361" spans="1:35" ht="11.25" customHeight="1">
      <c r="A361" s="1" t="s">
        <v>1482</v>
      </c>
      <c r="B361" s="1" t="s">
        <v>1483</v>
      </c>
      <c r="C361" s="1" t="s">
        <v>1484</v>
      </c>
      <c r="D361" s="1" t="s">
        <v>387</v>
      </c>
      <c r="G361" s="124">
        <v>1</v>
      </c>
      <c r="K361" s="5" t="s">
        <v>388</v>
      </c>
      <c r="AA361" s="5" t="s">
        <v>388</v>
      </c>
      <c r="AD361" s="15" t="s">
        <v>388</v>
      </c>
      <c r="AE361" s="141"/>
      <c r="AF361" s="1" t="s">
        <v>389</v>
      </c>
      <c r="AG361" s="1" t="s">
        <v>1485</v>
      </c>
      <c r="AI361" s="142"/>
    </row>
    <row r="362" spans="1:35" ht="11.25" customHeight="1">
      <c r="A362" s="1" t="s">
        <v>1486</v>
      </c>
      <c r="B362" s="1" t="s">
        <v>1099</v>
      </c>
      <c r="C362" s="1" t="s">
        <v>1095</v>
      </c>
      <c r="D362" s="1" t="s">
        <v>739</v>
      </c>
      <c r="G362" s="124">
        <v>1</v>
      </c>
      <c r="K362" s="5" t="s">
        <v>388</v>
      </c>
      <c r="L362" s="5" t="s">
        <v>388</v>
      </c>
      <c r="M362" s="5" t="s">
        <v>388</v>
      </c>
      <c r="T362" s="5" t="s">
        <v>388</v>
      </c>
      <c r="AE362" s="141">
        <v>3</v>
      </c>
      <c r="AF362" s="1" t="s">
        <v>394</v>
      </c>
      <c r="AG362" s="1" t="s">
        <v>1098</v>
      </c>
      <c r="AI362" s="142"/>
    </row>
    <row r="363" spans="1:35" ht="11.25" customHeight="1">
      <c r="A363" s="1" t="s">
        <v>1469</v>
      </c>
      <c r="B363" s="1" t="s">
        <v>1487</v>
      </c>
      <c r="C363" s="1" t="s">
        <v>1488</v>
      </c>
      <c r="D363" s="1" t="s">
        <v>387</v>
      </c>
      <c r="G363" s="124">
        <v>2</v>
      </c>
      <c r="K363" s="5" t="s">
        <v>388</v>
      </c>
      <c r="L363" s="5" t="s">
        <v>388</v>
      </c>
      <c r="M363" s="5" t="s">
        <v>388</v>
      </c>
      <c r="O363" s="5" t="s">
        <v>388</v>
      </c>
      <c r="AA363" s="5" t="s">
        <v>388</v>
      </c>
      <c r="AB363" s="15" t="s">
        <v>388</v>
      </c>
      <c r="AD363" s="15" t="s">
        <v>388</v>
      </c>
      <c r="AE363" s="141">
        <v>3</v>
      </c>
      <c r="AF363" s="1" t="s">
        <v>394</v>
      </c>
      <c r="AG363" s="1" t="s">
        <v>1489</v>
      </c>
      <c r="AI363" s="142"/>
    </row>
    <row r="364" spans="1:35" ht="11.25" customHeight="1">
      <c r="A364" s="1" t="s">
        <v>1494</v>
      </c>
      <c r="B364" s="1" t="s">
        <v>1495</v>
      </c>
      <c r="C364" s="1" t="s">
        <v>1496</v>
      </c>
      <c r="D364" s="1" t="s">
        <v>739</v>
      </c>
      <c r="G364" s="124" t="s">
        <v>743</v>
      </c>
      <c r="R364" s="5" t="s">
        <v>388</v>
      </c>
      <c r="T364" s="5" t="s">
        <v>388</v>
      </c>
      <c r="AE364" s="141"/>
      <c r="AF364" s="1" t="s">
        <v>389</v>
      </c>
      <c r="AG364" s="1" t="s">
        <v>1497</v>
      </c>
      <c r="AI364" s="142"/>
    </row>
    <row r="365" spans="1:35" ht="11.25" customHeight="1">
      <c r="A365" s="1" t="s">
        <v>1498</v>
      </c>
      <c r="B365" s="1" t="s">
        <v>1499</v>
      </c>
      <c r="C365" s="1" t="s">
        <v>1500</v>
      </c>
      <c r="D365" s="1" t="s">
        <v>387</v>
      </c>
      <c r="G365" s="124" t="s">
        <v>743</v>
      </c>
      <c r="N365" s="5" t="s">
        <v>388</v>
      </c>
      <c r="AD365" s="15" t="s">
        <v>388</v>
      </c>
      <c r="AE365" s="141" t="s">
        <v>648</v>
      </c>
      <c r="AF365" s="1" t="s">
        <v>641</v>
      </c>
      <c r="AG365" s="1" t="s">
        <v>1501</v>
      </c>
      <c r="AI365" s="142"/>
    </row>
    <row r="366" spans="1:35" ht="11.25" customHeight="1">
      <c r="A366" s="1" t="s">
        <v>1502</v>
      </c>
      <c r="B366" s="1" t="s">
        <v>1503</v>
      </c>
      <c r="C366" s="1" t="s">
        <v>1504</v>
      </c>
      <c r="D366" s="1" t="s">
        <v>387</v>
      </c>
      <c r="G366" s="124" t="s">
        <v>743</v>
      </c>
      <c r="J366" s="5" t="s">
        <v>388</v>
      </c>
      <c r="N366" s="5" t="s">
        <v>388</v>
      </c>
      <c r="AD366" s="15" t="s">
        <v>388</v>
      </c>
      <c r="AE366" s="141" t="s">
        <v>648</v>
      </c>
      <c r="AF366" s="1" t="s">
        <v>641</v>
      </c>
      <c r="AG366" s="1" t="s">
        <v>1505</v>
      </c>
      <c r="AI366" s="142"/>
    </row>
    <row r="367" spans="1:35" ht="11.25" customHeight="1">
      <c r="A367" s="1" t="s">
        <v>1506</v>
      </c>
      <c r="B367" s="1" t="s">
        <v>1507</v>
      </c>
      <c r="C367" s="1" t="s">
        <v>1508</v>
      </c>
      <c r="D367" s="1" t="s">
        <v>387</v>
      </c>
      <c r="G367" s="124" t="s">
        <v>743</v>
      </c>
      <c r="N367" s="5" t="s">
        <v>388</v>
      </c>
      <c r="AD367" s="15" t="s">
        <v>388</v>
      </c>
      <c r="AE367" s="141" t="s">
        <v>648</v>
      </c>
      <c r="AF367" s="1" t="s">
        <v>394</v>
      </c>
      <c r="AG367" s="1" t="s">
        <v>1509</v>
      </c>
      <c r="AI367" s="142"/>
    </row>
    <row r="368" spans="1:35" ht="11.25" customHeight="1">
      <c r="A368" s="1" t="s">
        <v>1510</v>
      </c>
      <c r="B368" s="1" t="s">
        <v>1511</v>
      </c>
      <c r="C368" s="1" t="s">
        <v>1512</v>
      </c>
      <c r="D368" s="1" t="s">
        <v>387</v>
      </c>
      <c r="G368" s="124" t="s">
        <v>743</v>
      </c>
      <c r="J368" s="5" t="s">
        <v>388</v>
      </c>
      <c r="N368" s="5" t="s">
        <v>388</v>
      </c>
      <c r="T368" s="5" t="s">
        <v>388</v>
      </c>
      <c r="AD368" s="15" t="s">
        <v>388</v>
      </c>
      <c r="AE368" s="141"/>
      <c r="AF368" s="1" t="s">
        <v>394</v>
      </c>
      <c r="AG368" s="1" t="s">
        <v>1513</v>
      </c>
      <c r="AI368" s="142"/>
    </row>
    <row r="369" spans="1:35" ht="11.25" customHeight="1">
      <c r="A369" s="1" t="s">
        <v>1514</v>
      </c>
      <c r="B369" s="1" t="s">
        <v>1515</v>
      </c>
      <c r="C369" s="1" t="s">
        <v>1516</v>
      </c>
      <c r="D369" s="1" t="s">
        <v>387</v>
      </c>
      <c r="G369" s="124">
        <v>1</v>
      </c>
      <c r="N369" s="5" t="s">
        <v>388</v>
      </c>
      <c r="AD369" s="15" t="s">
        <v>388</v>
      </c>
      <c r="AE369" s="141" t="s">
        <v>648</v>
      </c>
      <c r="AF369" s="1" t="s">
        <v>389</v>
      </c>
      <c r="AG369" s="1" t="s">
        <v>1517</v>
      </c>
      <c r="AI369" s="142"/>
    </row>
    <row r="370" spans="1:35" ht="11.25" customHeight="1">
      <c r="A370" s="1" t="s">
        <v>1518</v>
      </c>
      <c r="B370" s="1" t="s">
        <v>1519</v>
      </c>
      <c r="C370" s="1" t="s">
        <v>1520</v>
      </c>
      <c r="D370" s="1" t="s">
        <v>387</v>
      </c>
      <c r="G370" s="124">
        <v>1</v>
      </c>
      <c r="N370" s="5" t="s">
        <v>388</v>
      </c>
      <c r="S370" s="5" t="s">
        <v>388</v>
      </c>
      <c r="AD370" s="15" t="s">
        <v>388</v>
      </c>
      <c r="AE370" s="141" t="s">
        <v>648</v>
      </c>
      <c r="AF370" s="1" t="s">
        <v>389</v>
      </c>
      <c r="AG370" s="1" t="s">
        <v>1521</v>
      </c>
      <c r="AI370" s="142"/>
    </row>
    <row r="371" spans="1:35" ht="11.25" customHeight="1">
      <c r="A371" s="1" t="s">
        <v>1522</v>
      </c>
      <c r="B371" s="1" t="s">
        <v>1523</v>
      </c>
      <c r="C371" s="1" t="s">
        <v>821</v>
      </c>
      <c r="D371" s="1" t="s">
        <v>387</v>
      </c>
      <c r="G371" s="124">
        <v>5</v>
      </c>
      <c r="K371" s="5" t="s">
        <v>388</v>
      </c>
      <c r="N371" s="5" t="s">
        <v>388</v>
      </c>
      <c r="T371" s="5" t="s">
        <v>388</v>
      </c>
      <c r="W371" s="5" t="s">
        <v>388</v>
      </c>
      <c r="Z371" s="5" t="s">
        <v>388</v>
      </c>
      <c r="AA371" s="5" t="s">
        <v>388</v>
      </c>
      <c r="AB371" s="15" t="s">
        <v>388</v>
      </c>
      <c r="AD371" s="15" t="s">
        <v>388</v>
      </c>
      <c r="AE371" s="141" t="s">
        <v>648</v>
      </c>
      <c r="AF371" s="1" t="s">
        <v>389</v>
      </c>
      <c r="AG371" s="1" t="s">
        <v>1524</v>
      </c>
      <c r="AI371" s="142"/>
    </row>
    <row r="372" spans="1:35" ht="11.25" customHeight="1">
      <c r="A372" s="1" t="s">
        <v>1525</v>
      </c>
      <c r="B372" s="1" t="s">
        <v>1526</v>
      </c>
      <c r="C372" s="1" t="s">
        <v>1527</v>
      </c>
      <c r="D372" s="1" t="s">
        <v>387</v>
      </c>
      <c r="G372" s="124">
        <v>5</v>
      </c>
      <c r="K372" s="5" t="s">
        <v>388</v>
      </c>
      <c r="N372" s="5" t="s">
        <v>388</v>
      </c>
      <c r="T372" s="5" t="s">
        <v>388</v>
      </c>
      <c r="W372" s="5" t="s">
        <v>388</v>
      </c>
      <c r="Z372" s="5" t="s">
        <v>388</v>
      </c>
      <c r="AA372" s="5" t="s">
        <v>388</v>
      </c>
      <c r="AB372" s="15" t="s">
        <v>388</v>
      </c>
      <c r="AD372" s="15" t="s">
        <v>388</v>
      </c>
      <c r="AE372" s="141"/>
      <c r="AF372" s="1" t="s">
        <v>389</v>
      </c>
      <c r="AI372" s="142"/>
    </row>
    <row r="373" spans="1:35" ht="11.25" customHeight="1">
      <c r="A373" s="1" t="s">
        <v>1528</v>
      </c>
      <c r="B373" s="1" t="s">
        <v>1529</v>
      </c>
      <c r="C373" s="1" t="s">
        <v>1530</v>
      </c>
      <c r="D373" s="1" t="s">
        <v>387</v>
      </c>
      <c r="G373" s="124" t="s">
        <v>743</v>
      </c>
      <c r="M373" s="5" t="s">
        <v>388</v>
      </c>
      <c r="N373" s="5" t="s">
        <v>388</v>
      </c>
      <c r="U373" s="5" t="s">
        <v>388</v>
      </c>
      <c r="AD373" s="15" t="s">
        <v>388</v>
      </c>
      <c r="AE373" s="141" t="s">
        <v>648</v>
      </c>
      <c r="AF373" s="1" t="s">
        <v>389</v>
      </c>
      <c r="AG373" s="1" t="s">
        <v>1531</v>
      </c>
      <c r="AI373" s="142"/>
    </row>
    <row r="374" spans="1:35" ht="11.25" customHeight="1">
      <c r="A374" s="1" t="s">
        <v>1532</v>
      </c>
      <c r="B374" s="1" t="s">
        <v>1533</v>
      </c>
      <c r="C374" s="1" t="s">
        <v>1534</v>
      </c>
      <c r="D374" s="1" t="s">
        <v>387</v>
      </c>
      <c r="G374" s="124" t="s">
        <v>743</v>
      </c>
      <c r="N374" s="5" t="s">
        <v>388</v>
      </c>
      <c r="U374" s="5" t="s">
        <v>388</v>
      </c>
      <c r="AD374" s="15" t="s">
        <v>388</v>
      </c>
      <c r="AE374" s="141" t="s">
        <v>648</v>
      </c>
      <c r="AF374" s="1" t="s">
        <v>389</v>
      </c>
      <c r="AG374" s="1" t="s">
        <v>1535</v>
      </c>
      <c r="AI374" s="142"/>
    </row>
    <row r="375" spans="1:35" ht="11.25" customHeight="1">
      <c r="A375" s="1" t="s">
        <v>1536</v>
      </c>
      <c r="B375" s="1" t="s">
        <v>1537</v>
      </c>
      <c r="C375" s="1" t="s">
        <v>1538</v>
      </c>
      <c r="D375" s="1" t="s">
        <v>387</v>
      </c>
      <c r="G375" s="124" t="s">
        <v>743</v>
      </c>
      <c r="J375" s="5" t="s">
        <v>388</v>
      </c>
      <c r="N375" s="5" t="s">
        <v>388</v>
      </c>
      <c r="AD375" s="15" t="s">
        <v>388</v>
      </c>
      <c r="AE375" s="141" t="s">
        <v>648</v>
      </c>
      <c r="AF375" s="1" t="s">
        <v>389</v>
      </c>
      <c r="AI375" s="142"/>
    </row>
    <row r="376" spans="1:35" ht="11.25" customHeight="1">
      <c r="A376" s="1" t="s">
        <v>1539</v>
      </c>
      <c r="B376" s="1" t="s">
        <v>1540</v>
      </c>
      <c r="C376" s="1" t="s">
        <v>1541</v>
      </c>
      <c r="D376" s="1" t="s">
        <v>387</v>
      </c>
      <c r="G376" s="124" t="s">
        <v>743</v>
      </c>
      <c r="M376" s="5" t="s">
        <v>388</v>
      </c>
      <c r="N376" s="5" t="s">
        <v>388</v>
      </c>
      <c r="U376" s="5" t="s">
        <v>388</v>
      </c>
      <c r="AD376" s="15" t="s">
        <v>388</v>
      </c>
      <c r="AE376" s="141" t="s">
        <v>648</v>
      </c>
      <c r="AF376" s="1" t="s">
        <v>394</v>
      </c>
      <c r="AG376" s="1" t="s">
        <v>1542</v>
      </c>
      <c r="AI376" s="142"/>
    </row>
    <row r="377" spans="1:35" ht="11.25" customHeight="1">
      <c r="A377" s="1" t="s">
        <v>1543</v>
      </c>
      <c r="B377" s="1" t="s">
        <v>1544</v>
      </c>
      <c r="C377" s="1" t="s">
        <v>1545</v>
      </c>
      <c r="D377" s="1" t="s">
        <v>387</v>
      </c>
      <c r="G377" s="124" t="s">
        <v>743</v>
      </c>
      <c r="N377" s="5" t="s">
        <v>388</v>
      </c>
      <c r="U377" s="5" t="s">
        <v>388</v>
      </c>
      <c r="AD377" s="15" t="s">
        <v>388</v>
      </c>
      <c r="AE377" s="141" t="s">
        <v>648</v>
      </c>
      <c r="AF377" s="1" t="s">
        <v>394</v>
      </c>
      <c r="AG377" s="1" t="s">
        <v>1546</v>
      </c>
      <c r="AI377" s="142"/>
    </row>
    <row r="378" spans="1:35" ht="11.25" customHeight="1">
      <c r="A378" s="1" t="s">
        <v>1547</v>
      </c>
      <c r="B378" s="1" t="s">
        <v>1548</v>
      </c>
      <c r="C378" s="1" t="s">
        <v>1549</v>
      </c>
      <c r="D378" s="1" t="s">
        <v>387</v>
      </c>
      <c r="G378" s="124" t="s">
        <v>743</v>
      </c>
      <c r="H378" s="5" t="s">
        <v>388</v>
      </c>
      <c r="M378" s="5" t="s">
        <v>388</v>
      </c>
      <c r="U378" s="5" t="s">
        <v>388</v>
      </c>
      <c r="AD378" s="15" t="s">
        <v>388</v>
      </c>
      <c r="AE378" s="141" t="s">
        <v>648</v>
      </c>
      <c r="AF378" s="1" t="s">
        <v>394</v>
      </c>
      <c r="AG378" s="1" t="s">
        <v>1550</v>
      </c>
      <c r="AI378" s="142"/>
    </row>
    <row r="379" spans="1:35" ht="11.25" customHeight="1">
      <c r="A379" s="1" t="s">
        <v>1551</v>
      </c>
      <c r="B379" s="1" t="s">
        <v>1552</v>
      </c>
      <c r="C379" s="1" t="s">
        <v>1553</v>
      </c>
      <c r="D379" s="1" t="s">
        <v>387</v>
      </c>
      <c r="G379" s="124" t="s">
        <v>743</v>
      </c>
      <c r="M379" s="5" t="s">
        <v>388</v>
      </c>
      <c r="U379" s="5" t="s">
        <v>388</v>
      </c>
      <c r="AD379" s="15" t="s">
        <v>388</v>
      </c>
      <c r="AE379" s="141"/>
      <c r="AF379" s="1" t="s">
        <v>394</v>
      </c>
      <c r="AG379" s="1" t="s">
        <v>1554</v>
      </c>
      <c r="AI379" s="142"/>
    </row>
    <row r="380" spans="1:35" ht="11.25" customHeight="1">
      <c r="A380" s="1" t="s">
        <v>1555</v>
      </c>
      <c r="B380" s="1" t="s">
        <v>1556</v>
      </c>
      <c r="C380" s="1" t="s">
        <v>1557</v>
      </c>
      <c r="D380" s="1" t="s">
        <v>387</v>
      </c>
      <c r="G380" s="124" t="s">
        <v>743</v>
      </c>
      <c r="L380" s="5" t="s">
        <v>388</v>
      </c>
      <c r="O380" s="5" t="s">
        <v>388</v>
      </c>
      <c r="U380" s="5" t="s">
        <v>388</v>
      </c>
      <c r="AD380" s="15" t="s">
        <v>388</v>
      </c>
      <c r="AE380" s="141"/>
      <c r="AF380" s="1" t="s">
        <v>394</v>
      </c>
      <c r="AG380" s="1" t="s">
        <v>1558</v>
      </c>
      <c r="AI380" s="142"/>
    </row>
    <row r="381" spans="1:35" ht="11.25" customHeight="1">
      <c r="A381" s="1" t="s">
        <v>1559</v>
      </c>
      <c r="B381" s="1" t="s">
        <v>1560</v>
      </c>
      <c r="C381" s="1" t="s">
        <v>814</v>
      </c>
      <c r="D381" s="1" t="s">
        <v>387</v>
      </c>
      <c r="G381" s="124" t="s">
        <v>743</v>
      </c>
      <c r="N381" s="5" t="s">
        <v>388</v>
      </c>
      <c r="U381" s="5" t="s">
        <v>388</v>
      </c>
      <c r="AD381" s="15" t="s">
        <v>388</v>
      </c>
      <c r="AE381" s="141" t="s">
        <v>648</v>
      </c>
      <c r="AF381" s="1" t="s">
        <v>394</v>
      </c>
      <c r="AG381" s="1" t="s">
        <v>815</v>
      </c>
      <c r="AI381" s="142"/>
    </row>
    <row r="382" spans="1:35" ht="11.25" customHeight="1">
      <c r="A382" s="1" t="s">
        <v>1561</v>
      </c>
      <c r="B382" s="1" t="s">
        <v>1562</v>
      </c>
      <c r="C382" s="1" t="s">
        <v>1563</v>
      </c>
      <c r="D382" s="1" t="s">
        <v>387</v>
      </c>
      <c r="G382" s="124">
        <v>1</v>
      </c>
      <c r="L382" s="5" t="s">
        <v>388</v>
      </c>
      <c r="M382" s="5" t="s">
        <v>388</v>
      </c>
      <c r="O382" s="5" t="s">
        <v>388</v>
      </c>
      <c r="U382" s="5" t="s">
        <v>388</v>
      </c>
      <c r="AD382" s="15" t="s">
        <v>388</v>
      </c>
      <c r="AE382" s="141" t="s">
        <v>648</v>
      </c>
      <c r="AF382" s="1" t="s">
        <v>394</v>
      </c>
      <c r="AG382" s="1" t="s">
        <v>1564</v>
      </c>
      <c r="AI382" s="142"/>
    </row>
    <row r="383" spans="1:35" ht="11.25" customHeight="1">
      <c r="A383" s="1" t="s">
        <v>1565</v>
      </c>
      <c r="B383" s="1" t="s">
        <v>1566</v>
      </c>
      <c r="C383" s="1" t="s">
        <v>1567</v>
      </c>
      <c r="D383" s="1" t="s">
        <v>387</v>
      </c>
      <c r="G383" s="124">
        <v>1</v>
      </c>
      <c r="K383" s="5" t="s">
        <v>388</v>
      </c>
      <c r="L383" s="5" t="s">
        <v>388</v>
      </c>
      <c r="M383" s="5" t="s">
        <v>388</v>
      </c>
      <c r="N383" s="5" t="s">
        <v>388</v>
      </c>
      <c r="T383" s="5" t="s">
        <v>388</v>
      </c>
      <c r="U383" s="5" t="s">
        <v>388</v>
      </c>
      <c r="W383" s="5" t="s">
        <v>388</v>
      </c>
      <c r="Z383" s="5" t="s">
        <v>388</v>
      </c>
      <c r="AA383" s="5" t="s">
        <v>388</v>
      </c>
      <c r="AD383" s="15" t="s">
        <v>388</v>
      </c>
      <c r="AE383" s="141">
        <v>3</v>
      </c>
      <c r="AF383" s="1" t="s">
        <v>1568</v>
      </c>
      <c r="AG383" s="1" t="s">
        <v>1569</v>
      </c>
      <c r="AI383" s="142"/>
    </row>
    <row r="384" spans="1:35" ht="11.25" customHeight="1">
      <c r="A384" s="1" t="s">
        <v>1570</v>
      </c>
      <c r="B384" s="1" t="s">
        <v>1571</v>
      </c>
      <c r="C384" s="1" t="s">
        <v>1572</v>
      </c>
      <c r="D384" s="1" t="s">
        <v>387</v>
      </c>
      <c r="G384" s="124" t="s">
        <v>743</v>
      </c>
      <c r="N384" s="5" t="s">
        <v>388</v>
      </c>
      <c r="U384" s="5" t="s">
        <v>388</v>
      </c>
      <c r="AD384" s="15" t="s">
        <v>388</v>
      </c>
      <c r="AE384" s="141" t="s">
        <v>648</v>
      </c>
      <c r="AF384" s="1" t="s">
        <v>389</v>
      </c>
      <c r="AG384" s="1" t="s">
        <v>1573</v>
      </c>
      <c r="AI384" s="142"/>
    </row>
    <row r="385" spans="1:35" ht="11.25" customHeight="1">
      <c r="A385" s="1" t="s">
        <v>1574</v>
      </c>
      <c r="B385" s="1" t="s">
        <v>1575</v>
      </c>
      <c r="C385" s="1" t="s">
        <v>1576</v>
      </c>
      <c r="D385" s="1" t="s">
        <v>387</v>
      </c>
      <c r="G385" s="124" t="s">
        <v>674</v>
      </c>
      <c r="K385" s="5" t="s">
        <v>388</v>
      </c>
      <c r="L385" s="5" t="s">
        <v>388</v>
      </c>
      <c r="M385" s="5" t="s">
        <v>388</v>
      </c>
      <c r="O385" s="5" t="s">
        <v>388</v>
      </c>
      <c r="R385" s="5" t="s">
        <v>388</v>
      </c>
      <c r="U385" s="5" t="s">
        <v>388</v>
      </c>
      <c r="W385" s="5" t="s">
        <v>388</v>
      </c>
      <c r="AD385" s="15" t="s">
        <v>388</v>
      </c>
      <c r="AE385" s="141" t="s">
        <v>648</v>
      </c>
      <c r="AF385" s="1" t="s">
        <v>389</v>
      </c>
      <c r="AG385" s="1" t="s">
        <v>1577</v>
      </c>
      <c r="AI385" s="142"/>
    </row>
    <row r="386" spans="1:35" ht="11.25" customHeight="1">
      <c r="A386" s="1" t="s">
        <v>924</v>
      </c>
      <c r="B386" s="1" t="s">
        <v>1578</v>
      </c>
      <c r="C386" s="1" t="s">
        <v>356</v>
      </c>
      <c r="D386" s="1" t="s">
        <v>387</v>
      </c>
      <c r="G386" s="124">
        <v>1</v>
      </c>
      <c r="H386" s="5" t="s">
        <v>388</v>
      </c>
      <c r="L386" s="5" t="s">
        <v>388</v>
      </c>
      <c r="N386" s="5" t="s">
        <v>388</v>
      </c>
      <c r="T386" s="5" t="s">
        <v>388</v>
      </c>
      <c r="U386" s="5" t="s">
        <v>388</v>
      </c>
      <c r="AD386" s="15" t="s">
        <v>388</v>
      </c>
      <c r="AE386" s="141">
        <v>3</v>
      </c>
      <c r="AF386" s="1" t="s">
        <v>389</v>
      </c>
      <c r="AG386" s="1" t="s">
        <v>1579</v>
      </c>
      <c r="AI386" s="142"/>
    </row>
    <row r="387" spans="1:35" ht="11.25" customHeight="1">
      <c r="A387" s="1" t="s">
        <v>897</v>
      </c>
      <c r="B387" s="1" t="s">
        <v>1580</v>
      </c>
      <c r="C387" s="1" t="s">
        <v>1581</v>
      </c>
      <c r="D387" s="1" t="s">
        <v>387</v>
      </c>
      <c r="G387" s="124">
        <v>1</v>
      </c>
      <c r="H387" s="5" t="s">
        <v>388</v>
      </c>
      <c r="I387" s="5" t="s">
        <v>388</v>
      </c>
      <c r="J387" s="5" t="s">
        <v>388</v>
      </c>
      <c r="U387" s="5" t="s">
        <v>388</v>
      </c>
      <c r="AD387" s="15" t="s">
        <v>388</v>
      </c>
      <c r="AE387" s="141">
        <v>3</v>
      </c>
      <c r="AF387" s="1" t="s">
        <v>389</v>
      </c>
      <c r="AG387" s="1" t="s">
        <v>1582</v>
      </c>
      <c r="AI387" s="142"/>
    </row>
    <row r="388" spans="1:35" ht="11.25" customHeight="1">
      <c r="A388" s="1" t="s">
        <v>897</v>
      </c>
      <c r="B388" s="1" t="s">
        <v>1583</v>
      </c>
      <c r="C388" s="1" t="s">
        <v>1584</v>
      </c>
      <c r="D388" s="1" t="s">
        <v>387</v>
      </c>
      <c r="G388" s="124" t="s">
        <v>664</v>
      </c>
      <c r="J388" s="5" t="s">
        <v>388</v>
      </c>
      <c r="M388" s="5" t="s">
        <v>388</v>
      </c>
      <c r="U388" s="5" t="s">
        <v>388</v>
      </c>
      <c r="AD388" s="15" t="s">
        <v>388</v>
      </c>
      <c r="AE388" s="141" t="s">
        <v>648</v>
      </c>
      <c r="AF388" s="1" t="s">
        <v>389</v>
      </c>
      <c r="AG388" s="1" t="s">
        <v>1585</v>
      </c>
      <c r="AI388" s="142"/>
    </row>
    <row r="389" spans="1:35" ht="11.25" customHeight="1">
      <c r="A389" s="1" t="s">
        <v>890</v>
      </c>
      <c r="B389" s="1" t="s">
        <v>1587</v>
      </c>
      <c r="C389" s="1" t="s">
        <v>891</v>
      </c>
      <c r="D389" s="1" t="s">
        <v>688</v>
      </c>
      <c r="G389" s="124">
        <v>2</v>
      </c>
      <c r="AC389" s="15" t="s">
        <v>623</v>
      </c>
      <c r="AD389" s="15" t="s">
        <v>623</v>
      </c>
      <c r="AE389" s="141"/>
      <c r="AI389" s="142"/>
    </row>
    <row r="390" spans="1:35" ht="11.25" customHeight="1">
      <c r="A390" s="1" t="s">
        <v>892</v>
      </c>
      <c r="B390" s="1" t="s">
        <v>1588</v>
      </c>
      <c r="C390" s="1" t="s">
        <v>893</v>
      </c>
      <c r="D390" s="1" t="s">
        <v>1299</v>
      </c>
      <c r="G390" s="124">
        <v>2</v>
      </c>
      <c r="AD390" s="15" t="s">
        <v>623</v>
      </c>
      <c r="AE390" s="141"/>
      <c r="AI390" s="142"/>
    </row>
    <row r="391" spans="1:35" ht="11.25" customHeight="1">
      <c r="A391" s="1" t="s">
        <v>894</v>
      </c>
      <c r="B391" s="1" t="s">
        <v>1589</v>
      </c>
      <c r="C391" s="1" t="s">
        <v>895</v>
      </c>
      <c r="D391" s="1" t="s">
        <v>387</v>
      </c>
      <c r="G391" s="124">
        <v>0</v>
      </c>
      <c r="U391" s="5" t="s">
        <v>388</v>
      </c>
      <c r="AE391" s="141"/>
      <c r="AI391" s="142"/>
    </row>
    <row r="392" spans="1:35" ht="11.25" customHeight="1">
      <c r="A392" s="1" t="s">
        <v>894</v>
      </c>
      <c r="B392" s="1" t="s">
        <v>1590</v>
      </c>
      <c r="C392" s="1" t="s">
        <v>896</v>
      </c>
      <c r="D392" s="1" t="s">
        <v>387</v>
      </c>
      <c r="G392" s="124">
        <v>0</v>
      </c>
      <c r="AE392" s="141"/>
      <c r="AI392" s="142"/>
    </row>
    <row r="393" spans="1:35" ht="11.25" customHeight="1">
      <c r="A393" s="1" t="s">
        <v>897</v>
      </c>
      <c r="B393" s="1" t="s">
        <v>1591</v>
      </c>
      <c r="C393" s="1" t="s">
        <v>898</v>
      </c>
      <c r="D393" s="1" t="s">
        <v>739</v>
      </c>
      <c r="G393" s="124">
        <v>1</v>
      </c>
      <c r="U393" s="5" t="s">
        <v>623</v>
      </c>
      <c r="AE393" s="141"/>
      <c r="AI393" s="142"/>
    </row>
    <row r="394" spans="1:35" ht="11.25" customHeight="1">
      <c r="A394" s="1" t="s">
        <v>899</v>
      </c>
      <c r="B394" s="1" t="s">
        <v>1592</v>
      </c>
      <c r="C394" s="1" t="s">
        <v>900</v>
      </c>
      <c r="D394" s="1" t="s">
        <v>387</v>
      </c>
      <c r="G394" s="124">
        <v>0</v>
      </c>
      <c r="AE394" s="141"/>
      <c r="AI394" s="142"/>
    </row>
    <row r="395" spans="1:35" ht="11.25" customHeight="1">
      <c r="A395" s="1" t="s">
        <v>902</v>
      </c>
      <c r="B395" s="1" t="s">
        <v>1593</v>
      </c>
      <c r="C395" s="1" t="s">
        <v>903</v>
      </c>
      <c r="D395" s="1" t="s">
        <v>739</v>
      </c>
      <c r="G395" s="124">
        <v>0</v>
      </c>
      <c r="AE395" s="141"/>
      <c r="AI395" s="142"/>
    </row>
    <row r="396" spans="1:35" ht="11.25" customHeight="1">
      <c r="A396" s="1" t="s">
        <v>904</v>
      </c>
      <c r="B396" s="1" t="s">
        <v>1594</v>
      </c>
      <c r="C396" s="1" t="s">
        <v>905</v>
      </c>
      <c r="D396" s="1" t="s">
        <v>387</v>
      </c>
      <c r="G396" s="124">
        <v>0</v>
      </c>
      <c r="AE396" s="141"/>
      <c r="AI396" s="142"/>
    </row>
    <row r="397" spans="1:35" ht="11.25" customHeight="1">
      <c r="A397" s="1" t="s">
        <v>906</v>
      </c>
      <c r="B397" s="1" t="s">
        <v>1595</v>
      </c>
      <c r="C397" s="1" t="s">
        <v>907</v>
      </c>
      <c r="D397" s="1" t="s">
        <v>739</v>
      </c>
      <c r="G397" s="124">
        <v>0</v>
      </c>
      <c r="AE397" s="141"/>
      <c r="AI397" s="142"/>
    </row>
    <row r="398" spans="1:35" ht="11.25" customHeight="1">
      <c r="A398" s="1" t="s">
        <v>906</v>
      </c>
      <c r="B398" s="1" t="s">
        <v>1596</v>
      </c>
      <c r="C398" s="1" t="s">
        <v>908</v>
      </c>
      <c r="D398" s="1" t="s">
        <v>387</v>
      </c>
      <c r="G398" s="124">
        <v>0</v>
      </c>
      <c r="U398" s="5" t="s">
        <v>623</v>
      </c>
      <c r="AE398" s="141"/>
      <c r="AI398" s="142"/>
    </row>
    <row r="399" spans="1:35" ht="11.25" customHeight="1">
      <c r="A399" s="1" t="s">
        <v>909</v>
      </c>
      <c r="B399" s="1" t="s">
        <v>1597</v>
      </c>
      <c r="C399" s="1" t="s">
        <v>910</v>
      </c>
      <c r="D399" s="1" t="s">
        <v>901</v>
      </c>
      <c r="G399" s="124">
        <v>0</v>
      </c>
      <c r="AE399" s="141"/>
      <c r="AI399" s="142"/>
    </row>
    <row r="400" spans="1:35" ht="11.25" customHeight="1">
      <c r="A400" s="1" t="s">
        <v>911</v>
      </c>
      <c r="B400" s="1" t="s">
        <v>1598</v>
      </c>
      <c r="C400" s="1" t="s">
        <v>912</v>
      </c>
      <c r="D400" s="1" t="s">
        <v>901</v>
      </c>
      <c r="G400" s="124">
        <v>0</v>
      </c>
      <c r="AE400" s="141"/>
      <c r="AI400" s="142"/>
    </row>
    <row r="401" spans="1:35" ht="11.25" customHeight="1">
      <c r="A401" s="1" t="s">
        <v>911</v>
      </c>
      <c r="B401" s="1" t="s">
        <v>1599</v>
      </c>
      <c r="C401" s="1" t="s">
        <v>913</v>
      </c>
      <c r="D401" s="1" t="s">
        <v>901</v>
      </c>
      <c r="G401" s="124">
        <v>0</v>
      </c>
      <c r="AE401" s="141"/>
      <c r="AI401" s="142"/>
    </row>
    <row r="402" spans="1:35" ht="11.25" customHeight="1">
      <c r="A402" s="1" t="s">
        <v>914</v>
      </c>
      <c r="B402" s="1" t="s">
        <v>1600</v>
      </c>
      <c r="C402" s="1" t="s">
        <v>915</v>
      </c>
      <c r="D402" s="1" t="s">
        <v>387</v>
      </c>
      <c r="G402" s="124">
        <v>0</v>
      </c>
      <c r="AE402" s="141"/>
      <c r="AI402" s="142"/>
    </row>
    <row r="403" spans="1:35" ht="11.25" customHeight="1">
      <c r="A403" s="1" t="s">
        <v>916</v>
      </c>
      <c r="B403" s="1" t="s">
        <v>1601</v>
      </c>
      <c r="C403" s="1" t="s">
        <v>917</v>
      </c>
      <c r="D403" s="1" t="s">
        <v>739</v>
      </c>
      <c r="G403" s="124">
        <v>0</v>
      </c>
      <c r="AE403" s="141"/>
      <c r="AI403" s="142"/>
    </row>
    <row r="404" spans="1:35" ht="11.25" customHeight="1">
      <c r="A404" s="1" t="s">
        <v>916</v>
      </c>
      <c r="B404" s="1" t="s">
        <v>1602</v>
      </c>
      <c r="C404" s="1" t="s">
        <v>918</v>
      </c>
      <c r="D404" s="1" t="s">
        <v>739</v>
      </c>
      <c r="G404" s="124">
        <v>0</v>
      </c>
      <c r="AE404" s="141"/>
      <c r="AI404" s="142"/>
    </row>
    <row r="405" spans="1:35" ht="11.25" customHeight="1">
      <c r="A405" s="1" t="s">
        <v>916</v>
      </c>
      <c r="B405" s="1" t="s">
        <v>1603</v>
      </c>
      <c r="C405" s="1" t="s">
        <v>919</v>
      </c>
      <c r="D405" s="1" t="s">
        <v>387</v>
      </c>
      <c r="G405" s="124">
        <v>0</v>
      </c>
      <c r="AE405" s="141"/>
      <c r="AI405" s="142"/>
    </row>
    <row r="406" spans="1:35" ht="11.25" customHeight="1">
      <c r="A406" s="1" t="s">
        <v>920</v>
      </c>
      <c r="B406" s="1" t="s">
        <v>1604</v>
      </c>
      <c r="C406" s="1" t="s">
        <v>921</v>
      </c>
      <c r="D406" s="1" t="s">
        <v>901</v>
      </c>
      <c r="G406" s="124">
        <v>0</v>
      </c>
      <c r="AE406" s="141"/>
      <c r="AI406" s="142"/>
    </row>
    <row r="407" spans="1:35" ht="11.25" customHeight="1">
      <c r="A407" s="1" t="s">
        <v>922</v>
      </c>
      <c r="B407" s="1" t="s">
        <v>1605</v>
      </c>
      <c r="C407" s="1" t="s">
        <v>923</v>
      </c>
      <c r="D407" s="1" t="s">
        <v>739</v>
      </c>
      <c r="G407" s="124">
        <v>0</v>
      </c>
      <c r="AE407" s="141"/>
      <c r="AI407" s="142"/>
    </row>
    <row r="408" spans="1:35" ht="11.25" customHeight="1">
      <c r="A408" s="1" t="s">
        <v>924</v>
      </c>
      <c r="B408" s="1" t="s">
        <v>1606</v>
      </c>
      <c r="C408" s="1" t="s">
        <v>925</v>
      </c>
      <c r="D408" s="1" t="s">
        <v>387</v>
      </c>
      <c r="G408" s="124">
        <v>0</v>
      </c>
      <c r="AE408" s="141"/>
      <c r="AI408" s="142"/>
    </row>
    <row r="409" spans="1:35" ht="11.25" customHeight="1">
      <c r="A409" s="1" t="s">
        <v>926</v>
      </c>
      <c r="B409" s="1" t="s">
        <v>1607</v>
      </c>
      <c r="C409" s="1" t="s">
        <v>927</v>
      </c>
      <c r="D409" s="1" t="s">
        <v>387</v>
      </c>
      <c r="G409" s="124">
        <v>0</v>
      </c>
      <c r="AE409" s="141"/>
      <c r="AI409" s="142"/>
    </row>
    <row r="410" spans="1:35" ht="11.25" customHeight="1">
      <c r="A410" s="1" t="s">
        <v>928</v>
      </c>
      <c r="B410" s="1" t="s">
        <v>1608</v>
      </c>
      <c r="C410" s="1" t="s">
        <v>929</v>
      </c>
      <c r="D410" s="1" t="s">
        <v>387</v>
      </c>
      <c r="G410" s="124">
        <v>0</v>
      </c>
      <c r="AE410" s="141"/>
      <c r="AI410" s="142"/>
    </row>
    <row r="411" spans="1:35" ht="11.25" customHeight="1">
      <c r="A411" s="1" t="s">
        <v>928</v>
      </c>
      <c r="B411" s="1" t="s">
        <v>1609</v>
      </c>
      <c r="C411" s="1" t="s">
        <v>930</v>
      </c>
      <c r="D411" s="1" t="s">
        <v>387</v>
      </c>
      <c r="G411" s="124">
        <v>0</v>
      </c>
      <c r="AE411" s="141"/>
      <c r="AI411" s="142"/>
    </row>
    <row r="412" spans="1:35" ht="11.25" customHeight="1">
      <c r="A412" s="1" t="s">
        <v>931</v>
      </c>
      <c r="B412" s="1" t="s">
        <v>1610</v>
      </c>
      <c r="C412" s="1" t="s">
        <v>932</v>
      </c>
      <c r="D412" s="1" t="s">
        <v>387</v>
      </c>
      <c r="G412" s="124">
        <v>0</v>
      </c>
      <c r="AE412" s="141"/>
      <c r="AI412" s="142"/>
    </row>
    <row r="413" spans="1:35" ht="11.25" customHeight="1">
      <c r="A413" s="1" t="s">
        <v>933</v>
      </c>
      <c r="B413" s="1" t="s">
        <v>1611</v>
      </c>
      <c r="C413" s="1" t="s">
        <v>934</v>
      </c>
      <c r="D413" s="1" t="s">
        <v>739</v>
      </c>
      <c r="G413" s="124">
        <v>0</v>
      </c>
      <c r="AE413" s="141"/>
      <c r="AI413" s="142"/>
    </row>
    <row r="414" spans="1:35" ht="11.25" customHeight="1">
      <c r="A414" s="1" t="s">
        <v>935</v>
      </c>
      <c r="B414" s="1" t="s">
        <v>1612</v>
      </c>
      <c r="C414" s="1" t="s">
        <v>936</v>
      </c>
      <c r="D414" s="1" t="s">
        <v>739</v>
      </c>
      <c r="G414" s="124">
        <v>0</v>
      </c>
      <c r="AE414" s="141"/>
      <c r="AI414" s="142"/>
    </row>
    <row r="415" spans="1:35" ht="11.25" customHeight="1">
      <c r="A415" s="1" t="s">
        <v>937</v>
      </c>
      <c r="B415" s="1" t="s">
        <v>1613</v>
      </c>
      <c r="C415" s="1" t="s">
        <v>938</v>
      </c>
      <c r="D415" s="1" t="s">
        <v>739</v>
      </c>
      <c r="G415" s="124">
        <v>0</v>
      </c>
      <c r="AE415" s="141"/>
      <c r="AI415" s="142"/>
    </row>
    <row r="416" spans="1:35" ht="11.25" customHeight="1">
      <c r="A416" s="1" t="s">
        <v>937</v>
      </c>
      <c r="B416" s="1" t="s">
        <v>1614</v>
      </c>
      <c r="C416" s="1" t="s">
        <v>939</v>
      </c>
      <c r="D416" s="1" t="s">
        <v>387</v>
      </c>
      <c r="G416" s="124">
        <v>0</v>
      </c>
      <c r="AE416" s="141"/>
      <c r="AI416" s="142"/>
    </row>
    <row r="417" spans="1:35" ht="11.25" customHeight="1">
      <c r="A417" s="1" t="s">
        <v>940</v>
      </c>
      <c r="B417" s="1" t="s">
        <v>1615</v>
      </c>
      <c r="C417" s="1" t="s">
        <v>941</v>
      </c>
      <c r="D417" s="1" t="s">
        <v>387</v>
      </c>
      <c r="G417" s="124">
        <v>0</v>
      </c>
      <c r="AE417" s="141"/>
      <c r="AI417" s="142"/>
    </row>
    <row r="418" spans="1:35" ht="11.25" customHeight="1">
      <c r="A418" s="1" t="s">
        <v>944</v>
      </c>
      <c r="B418" s="1" t="s">
        <v>1616</v>
      </c>
      <c r="C418" s="1" t="s">
        <v>945</v>
      </c>
      <c r="D418" s="1" t="s">
        <v>387</v>
      </c>
      <c r="G418" s="124">
        <v>0</v>
      </c>
      <c r="AE418" s="141"/>
      <c r="AI418" s="142"/>
    </row>
    <row r="419" spans="1:35" ht="11.25" customHeight="1">
      <c r="A419" s="1" t="s">
        <v>946</v>
      </c>
      <c r="B419" s="1" t="s">
        <v>1617</v>
      </c>
      <c r="C419" s="1" t="s">
        <v>947</v>
      </c>
      <c r="D419" s="1" t="s">
        <v>739</v>
      </c>
      <c r="G419" s="124">
        <v>0</v>
      </c>
      <c r="AE419" s="141"/>
      <c r="AI419" s="142"/>
    </row>
    <row r="420" spans="1:35" ht="11.25" customHeight="1">
      <c r="A420" s="1" t="s">
        <v>948</v>
      </c>
      <c r="B420" s="1" t="s">
        <v>1618</v>
      </c>
      <c r="C420" s="1" t="s">
        <v>949</v>
      </c>
      <c r="D420" s="1" t="s">
        <v>739</v>
      </c>
      <c r="G420" s="124">
        <v>2</v>
      </c>
      <c r="T420" s="5" t="s">
        <v>623</v>
      </c>
      <c r="Z420" s="5" t="s">
        <v>623</v>
      </c>
      <c r="AA420" s="5" t="s">
        <v>623</v>
      </c>
      <c r="AE420" s="141"/>
      <c r="AI420" s="142"/>
    </row>
    <row r="421" spans="1:35" ht="11.25" customHeight="1">
      <c r="A421" s="1" t="s">
        <v>950</v>
      </c>
      <c r="B421" s="1" t="s">
        <v>1619</v>
      </c>
      <c r="C421" s="1" t="s">
        <v>951</v>
      </c>
      <c r="D421" s="1" t="s">
        <v>739</v>
      </c>
      <c r="G421" s="124">
        <v>0</v>
      </c>
      <c r="AE421" s="141"/>
      <c r="AI421" s="142"/>
    </row>
    <row r="422" spans="1:35" ht="11.25" customHeight="1">
      <c r="A422" s="1" t="s">
        <v>952</v>
      </c>
      <c r="B422" s="1" t="s">
        <v>1620</v>
      </c>
      <c r="C422" s="1" t="s">
        <v>953</v>
      </c>
      <c r="D422" s="1" t="s">
        <v>739</v>
      </c>
      <c r="G422" s="124">
        <v>0</v>
      </c>
      <c r="AE422" s="141"/>
      <c r="AI422" s="142"/>
    </row>
    <row r="423" spans="1:35" ht="11.25" customHeight="1">
      <c r="A423" s="1" t="s">
        <v>954</v>
      </c>
      <c r="B423" s="1" t="s">
        <v>1621</v>
      </c>
      <c r="C423" s="1" t="s">
        <v>955</v>
      </c>
      <c r="D423" s="1" t="s">
        <v>739</v>
      </c>
      <c r="G423" s="124">
        <v>0</v>
      </c>
      <c r="AE423" s="141"/>
      <c r="AI423" s="142" t="s">
        <v>1586</v>
      </c>
    </row>
    <row r="424" spans="1:35" ht="11.25" customHeight="1">
      <c r="A424" s="1" t="s">
        <v>956</v>
      </c>
      <c r="B424" s="1" t="s">
        <v>1622</v>
      </c>
      <c r="C424" s="1" t="s">
        <v>957</v>
      </c>
      <c r="D424" s="1" t="s">
        <v>739</v>
      </c>
      <c r="G424" s="124">
        <v>0</v>
      </c>
      <c r="AE424" s="141"/>
      <c r="AI424" s="142"/>
    </row>
    <row r="425" spans="1:35" ht="11.25" customHeight="1">
      <c r="A425" s="1" t="s">
        <v>958</v>
      </c>
      <c r="B425" s="1" t="s">
        <v>1623</v>
      </c>
      <c r="C425" s="1" t="s">
        <v>959</v>
      </c>
      <c r="D425" s="1" t="s">
        <v>739</v>
      </c>
      <c r="G425" s="124">
        <v>3</v>
      </c>
      <c r="M425" s="5" t="s">
        <v>623</v>
      </c>
      <c r="V425" s="5" t="s">
        <v>623</v>
      </c>
      <c r="W425" s="5" t="s">
        <v>623</v>
      </c>
      <c r="X425" s="5" t="s">
        <v>623</v>
      </c>
      <c r="Y425" s="5" t="s">
        <v>623</v>
      </c>
      <c r="Z425" s="5" t="s">
        <v>623</v>
      </c>
      <c r="AD425" s="15" t="s">
        <v>623</v>
      </c>
      <c r="AE425" s="141"/>
      <c r="AI425" s="142"/>
    </row>
    <row r="426" spans="1:35" ht="11.25" customHeight="1">
      <c r="A426" s="1" t="s">
        <v>960</v>
      </c>
      <c r="B426" s="1" t="s">
        <v>1624</v>
      </c>
      <c r="C426" s="1" t="s">
        <v>961</v>
      </c>
      <c r="D426" s="1" t="s">
        <v>739</v>
      </c>
      <c r="G426" s="124">
        <v>0</v>
      </c>
      <c r="AE426" s="141"/>
      <c r="AI426" s="142"/>
    </row>
    <row r="427" spans="1:35" ht="11.25" customHeight="1">
      <c r="A427" s="1" t="s">
        <v>962</v>
      </c>
      <c r="B427" s="1" t="s">
        <v>1625</v>
      </c>
      <c r="C427" s="1" t="s">
        <v>963</v>
      </c>
      <c r="D427" s="1" t="s">
        <v>387</v>
      </c>
      <c r="G427" s="124">
        <v>2</v>
      </c>
      <c r="AE427" s="141"/>
      <c r="AI427" s="142"/>
    </row>
    <row r="428" spans="1:35" ht="11.25" customHeight="1">
      <c r="A428" s="1" t="s">
        <v>964</v>
      </c>
      <c r="B428" s="1" t="s">
        <v>1626</v>
      </c>
      <c r="C428" s="1" t="s">
        <v>965</v>
      </c>
      <c r="D428" s="1" t="s">
        <v>387</v>
      </c>
      <c r="G428" s="124">
        <v>0</v>
      </c>
      <c r="AE428" s="141"/>
      <c r="AI428" s="142"/>
    </row>
    <row r="429" spans="1:35" ht="11.25" customHeight="1">
      <c r="A429" s="1" t="s">
        <v>966</v>
      </c>
      <c r="B429" s="1" t="s">
        <v>1627</v>
      </c>
      <c r="C429" s="1" t="s">
        <v>967</v>
      </c>
      <c r="D429" s="1" t="s">
        <v>387</v>
      </c>
      <c r="G429" s="124">
        <v>0</v>
      </c>
      <c r="U429" s="5" t="s">
        <v>623</v>
      </c>
      <c r="AE429" s="141"/>
      <c r="AI429" s="142"/>
    </row>
    <row r="430" spans="1:35" ht="11.25" customHeight="1">
      <c r="A430" s="1" t="s">
        <v>966</v>
      </c>
      <c r="B430" s="1" t="s">
        <v>1628</v>
      </c>
      <c r="C430" s="1" t="s">
        <v>968</v>
      </c>
      <c r="D430" s="1" t="s">
        <v>387</v>
      </c>
      <c r="G430" s="124">
        <v>0</v>
      </c>
      <c r="AE430" s="141"/>
      <c r="AI430" s="142"/>
    </row>
    <row r="431" spans="1:35" ht="11.25" customHeight="1">
      <c r="A431" s="1" t="s">
        <v>969</v>
      </c>
      <c r="B431" s="1" t="s">
        <v>1629</v>
      </c>
      <c r="C431" s="1" t="s">
        <v>970</v>
      </c>
      <c r="D431" s="1" t="s">
        <v>901</v>
      </c>
      <c r="G431" s="124">
        <v>0</v>
      </c>
      <c r="AE431" s="141"/>
      <c r="AI431" s="142"/>
    </row>
    <row r="432" spans="1:35" ht="11.25" customHeight="1">
      <c r="A432" s="1" t="s">
        <v>971</v>
      </c>
      <c r="B432" s="1" t="s">
        <v>1630</v>
      </c>
      <c r="C432" s="1" t="s">
        <v>972</v>
      </c>
      <c r="D432" s="1" t="s">
        <v>739</v>
      </c>
      <c r="G432" s="124">
        <v>3</v>
      </c>
      <c r="AE432" s="141"/>
      <c r="AI432" s="142"/>
    </row>
    <row r="433" spans="1:35" ht="11.25" customHeight="1">
      <c r="A433" s="1" t="s">
        <v>973</v>
      </c>
      <c r="B433" s="1" t="s">
        <v>1631</v>
      </c>
      <c r="C433" s="1" t="s">
        <v>974</v>
      </c>
      <c r="D433" s="1" t="s">
        <v>387</v>
      </c>
      <c r="G433" s="124">
        <v>1</v>
      </c>
      <c r="V433" s="5" t="s">
        <v>623</v>
      </c>
      <c r="AE433" s="141" t="s">
        <v>623</v>
      </c>
      <c r="AI433" s="142"/>
    </row>
    <row r="434" spans="1:35" ht="11.25" customHeight="1">
      <c r="A434" s="1" t="s">
        <v>973</v>
      </c>
      <c r="B434" s="1" t="s">
        <v>1631</v>
      </c>
      <c r="C434" s="1" t="s">
        <v>974</v>
      </c>
      <c r="D434" s="1" t="s">
        <v>387</v>
      </c>
      <c r="G434" s="124">
        <v>0</v>
      </c>
      <c r="AE434" s="141"/>
      <c r="AI434" s="142"/>
    </row>
    <row r="435" spans="1:35" ht="11.25" customHeight="1">
      <c r="A435" s="1" t="s">
        <v>975</v>
      </c>
      <c r="B435" s="1" t="s">
        <v>1632</v>
      </c>
      <c r="C435" s="1" t="s">
        <v>976</v>
      </c>
      <c r="D435" s="1" t="s">
        <v>739</v>
      </c>
      <c r="G435" s="124">
        <v>1</v>
      </c>
      <c r="AE435" s="141"/>
      <c r="AI435" s="142"/>
    </row>
    <row r="436" spans="1:35" ht="11.25" customHeight="1">
      <c r="A436" s="1" t="s">
        <v>977</v>
      </c>
      <c r="B436" s="1" t="s">
        <v>1592</v>
      </c>
      <c r="C436" s="1" t="s">
        <v>978</v>
      </c>
      <c r="D436" s="1" t="s">
        <v>387</v>
      </c>
      <c r="G436" s="124">
        <v>0</v>
      </c>
      <c r="AE436" s="141"/>
      <c r="AI436" s="142"/>
    </row>
    <row r="437" spans="1:35" ht="11.25" customHeight="1">
      <c r="A437" s="1" t="s">
        <v>979</v>
      </c>
      <c r="B437" s="1" t="s">
        <v>1633</v>
      </c>
      <c r="C437" s="1" t="s">
        <v>980</v>
      </c>
      <c r="D437" s="1" t="s">
        <v>739</v>
      </c>
      <c r="G437" s="124">
        <v>2</v>
      </c>
      <c r="U437" s="5" t="s">
        <v>623</v>
      </c>
      <c r="AE437" s="141"/>
      <c r="AI437" s="142"/>
    </row>
    <row r="438" spans="1:35" ht="11.25" customHeight="1">
      <c r="A438" s="1" t="s">
        <v>981</v>
      </c>
      <c r="B438" s="1" t="s">
        <v>1634</v>
      </c>
      <c r="C438" s="1" t="s">
        <v>982</v>
      </c>
      <c r="D438" s="1" t="s">
        <v>739</v>
      </c>
      <c r="G438" s="124">
        <v>2</v>
      </c>
      <c r="R438" s="5" t="s">
        <v>623</v>
      </c>
      <c r="AE438" s="141" t="s">
        <v>623</v>
      </c>
      <c r="AI438" s="142"/>
    </row>
    <row r="439" spans="1:35" ht="11.25" customHeight="1">
      <c r="A439" s="1" t="s">
        <v>981</v>
      </c>
      <c r="B439" s="1" t="s">
        <v>1592</v>
      </c>
      <c r="C439" s="1" t="s">
        <v>983</v>
      </c>
      <c r="D439" s="1" t="s">
        <v>387</v>
      </c>
      <c r="G439" s="124">
        <v>0</v>
      </c>
      <c r="AE439" s="141"/>
      <c r="AI439" s="142"/>
    </row>
    <row r="440" spans="1:35" ht="11.25" customHeight="1">
      <c r="A440" s="1" t="s">
        <v>981</v>
      </c>
      <c r="B440" s="1" t="s">
        <v>1635</v>
      </c>
      <c r="C440" s="1" t="s">
        <v>984</v>
      </c>
      <c r="D440" s="1" t="s">
        <v>387</v>
      </c>
      <c r="G440" s="124">
        <v>0</v>
      </c>
      <c r="AE440" s="141"/>
      <c r="AI440" s="142"/>
    </row>
    <row r="441" spans="1:35" ht="11.25" customHeight="1">
      <c r="A441" s="1" t="s">
        <v>985</v>
      </c>
      <c r="B441" s="1" t="s">
        <v>1636</v>
      </c>
      <c r="C441" s="1" t="s">
        <v>986</v>
      </c>
      <c r="D441" s="1" t="s">
        <v>387</v>
      </c>
      <c r="G441" s="124">
        <v>1</v>
      </c>
      <c r="U441" s="5" t="s">
        <v>623</v>
      </c>
      <c r="AE441" s="141"/>
      <c r="AI441" s="142"/>
    </row>
    <row r="442" spans="1:35" ht="11.25" customHeight="1">
      <c r="A442" s="1" t="s">
        <v>987</v>
      </c>
      <c r="B442" s="1" t="s">
        <v>1637</v>
      </c>
      <c r="C442" s="1" t="s">
        <v>988</v>
      </c>
      <c r="D442" s="1" t="s">
        <v>739</v>
      </c>
      <c r="G442" s="124">
        <v>2</v>
      </c>
      <c r="R442" s="5" t="s">
        <v>623</v>
      </c>
      <c r="AE442" s="141"/>
      <c r="AI442" s="142"/>
    </row>
    <row r="443" spans="1:35" ht="11.25" customHeight="1">
      <c r="A443" s="1" t="s">
        <v>989</v>
      </c>
      <c r="B443" s="1" t="s">
        <v>1638</v>
      </c>
      <c r="C443" s="1" t="s">
        <v>990</v>
      </c>
      <c r="D443" s="1" t="s">
        <v>1299</v>
      </c>
      <c r="G443" s="124">
        <v>3</v>
      </c>
      <c r="AE443" s="141"/>
      <c r="AI443" s="142"/>
    </row>
    <row r="444" spans="1:35" ht="11.25" customHeight="1">
      <c r="A444" s="1" t="s">
        <v>991</v>
      </c>
      <c r="B444" s="1" t="s">
        <v>1592</v>
      </c>
      <c r="C444" s="1" t="s">
        <v>889</v>
      </c>
      <c r="D444" s="1" t="s">
        <v>688</v>
      </c>
      <c r="G444" s="124">
        <v>0</v>
      </c>
      <c r="AE444" s="141"/>
      <c r="AI444" s="142"/>
    </row>
    <row r="445" spans="1:35" ht="11.25" customHeight="1">
      <c r="A445" s="1" t="s">
        <v>992</v>
      </c>
      <c r="B445" s="1" t="s">
        <v>1639</v>
      </c>
      <c r="C445" s="1" t="s">
        <v>993</v>
      </c>
      <c r="D445" s="1" t="s">
        <v>739</v>
      </c>
      <c r="AE445" s="141"/>
      <c r="AI445" s="142"/>
    </row>
    <row r="446" spans="1:35" ht="11.25" customHeight="1">
      <c r="A446" s="1" t="s">
        <v>994</v>
      </c>
      <c r="B446" s="1" t="s">
        <v>1640</v>
      </c>
      <c r="C446" s="1" t="s">
        <v>995</v>
      </c>
      <c r="D446" s="1" t="s">
        <v>387</v>
      </c>
      <c r="G446" s="124">
        <v>1</v>
      </c>
      <c r="U446" s="5" t="s">
        <v>623</v>
      </c>
      <c r="AE446" s="141"/>
      <c r="AI446" s="142"/>
    </row>
    <row r="447" spans="1:35" ht="11.25" customHeight="1">
      <c r="A447" s="1" t="s">
        <v>994</v>
      </c>
      <c r="B447" s="1" t="s">
        <v>1641</v>
      </c>
      <c r="C447" s="1" t="s">
        <v>996</v>
      </c>
      <c r="D447" s="1" t="s">
        <v>387</v>
      </c>
      <c r="G447" s="124">
        <v>1</v>
      </c>
      <c r="AE447" s="141"/>
      <c r="AI447" s="142"/>
    </row>
    <row r="448" spans="1:35" ht="11.25" customHeight="1">
      <c r="A448" s="1" t="s">
        <v>997</v>
      </c>
      <c r="B448" s="1" t="s">
        <v>1642</v>
      </c>
      <c r="C448" s="1" t="s">
        <v>998</v>
      </c>
      <c r="D448" s="1" t="s">
        <v>739</v>
      </c>
      <c r="G448" s="124">
        <v>1</v>
      </c>
      <c r="U448" s="5" t="s">
        <v>623</v>
      </c>
      <c r="AE448" s="141"/>
      <c r="AI448" s="142"/>
    </row>
    <row r="449" spans="1:35" ht="11.25" customHeight="1">
      <c r="A449" s="1" t="s">
        <v>999</v>
      </c>
      <c r="B449" s="1" t="s">
        <v>1643</v>
      </c>
      <c r="C449" s="1" t="s">
        <v>1000</v>
      </c>
      <c r="D449" s="1" t="s">
        <v>739</v>
      </c>
      <c r="G449" s="124">
        <v>0</v>
      </c>
      <c r="AE449" s="141"/>
      <c r="AI449" s="142"/>
    </row>
    <row r="450" spans="1:35" ht="11.25" customHeight="1">
      <c r="A450" s="1" t="s">
        <v>1001</v>
      </c>
      <c r="B450" s="1" t="s">
        <v>1644</v>
      </c>
      <c r="C450" s="1" t="s">
        <v>1002</v>
      </c>
      <c r="D450" s="1" t="s">
        <v>739</v>
      </c>
      <c r="G450" s="124">
        <v>0</v>
      </c>
      <c r="AE450" s="141"/>
      <c r="AI450" s="142"/>
    </row>
    <row r="451" spans="1:35" ht="11.25" customHeight="1">
      <c r="A451" s="1" t="s">
        <v>1003</v>
      </c>
      <c r="B451" s="1" t="s">
        <v>1645</v>
      </c>
      <c r="C451" s="1" t="s">
        <v>1004</v>
      </c>
      <c r="D451" s="1" t="s">
        <v>739</v>
      </c>
      <c r="G451" s="124">
        <v>0</v>
      </c>
      <c r="AE451" s="141"/>
      <c r="AI451" s="142"/>
    </row>
    <row r="452" spans="1:35" ht="11.25" customHeight="1">
      <c r="A452" s="1" t="s">
        <v>1005</v>
      </c>
      <c r="B452" s="1" t="s">
        <v>1646</v>
      </c>
      <c r="C452" s="1" t="s">
        <v>1006</v>
      </c>
      <c r="D452" s="1" t="s">
        <v>739</v>
      </c>
      <c r="G452" s="124">
        <v>0</v>
      </c>
      <c r="AE452" s="141"/>
      <c r="AI452" s="142"/>
    </row>
    <row r="453" spans="1:35" ht="11.25" customHeight="1">
      <c r="A453" s="1" t="s">
        <v>1007</v>
      </c>
      <c r="B453" s="1" t="s">
        <v>1647</v>
      </c>
      <c r="C453" s="1" t="s">
        <v>1008</v>
      </c>
      <c r="D453" s="1" t="s">
        <v>387</v>
      </c>
      <c r="G453" s="124">
        <v>3</v>
      </c>
      <c r="V453" s="5" t="s">
        <v>623</v>
      </c>
      <c r="W453" s="5" t="s">
        <v>623</v>
      </c>
      <c r="X453" s="5" t="s">
        <v>623</v>
      </c>
      <c r="Y453" s="5" t="s">
        <v>623</v>
      </c>
      <c r="Z453" s="5" t="s">
        <v>623</v>
      </c>
      <c r="AD453" s="15" t="s">
        <v>623</v>
      </c>
      <c r="AE453" s="141"/>
      <c r="AI453" s="142"/>
    </row>
    <row r="454" spans="1:35" s="97" customFormat="1">
      <c r="G454" s="127"/>
      <c r="H454" s="92"/>
      <c r="I454" s="92"/>
      <c r="J454" s="92"/>
      <c r="K454" s="92"/>
      <c r="L454" s="92"/>
      <c r="M454" s="92"/>
      <c r="N454" s="92"/>
      <c r="O454" s="92"/>
      <c r="P454" s="92"/>
      <c r="Q454" s="92"/>
      <c r="R454" s="92"/>
      <c r="S454" s="92"/>
      <c r="T454" s="92"/>
      <c r="U454" s="92"/>
      <c r="V454" s="92"/>
      <c r="W454" s="92"/>
      <c r="X454" s="92"/>
      <c r="Y454" s="92"/>
      <c r="Z454" s="92"/>
      <c r="AA454" s="92"/>
      <c r="AB454" s="140"/>
      <c r="AC454" s="140"/>
      <c r="AD454" s="140"/>
      <c r="AE454" s="128"/>
      <c r="AI454"/>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dimension ref="A1:AL163"/>
  <sheetViews>
    <sheetView topLeftCell="A130" zoomScale="40" zoomScaleNormal="40" workbookViewId="0">
      <selection activeCell="AK96" sqref="AK96"/>
    </sheetView>
  </sheetViews>
  <sheetFormatPr defaultRowHeight="15"/>
  <cols>
    <col min="1" max="1" width="16.28515625" customWidth="1"/>
    <col min="2" max="22" width="7.28515625" customWidth="1"/>
  </cols>
  <sheetData>
    <row r="1" spans="1:38">
      <c r="A1" s="310" t="str">
        <f>All!C424</f>
        <v>Biology</v>
      </c>
      <c r="B1" s="311">
        <v>103</v>
      </c>
      <c r="C1" s="311">
        <f>B1</f>
        <v>103</v>
      </c>
      <c r="D1" s="311">
        <f t="shared" ref="D1:V1" si="0">C1</f>
        <v>103</v>
      </c>
      <c r="E1" s="311">
        <f t="shared" si="0"/>
        <v>103</v>
      </c>
      <c r="F1" s="311">
        <f t="shared" si="0"/>
        <v>103</v>
      </c>
      <c r="G1" s="311">
        <f t="shared" si="0"/>
        <v>103</v>
      </c>
      <c r="H1" s="311">
        <f t="shared" si="0"/>
        <v>103</v>
      </c>
      <c r="I1" s="311">
        <f t="shared" si="0"/>
        <v>103</v>
      </c>
      <c r="J1" s="311">
        <f t="shared" si="0"/>
        <v>103</v>
      </c>
      <c r="K1" s="311">
        <f t="shared" si="0"/>
        <v>103</v>
      </c>
      <c r="L1" s="311">
        <f t="shared" si="0"/>
        <v>103</v>
      </c>
      <c r="M1" s="311">
        <f t="shared" si="0"/>
        <v>103</v>
      </c>
      <c r="N1" s="311">
        <f t="shared" si="0"/>
        <v>103</v>
      </c>
      <c r="O1" s="311">
        <f t="shared" si="0"/>
        <v>103</v>
      </c>
      <c r="P1" s="311">
        <f t="shared" si="0"/>
        <v>103</v>
      </c>
      <c r="Q1" s="311">
        <f t="shared" si="0"/>
        <v>103</v>
      </c>
      <c r="R1" s="311">
        <f t="shared" si="0"/>
        <v>103</v>
      </c>
      <c r="S1" s="311">
        <f t="shared" si="0"/>
        <v>103</v>
      </c>
      <c r="T1" s="311">
        <f t="shared" si="0"/>
        <v>103</v>
      </c>
      <c r="U1" s="311">
        <f t="shared" si="0"/>
        <v>103</v>
      </c>
      <c r="V1" s="312">
        <f t="shared" si="0"/>
        <v>103</v>
      </c>
    </row>
    <row r="2" spans="1:38">
      <c r="A2" s="313" t="s">
        <v>1737</v>
      </c>
      <c r="B2" s="291">
        <v>10</v>
      </c>
      <c r="C2" s="291">
        <f>B2+1</f>
        <v>11</v>
      </c>
      <c r="D2" s="291">
        <f t="shared" ref="D2:V2" si="1">C2+1</f>
        <v>12</v>
      </c>
      <c r="E2" s="291">
        <f t="shared" si="1"/>
        <v>13</v>
      </c>
      <c r="F2" s="291">
        <f t="shared" si="1"/>
        <v>14</v>
      </c>
      <c r="G2" s="291">
        <f t="shared" si="1"/>
        <v>15</v>
      </c>
      <c r="H2" s="291">
        <f t="shared" si="1"/>
        <v>16</v>
      </c>
      <c r="I2" s="291">
        <f t="shared" si="1"/>
        <v>17</v>
      </c>
      <c r="J2" s="291">
        <f t="shared" si="1"/>
        <v>18</v>
      </c>
      <c r="K2" s="291">
        <f t="shared" si="1"/>
        <v>19</v>
      </c>
      <c r="L2" s="291">
        <f t="shared" si="1"/>
        <v>20</v>
      </c>
      <c r="M2" s="291">
        <f t="shared" si="1"/>
        <v>21</v>
      </c>
      <c r="N2" s="291">
        <f t="shared" si="1"/>
        <v>22</v>
      </c>
      <c r="O2" s="291">
        <f t="shared" si="1"/>
        <v>23</v>
      </c>
      <c r="P2" s="291">
        <f t="shared" si="1"/>
        <v>24</v>
      </c>
      <c r="Q2" s="291">
        <f t="shared" si="1"/>
        <v>25</v>
      </c>
      <c r="R2" s="291">
        <f t="shared" si="1"/>
        <v>26</v>
      </c>
      <c r="S2" s="291">
        <f t="shared" si="1"/>
        <v>27</v>
      </c>
      <c r="T2" s="291">
        <f t="shared" si="1"/>
        <v>28</v>
      </c>
      <c r="U2" s="291">
        <f t="shared" si="1"/>
        <v>29</v>
      </c>
      <c r="V2" s="314">
        <f t="shared" si="1"/>
        <v>30</v>
      </c>
    </row>
    <row r="3" spans="1:38">
      <c r="A3" s="315" t="s">
        <v>1738</v>
      </c>
      <c r="B3" s="291">
        <f>All!H424</f>
        <v>0</v>
      </c>
      <c r="C3" s="291">
        <f>All!I424</f>
        <v>0</v>
      </c>
      <c r="D3" s="291">
        <f>All!J424</f>
        <v>0</v>
      </c>
      <c r="E3" s="291">
        <f>All!K424</f>
        <v>3</v>
      </c>
      <c r="F3" s="291">
        <f>All!L424</f>
        <v>1</v>
      </c>
      <c r="G3" s="291">
        <f>All!M424</f>
        <v>2</v>
      </c>
      <c r="H3" s="291">
        <f>All!N424</f>
        <v>0</v>
      </c>
      <c r="I3" s="291">
        <f>All!O424</f>
        <v>1</v>
      </c>
      <c r="J3" s="291">
        <f>All!P424</f>
        <v>0</v>
      </c>
      <c r="K3" s="291">
        <f>All!Q424</f>
        <v>0</v>
      </c>
      <c r="L3" s="291">
        <f>All!R424</f>
        <v>1</v>
      </c>
      <c r="M3" s="291">
        <f>All!S424</f>
        <v>0</v>
      </c>
      <c r="N3" s="291">
        <f>All!T424</f>
        <v>14</v>
      </c>
      <c r="O3" s="291">
        <f>All!U424</f>
        <v>2</v>
      </c>
      <c r="P3" s="291">
        <f>All!V424</f>
        <v>2</v>
      </c>
      <c r="Q3" s="291">
        <f>All!W424</f>
        <v>1</v>
      </c>
      <c r="R3" s="291">
        <f>All!X424</f>
        <v>2</v>
      </c>
      <c r="S3" s="291">
        <f>All!Y424</f>
        <v>5</v>
      </c>
      <c r="T3" s="291">
        <f>All!Z424</f>
        <v>3</v>
      </c>
      <c r="U3" s="291">
        <f>All!AA424</f>
        <v>15</v>
      </c>
      <c r="V3" s="314">
        <f>All!AB424</f>
        <v>5</v>
      </c>
      <c r="W3" s="198">
        <f>SUM(B3:V3)</f>
        <v>57</v>
      </c>
    </row>
    <row r="4" spans="1:38">
      <c r="A4" s="315" t="s">
        <v>1992</v>
      </c>
      <c r="B4" s="291">
        <f>All!H449</f>
        <v>0</v>
      </c>
      <c r="C4" s="291">
        <f>All!I449</f>
        <v>0</v>
      </c>
      <c r="D4" s="291">
        <f>All!J449</f>
        <v>0</v>
      </c>
      <c r="E4" s="291">
        <f>All!K449</f>
        <v>2</v>
      </c>
      <c r="F4" s="291">
        <f>All!L449</f>
        <v>0</v>
      </c>
      <c r="G4" s="291">
        <f>All!M449</f>
        <v>0</v>
      </c>
      <c r="H4" s="291">
        <f>All!N449</f>
        <v>0</v>
      </c>
      <c r="I4" s="291">
        <f>All!O449</f>
        <v>0</v>
      </c>
      <c r="J4" s="291">
        <f>All!P449</f>
        <v>0</v>
      </c>
      <c r="K4" s="291">
        <f>All!Q449</f>
        <v>0</v>
      </c>
      <c r="L4" s="291">
        <f>All!R449</f>
        <v>0</v>
      </c>
      <c r="M4" s="291">
        <f>All!S449</f>
        <v>0</v>
      </c>
      <c r="N4" s="291">
        <f>All!T449</f>
        <v>2</v>
      </c>
      <c r="O4" s="291">
        <f>All!U449</f>
        <v>1</v>
      </c>
      <c r="P4" s="291">
        <f>All!V449</f>
        <v>1</v>
      </c>
      <c r="Q4" s="291">
        <f>All!W449</f>
        <v>1</v>
      </c>
      <c r="R4" s="291">
        <f>All!X449</f>
        <v>1</v>
      </c>
      <c r="S4" s="291">
        <f>All!Y449</f>
        <v>1</v>
      </c>
      <c r="T4" s="291">
        <f>All!Z449</f>
        <v>1</v>
      </c>
      <c r="U4" s="291">
        <f>All!AA449</f>
        <v>2</v>
      </c>
      <c r="V4" s="314">
        <f>All!AB449</f>
        <v>2</v>
      </c>
      <c r="W4" s="198">
        <f>SUM(B4:V4)</f>
        <v>14</v>
      </c>
    </row>
    <row r="5" spans="1:38" ht="15.75" thickBot="1">
      <c r="A5" s="316" t="s">
        <v>2189</v>
      </c>
      <c r="B5" s="317">
        <f>All!H477</f>
        <v>0</v>
      </c>
      <c r="C5" s="317">
        <f>All!I477</f>
        <v>0</v>
      </c>
      <c r="D5" s="317">
        <f>All!J477</f>
        <v>0</v>
      </c>
      <c r="E5" s="317">
        <f>All!K477</f>
        <v>0</v>
      </c>
      <c r="F5" s="317">
        <f>All!L477</f>
        <v>0</v>
      </c>
      <c r="G5" s="317">
        <f>All!M477</f>
        <v>0</v>
      </c>
      <c r="H5" s="317">
        <f>All!N477</f>
        <v>0</v>
      </c>
      <c r="I5" s="317">
        <f>All!O477</f>
        <v>0</v>
      </c>
      <c r="J5" s="317">
        <f>All!P477</f>
        <v>0</v>
      </c>
      <c r="K5" s="317">
        <f>All!Q477</f>
        <v>0</v>
      </c>
      <c r="L5" s="317">
        <f>All!R477</f>
        <v>0</v>
      </c>
      <c r="M5" s="317">
        <f>All!S477</f>
        <v>0</v>
      </c>
      <c r="N5" s="317">
        <f>All!T477</f>
        <v>0</v>
      </c>
      <c r="O5" s="317">
        <f>All!U477</f>
        <v>0</v>
      </c>
      <c r="P5" s="317">
        <f>All!V477</f>
        <v>0</v>
      </c>
      <c r="Q5" s="317">
        <f>All!W477</f>
        <v>0</v>
      </c>
      <c r="R5" s="317">
        <f>All!X477</f>
        <v>0</v>
      </c>
      <c r="S5" s="317">
        <f>All!Y477</f>
        <v>0</v>
      </c>
      <c r="T5" s="317">
        <f>All!Z477</f>
        <v>0</v>
      </c>
      <c r="U5" s="317">
        <f>All!AA477</f>
        <v>0</v>
      </c>
      <c r="V5" s="317">
        <f>All!AB477</f>
        <v>0</v>
      </c>
      <c r="W5" s="198">
        <f>SUM(B5:V5)</f>
        <v>0</v>
      </c>
    </row>
    <row r="6" spans="1:38">
      <c r="A6" s="310" t="str">
        <f>All!C427</f>
        <v>Economics</v>
      </c>
      <c r="B6" s="311">
        <f>B1+1</f>
        <v>104</v>
      </c>
      <c r="C6" s="311">
        <f>B6</f>
        <v>104</v>
      </c>
      <c r="D6" s="311">
        <f t="shared" ref="D6:V6" si="2">C6</f>
        <v>104</v>
      </c>
      <c r="E6" s="311">
        <f t="shared" si="2"/>
        <v>104</v>
      </c>
      <c r="F6" s="311">
        <f t="shared" si="2"/>
        <v>104</v>
      </c>
      <c r="G6" s="311">
        <f t="shared" si="2"/>
        <v>104</v>
      </c>
      <c r="H6" s="311">
        <f t="shared" si="2"/>
        <v>104</v>
      </c>
      <c r="I6" s="311">
        <f t="shared" si="2"/>
        <v>104</v>
      </c>
      <c r="J6" s="311">
        <f t="shared" si="2"/>
        <v>104</v>
      </c>
      <c r="K6" s="311">
        <f t="shared" si="2"/>
        <v>104</v>
      </c>
      <c r="L6" s="311">
        <f t="shared" si="2"/>
        <v>104</v>
      </c>
      <c r="M6" s="311">
        <f t="shared" si="2"/>
        <v>104</v>
      </c>
      <c r="N6" s="311">
        <f t="shared" si="2"/>
        <v>104</v>
      </c>
      <c r="O6" s="311">
        <f t="shared" si="2"/>
        <v>104</v>
      </c>
      <c r="P6" s="311">
        <f t="shared" si="2"/>
        <v>104</v>
      </c>
      <c r="Q6" s="311">
        <f t="shared" si="2"/>
        <v>104</v>
      </c>
      <c r="R6" s="311">
        <f t="shared" si="2"/>
        <v>104</v>
      </c>
      <c r="S6" s="311">
        <f t="shared" si="2"/>
        <v>104</v>
      </c>
      <c r="T6" s="311">
        <f t="shared" si="2"/>
        <v>104</v>
      </c>
      <c r="U6" s="311">
        <f t="shared" si="2"/>
        <v>104</v>
      </c>
      <c r="V6" s="312">
        <f t="shared" si="2"/>
        <v>104</v>
      </c>
    </row>
    <row r="7" spans="1:38" ht="32.25">
      <c r="A7" s="313" t="s">
        <v>1737</v>
      </c>
      <c r="B7" s="291">
        <v>10</v>
      </c>
      <c r="C7" s="291">
        <f>B7+1</f>
        <v>11</v>
      </c>
      <c r="D7" s="291">
        <f t="shared" ref="D7:V7" si="3">C7+1</f>
        <v>12</v>
      </c>
      <c r="E7" s="291">
        <f t="shared" si="3"/>
        <v>13</v>
      </c>
      <c r="F7" s="291">
        <f t="shared" si="3"/>
        <v>14</v>
      </c>
      <c r="G7" s="291">
        <f t="shared" si="3"/>
        <v>15</v>
      </c>
      <c r="H7" s="291">
        <f t="shared" si="3"/>
        <v>16</v>
      </c>
      <c r="I7" s="291">
        <f t="shared" si="3"/>
        <v>17</v>
      </c>
      <c r="J7" s="291">
        <f t="shared" si="3"/>
        <v>18</v>
      </c>
      <c r="K7" s="291">
        <f t="shared" si="3"/>
        <v>19</v>
      </c>
      <c r="L7" s="291">
        <f t="shared" si="3"/>
        <v>20</v>
      </c>
      <c r="M7" s="291">
        <f t="shared" si="3"/>
        <v>21</v>
      </c>
      <c r="N7" s="291">
        <f t="shared" si="3"/>
        <v>22</v>
      </c>
      <c r="O7" s="291">
        <f t="shared" si="3"/>
        <v>23</v>
      </c>
      <c r="P7" s="291">
        <f t="shared" si="3"/>
        <v>24</v>
      </c>
      <c r="Q7" s="291">
        <f t="shared" si="3"/>
        <v>25</v>
      </c>
      <c r="R7" s="291">
        <f t="shared" si="3"/>
        <v>26</v>
      </c>
      <c r="S7" s="291">
        <f t="shared" si="3"/>
        <v>27</v>
      </c>
      <c r="T7" s="291">
        <f t="shared" si="3"/>
        <v>28</v>
      </c>
      <c r="U7" s="291">
        <f t="shared" si="3"/>
        <v>29</v>
      </c>
      <c r="V7" s="314">
        <f t="shared" si="3"/>
        <v>30</v>
      </c>
      <c r="AL7" s="309" t="s">
        <v>2188</v>
      </c>
    </row>
    <row r="8" spans="1:38">
      <c r="A8" s="315" t="s">
        <v>1738</v>
      </c>
      <c r="B8" s="291">
        <f>All!H427</f>
        <v>3</v>
      </c>
      <c r="C8" s="291">
        <f>All!I427</f>
        <v>1</v>
      </c>
      <c r="D8" s="291">
        <f>All!J427</f>
        <v>11</v>
      </c>
      <c r="E8" s="291">
        <f>All!K427</f>
        <v>5</v>
      </c>
      <c r="F8" s="291">
        <f>All!L427</f>
        <v>2</v>
      </c>
      <c r="G8" s="291">
        <f>All!M427</f>
        <v>16</v>
      </c>
      <c r="H8" s="291">
        <f>All!N427</f>
        <v>37</v>
      </c>
      <c r="I8" s="291">
        <f>All!O427</f>
        <v>2</v>
      </c>
      <c r="J8" s="291">
        <f>All!P427</f>
        <v>0</v>
      </c>
      <c r="K8" s="291">
        <f>All!Q427</f>
        <v>2</v>
      </c>
      <c r="L8" s="291">
        <f>All!R427</f>
        <v>1</v>
      </c>
      <c r="M8" s="291">
        <f>All!S427</f>
        <v>0</v>
      </c>
      <c r="N8" s="291">
        <f>All!T427</f>
        <v>5</v>
      </c>
      <c r="O8" s="291">
        <f>All!U427</f>
        <v>19</v>
      </c>
      <c r="P8" s="291">
        <f>All!V427</f>
        <v>0</v>
      </c>
      <c r="Q8" s="291">
        <f>All!W427</f>
        <v>3</v>
      </c>
      <c r="R8" s="291">
        <f>All!X427</f>
        <v>3</v>
      </c>
      <c r="S8" s="291">
        <f>All!Y427</f>
        <v>1</v>
      </c>
      <c r="T8" s="291">
        <f>All!Z427</f>
        <v>2</v>
      </c>
      <c r="U8" s="291">
        <f>All!AA427</f>
        <v>2</v>
      </c>
      <c r="V8" s="314">
        <f>All!AB427</f>
        <v>2</v>
      </c>
      <c r="W8" s="198">
        <f>SUM(B8:V8)</f>
        <v>117</v>
      </c>
    </row>
    <row r="9" spans="1:38">
      <c r="A9" s="315" t="s">
        <v>1992</v>
      </c>
      <c r="B9" s="291">
        <f>All!H452</f>
        <v>1</v>
      </c>
      <c r="C9" s="291">
        <f>All!I452</f>
        <v>0</v>
      </c>
      <c r="D9" s="291">
        <f>All!J452</f>
        <v>3</v>
      </c>
      <c r="E9" s="291">
        <f>All!K452</f>
        <v>4</v>
      </c>
      <c r="F9" s="291">
        <f>All!L452</f>
        <v>1</v>
      </c>
      <c r="G9" s="291">
        <f>All!M452</f>
        <v>5</v>
      </c>
      <c r="H9" s="291">
        <f>All!N452</f>
        <v>5</v>
      </c>
      <c r="I9" s="291">
        <f>All!O452</f>
        <v>1</v>
      </c>
      <c r="J9" s="291">
        <f>All!P452</f>
        <v>0</v>
      </c>
      <c r="K9" s="291">
        <f>All!Q452</f>
        <v>1</v>
      </c>
      <c r="L9" s="291">
        <f>All!R452</f>
        <v>1</v>
      </c>
      <c r="M9" s="291">
        <f>All!S452</f>
        <v>0</v>
      </c>
      <c r="N9" s="291">
        <f>All!T452</f>
        <v>3</v>
      </c>
      <c r="O9" s="291">
        <f>All!U452</f>
        <v>3</v>
      </c>
      <c r="P9" s="291">
        <f>All!V452</f>
        <v>0</v>
      </c>
      <c r="Q9" s="291">
        <f>All!W452</f>
        <v>3</v>
      </c>
      <c r="R9" s="291">
        <f>All!X452</f>
        <v>3</v>
      </c>
      <c r="S9" s="291">
        <f>All!Y452</f>
        <v>1</v>
      </c>
      <c r="T9" s="291">
        <f>All!Z452</f>
        <v>2</v>
      </c>
      <c r="U9" s="291">
        <f>All!AA452</f>
        <v>2</v>
      </c>
      <c r="V9" s="314">
        <f>All!AB452</f>
        <v>2</v>
      </c>
      <c r="W9" s="198">
        <f>SUM(B9:V9)</f>
        <v>41</v>
      </c>
    </row>
    <row r="10" spans="1:38" ht="15.75" thickBot="1">
      <c r="A10" s="316" t="s">
        <v>2189</v>
      </c>
      <c r="B10" s="317">
        <f>All!H480</f>
        <v>0</v>
      </c>
      <c r="C10" s="317">
        <f>All!I480</f>
        <v>0</v>
      </c>
      <c r="D10" s="317">
        <f>All!J480</f>
        <v>1</v>
      </c>
      <c r="E10" s="317">
        <f>All!K480</f>
        <v>2</v>
      </c>
      <c r="F10" s="317">
        <f>All!L480</f>
        <v>0</v>
      </c>
      <c r="G10" s="317">
        <f>All!M480</f>
        <v>2</v>
      </c>
      <c r="H10" s="317">
        <f>All!N480</f>
        <v>2</v>
      </c>
      <c r="I10" s="317">
        <f>All!O480</f>
        <v>0</v>
      </c>
      <c r="J10" s="317">
        <f>All!P480</f>
        <v>0</v>
      </c>
      <c r="K10" s="317">
        <f>All!Q480</f>
        <v>0</v>
      </c>
      <c r="L10" s="317">
        <f>All!R480</f>
        <v>1</v>
      </c>
      <c r="M10" s="317">
        <f>All!S480</f>
        <v>0</v>
      </c>
      <c r="N10" s="317">
        <f>All!T480</f>
        <v>2</v>
      </c>
      <c r="O10" s="317">
        <f>All!U480</f>
        <v>1</v>
      </c>
      <c r="P10" s="317">
        <f>All!V480</f>
        <v>0</v>
      </c>
      <c r="Q10" s="317">
        <f>All!W480</f>
        <v>2</v>
      </c>
      <c r="R10" s="317">
        <f>All!X480</f>
        <v>2</v>
      </c>
      <c r="S10" s="317">
        <f>All!Y480</f>
        <v>0</v>
      </c>
      <c r="T10" s="317">
        <f>All!Z480</f>
        <v>1</v>
      </c>
      <c r="U10" s="317">
        <f>All!AA480</f>
        <v>1</v>
      </c>
      <c r="V10" s="317">
        <f>All!AB480</f>
        <v>1</v>
      </c>
      <c r="W10" s="198">
        <f>SUM(B10:V10)</f>
        <v>18</v>
      </c>
    </row>
    <row r="11" spans="1:38">
      <c r="A11" s="310" t="str">
        <f>All!C429</f>
        <v>Environmental studies</v>
      </c>
      <c r="B11" s="311">
        <f>B6+1</f>
        <v>105</v>
      </c>
      <c r="C11" s="311">
        <f>B11</f>
        <v>105</v>
      </c>
      <c r="D11" s="311">
        <f t="shared" ref="D11:V11" si="4">C11</f>
        <v>105</v>
      </c>
      <c r="E11" s="311">
        <f t="shared" si="4"/>
        <v>105</v>
      </c>
      <c r="F11" s="311">
        <f t="shared" si="4"/>
        <v>105</v>
      </c>
      <c r="G11" s="311">
        <f t="shared" si="4"/>
        <v>105</v>
      </c>
      <c r="H11" s="311">
        <f t="shared" si="4"/>
        <v>105</v>
      </c>
      <c r="I11" s="311">
        <f t="shared" si="4"/>
        <v>105</v>
      </c>
      <c r="J11" s="311">
        <f t="shared" si="4"/>
        <v>105</v>
      </c>
      <c r="K11" s="311">
        <f t="shared" si="4"/>
        <v>105</v>
      </c>
      <c r="L11" s="311">
        <f t="shared" si="4"/>
        <v>105</v>
      </c>
      <c r="M11" s="311">
        <f t="shared" si="4"/>
        <v>105</v>
      </c>
      <c r="N11" s="311">
        <f t="shared" si="4"/>
        <v>105</v>
      </c>
      <c r="O11" s="311">
        <f t="shared" si="4"/>
        <v>105</v>
      </c>
      <c r="P11" s="311">
        <f t="shared" si="4"/>
        <v>105</v>
      </c>
      <c r="Q11" s="311">
        <f t="shared" si="4"/>
        <v>105</v>
      </c>
      <c r="R11" s="311">
        <f t="shared" si="4"/>
        <v>105</v>
      </c>
      <c r="S11" s="311">
        <f t="shared" si="4"/>
        <v>105</v>
      </c>
      <c r="T11" s="311">
        <f t="shared" si="4"/>
        <v>105</v>
      </c>
      <c r="U11" s="311">
        <f t="shared" si="4"/>
        <v>105</v>
      </c>
      <c r="V11" s="312">
        <f t="shared" si="4"/>
        <v>105</v>
      </c>
    </row>
    <row r="12" spans="1:38">
      <c r="A12" s="313" t="s">
        <v>1737</v>
      </c>
      <c r="B12" s="291">
        <v>10</v>
      </c>
      <c r="C12" s="291">
        <f>B12+1</f>
        <v>11</v>
      </c>
      <c r="D12" s="291">
        <f t="shared" ref="D12:V12" si="5">C12+1</f>
        <v>12</v>
      </c>
      <c r="E12" s="291">
        <f t="shared" si="5"/>
        <v>13</v>
      </c>
      <c r="F12" s="291">
        <f t="shared" si="5"/>
        <v>14</v>
      </c>
      <c r="G12" s="291">
        <f t="shared" si="5"/>
        <v>15</v>
      </c>
      <c r="H12" s="291">
        <f t="shared" si="5"/>
        <v>16</v>
      </c>
      <c r="I12" s="291">
        <f t="shared" si="5"/>
        <v>17</v>
      </c>
      <c r="J12" s="291">
        <f t="shared" si="5"/>
        <v>18</v>
      </c>
      <c r="K12" s="291">
        <f t="shared" si="5"/>
        <v>19</v>
      </c>
      <c r="L12" s="291">
        <f t="shared" si="5"/>
        <v>20</v>
      </c>
      <c r="M12" s="291">
        <f t="shared" si="5"/>
        <v>21</v>
      </c>
      <c r="N12" s="291">
        <f t="shared" si="5"/>
        <v>22</v>
      </c>
      <c r="O12" s="291">
        <f t="shared" si="5"/>
        <v>23</v>
      </c>
      <c r="P12" s="291">
        <f t="shared" si="5"/>
        <v>24</v>
      </c>
      <c r="Q12" s="291">
        <f t="shared" si="5"/>
        <v>25</v>
      </c>
      <c r="R12" s="291">
        <f t="shared" si="5"/>
        <v>26</v>
      </c>
      <c r="S12" s="291">
        <f t="shared" si="5"/>
        <v>27</v>
      </c>
      <c r="T12" s="291">
        <f t="shared" si="5"/>
        <v>28</v>
      </c>
      <c r="U12" s="291">
        <f t="shared" si="5"/>
        <v>29</v>
      </c>
      <c r="V12" s="314">
        <f t="shared" si="5"/>
        <v>30</v>
      </c>
    </row>
    <row r="13" spans="1:38">
      <c r="A13" s="315" t="s">
        <v>1738</v>
      </c>
      <c r="B13" s="291">
        <f>All!H429</f>
        <v>1</v>
      </c>
      <c r="C13" s="291">
        <f>All!I429</f>
        <v>1</v>
      </c>
      <c r="D13" s="291">
        <f>All!J429</f>
        <v>0</v>
      </c>
      <c r="E13" s="291">
        <f>All!K429</f>
        <v>10</v>
      </c>
      <c r="F13" s="291">
        <f>All!L429</f>
        <v>11</v>
      </c>
      <c r="G13" s="291">
        <f>All!M429</f>
        <v>15</v>
      </c>
      <c r="H13" s="291">
        <f>All!N429</f>
        <v>0</v>
      </c>
      <c r="I13" s="291">
        <f>All!O429</f>
        <v>3</v>
      </c>
      <c r="J13" s="291">
        <f>All!P429</f>
        <v>4</v>
      </c>
      <c r="K13" s="291">
        <f>All!Q429</f>
        <v>1</v>
      </c>
      <c r="L13" s="291">
        <f>All!R429</f>
        <v>6</v>
      </c>
      <c r="M13" s="291">
        <f>All!S429</f>
        <v>2</v>
      </c>
      <c r="N13" s="291">
        <f>All!T429</f>
        <v>13</v>
      </c>
      <c r="O13" s="291">
        <f>All!U429</f>
        <v>8</v>
      </c>
      <c r="P13" s="291">
        <f>All!V429</f>
        <v>2</v>
      </c>
      <c r="Q13" s="291">
        <f>All!W429</f>
        <v>8</v>
      </c>
      <c r="R13" s="291">
        <f>All!X429</f>
        <v>7</v>
      </c>
      <c r="S13" s="291">
        <f>All!Y429</f>
        <v>7</v>
      </c>
      <c r="T13" s="291">
        <f>All!Z429</f>
        <v>9</v>
      </c>
      <c r="U13" s="291">
        <f>All!AA429</f>
        <v>4</v>
      </c>
      <c r="V13" s="314">
        <f>All!AB429</f>
        <v>3</v>
      </c>
      <c r="W13" s="198">
        <f>SUM(B13:V13)</f>
        <v>115</v>
      </c>
    </row>
    <row r="14" spans="1:38">
      <c r="A14" s="315" t="s">
        <v>1992</v>
      </c>
      <c r="B14" s="291">
        <f>All!H454</f>
        <v>1</v>
      </c>
      <c r="C14" s="291">
        <f>All!I454</f>
        <v>1</v>
      </c>
      <c r="D14" s="291">
        <f>All!J454</f>
        <v>0</v>
      </c>
      <c r="E14" s="291">
        <f>All!K454</f>
        <v>4</v>
      </c>
      <c r="F14" s="291">
        <f>All!L454</f>
        <v>2</v>
      </c>
      <c r="G14" s="291">
        <f>All!M454</f>
        <v>4</v>
      </c>
      <c r="H14" s="291">
        <f>All!N454</f>
        <v>0</v>
      </c>
      <c r="I14" s="291">
        <f>All!O454</f>
        <v>1</v>
      </c>
      <c r="J14" s="291">
        <f>All!P454</f>
        <v>2</v>
      </c>
      <c r="K14" s="291">
        <f>All!Q454</f>
        <v>1</v>
      </c>
      <c r="L14" s="291">
        <f>All!R454</f>
        <v>3</v>
      </c>
      <c r="M14" s="291">
        <f>All!S454</f>
        <v>1</v>
      </c>
      <c r="N14" s="291">
        <f>All!T454</f>
        <v>3</v>
      </c>
      <c r="O14" s="291">
        <f>All!U454</f>
        <v>3</v>
      </c>
      <c r="P14" s="291">
        <f>All!V454</f>
        <v>0</v>
      </c>
      <c r="Q14" s="291">
        <f>All!W454</f>
        <v>4</v>
      </c>
      <c r="R14" s="291">
        <f>All!X454</f>
        <v>2</v>
      </c>
      <c r="S14" s="291">
        <f>All!Y454</f>
        <v>3</v>
      </c>
      <c r="T14" s="291">
        <f>All!Z454</f>
        <v>4</v>
      </c>
      <c r="U14" s="291">
        <f>All!AA454</f>
        <v>2</v>
      </c>
      <c r="V14" s="314">
        <f>All!AB454</f>
        <v>1</v>
      </c>
      <c r="W14" s="198">
        <f>SUM(B14:V14)</f>
        <v>42</v>
      </c>
    </row>
    <row r="15" spans="1:38" ht="15.75" thickBot="1">
      <c r="A15" s="316" t="s">
        <v>2189</v>
      </c>
      <c r="B15" s="317">
        <f>All!H482</f>
        <v>1</v>
      </c>
      <c r="C15" s="317">
        <f>All!I482</f>
        <v>1</v>
      </c>
      <c r="D15" s="317">
        <f>All!J482</f>
        <v>0</v>
      </c>
      <c r="E15" s="317">
        <f>All!K482</f>
        <v>0</v>
      </c>
      <c r="F15" s="317">
        <f>All!L482</f>
        <v>0</v>
      </c>
      <c r="G15" s="317">
        <f>All!M482</f>
        <v>1</v>
      </c>
      <c r="H15" s="317">
        <f>All!N482</f>
        <v>0</v>
      </c>
      <c r="I15" s="317">
        <f>All!O482</f>
        <v>0</v>
      </c>
      <c r="J15" s="317">
        <f>All!P482</f>
        <v>0</v>
      </c>
      <c r="K15" s="317">
        <f>All!Q482</f>
        <v>1</v>
      </c>
      <c r="L15" s="317">
        <f>All!R482</f>
        <v>0</v>
      </c>
      <c r="M15" s="317">
        <f>All!S482</f>
        <v>0</v>
      </c>
      <c r="N15" s="317">
        <f>All!T482</f>
        <v>0</v>
      </c>
      <c r="O15" s="317">
        <f>All!U482</f>
        <v>0</v>
      </c>
      <c r="P15" s="317">
        <f>All!V482</f>
        <v>0</v>
      </c>
      <c r="Q15" s="317">
        <f>All!W482</f>
        <v>0</v>
      </c>
      <c r="R15" s="317">
        <f>All!X482</f>
        <v>0</v>
      </c>
      <c r="S15" s="317">
        <f>All!Y482</f>
        <v>0</v>
      </c>
      <c r="T15" s="317">
        <f>All!Z482</f>
        <v>0</v>
      </c>
      <c r="U15" s="317">
        <f>All!AA482</f>
        <v>0</v>
      </c>
      <c r="V15" s="317">
        <f>All!AB482</f>
        <v>0</v>
      </c>
      <c r="W15" s="198">
        <f>SUM(B15:V15)</f>
        <v>4</v>
      </c>
    </row>
    <row r="16" spans="1:38">
      <c r="A16" s="310" t="str">
        <f>All!C430</f>
        <v>FES</v>
      </c>
      <c r="B16" s="311">
        <f>B11+1</f>
        <v>106</v>
      </c>
      <c r="C16" s="311">
        <f>B16</f>
        <v>106</v>
      </c>
      <c r="D16" s="311">
        <f t="shared" ref="D16:V16" si="6">C16</f>
        <v>106</v>
      </c>
      <c r="E16" s="311">
        <f t="shared" si="6"/>
        <v>106</v>
      </c>
      <c r="F16" s="311">
        <f t="shared" si="6"/>
        <v>106</v>
      </c>
      <c r="G16" s="311">
        <f t="shared" si="6"/>
        <v>106</v>
      </c>
      <c r="H16" s="311">
        <f t="shared" si="6"/>
        <v>106</v>
      </c>
      <c r="I16" s="311">
        <f t="shared" si="6"/>
        <v>106</v>
      </c>
      <c r="J16" s="311">
        <f t="shared" si="6"/>
        <v>106</v>
      </c>
      <c r="K16" s="311">
        <f t="shared" si="6"/>
        <v>106</v>
      </c>
      <c r="L16" s="311">
        <f t="shared" si="6"/>
        <v>106</v>
      </c>
      <c r="M16" s="311">
        <f t="shared" si="6"/>
        <v>106</v>
      </c>
      <c r="N16" s="311">
        <f t="shared" si="6"/>
        <v>106</v>
      </c>
      <c r="O16" s="311">
        <f t="shared" si="6"/>
        <v>106</v>
      </c>
      <c r="P16" s="311">
        <f t="shared" si="6"/>
        <v>106</v>
      </c>
      <c r="Q16" s="311">
        <f t="shared" si="6"/>
        <v>106</v>
      </c>
      <c r="R16" s="311">
        <f t="shared" si="6"/>
        <v>106</v>
      </c>
      <c r="S16" s="311">
        <f t="shared" si="6"/>
        <v>106</v>
      </c>
      <c r="T16" s="311">
        <f t="shared" si="6"/>
        <v>106</v>
      </c>
      <c r="U16" s="311">
        <f t="shared" si="6"/>
        <v>106</v>
      </c>
      <c r="V16" s="312">
        <f t="shared" si="6"/>
        <v>106</v>
      </c>
    </row>
    <row r="17" spans="1:23">
      <c r="A17" s="313" t="s">
        <v>1737</v>
      </c>
      <c r="B17" s="291">
        <v>10</v>
      </c>
      <c r="C17" s="291">
        <f>B17+1</f>
        <v>11</v>
      </c>
      <c r="D17" s="291">
        <f t="shared" ref="D17:V17" si="7">C17+1</f>
        <v>12</v>
      </c>
      <c r="E17" s="291">
        <f t="shared" si="7"/>
        <v>13</v>
      </c>
      <c r="F17" s="291">
        <f t="shared" si="7"/>
        <v>14</v>
      </c>
      <c r="G17" s="291">
        <f t="shared" si="7"/>
        <v>15</v>
      </c>
      <c r="H17" s="291">
        <f t="shared" si="7"/>
        <v>16</v>
      </c>
      <c r="I17" s="291">
        <f t="shared" si="7"/>
        <v>17</v>
      </c>
      <c r="J17" s="291">
        <f t="shared" si="7"/>
        <v>18</v>
      </c>
      <c r="K17" s="291">
        <f t="shared" si="7"/>
        <v>19</v>
      </c>
      <c r="L17" s="291">
        <f t="shared" si="7"/>
        <v>20</v>
      </c>
      <c r="M17" s="291">
        <f t="shared" si="7"/>
        <v>21</v>
      </c>
      <c r="N17" s="291">
        <f t="shared" si="7"/>
        <v>22</v>
      </c>
      <c r="O17" s="291">
        <f t="shared" si="7"/>
        <v>23</v>
      </c>
      <c r="P17" s="291">
        <f t="shared" si="7"/>
        <v>24</v>
      </c>
      <c r="Q17" s="291">
        <f t="shared" si="7"/>
        <v>25</v>
      </c>
      <c r="R17" s="291">
        <f t="shared" si="7"/>
        <v>26</v>
      </c>
      <c r="S17" s="291">
        <f t="shared" si="7"/>
        <v>27</v>
      </c>
      <c r="T17" s="291">
        <f t="shared" si="7"/>
        <v>28</v>
      </c>
      <c r="U17" s="291">
        <f t="shared" si="7"/>
        <v>29</v>
      </c>
      <c r="V17" s="314">
        <f t="shared" si="7"/>
        <v>30</v>
      </c>
    </row>
    <row r="18" spans="1:23">
      <c r="A18" s="315" t="s">
        <v>1738</v>
      </c>
      <c r="B18" s="291">
        <f>All!H430</f>
        <v>23</v>
      </c>
      <c r="C18" s="291">
        <f>All!I430</f>
        <v>6</v>
      </c>
      <c r="D18" s="291">
        <f>All!J430</f>
        <v>24</v>
      </c>
      <c r="E18" s="291">
        <f>All!K430</f>
        <v>32</v>
      </c>
      <c r="F18" s="291">
        <f>All!L430</f>
        <v>30</v>
      </c>
      <c r="G18" s="291">
        <f>All!M430</f>
        <v>54</v>
      </c>
      <c r="H18" s="291">
        <f>All!N430</f>
        <v>26</v>
      </c>
      <c r="I18" s="291">
        <f>All!O430</f>
        <v>14</v>
      </c>
      <c r="J18" s="291">
        <f>All!P430</f>
        <v>19</v>
      </c>
      <c r="K18" s="291">
        <f>All!Q430</f>
        <v>18</v>
      </c>
      <c r="L18" s="291">
        <f>All!R430</f>
        <v>17</v>
      </c>
      <c r="M18" s="291">
        <f>All!S430</f>
        <v>8</v>
      </c>
      <c r="N18" s="291">
        <f>All!T430</f>
        <v>71</v>
      </c>
      <c r="O18" s="291">
        <f>All!U430</f>
        <v>33</v>
      </c>
      <c r="P18" s="291">
        <f>All!V430</f>
        <v>19</v>
      </c>
      <c r="Q18" s="291">
        <f>All!W430</f>
        <v>24</v>
      </c>
      <c r="R18" s="291">
        <f>All!X430</f>
        <v>20</v>
      </c>
      <c r="S18" s="291">
        <f>All!Y430</f>
        <v>34</v>
      </c>
      <c r="T18" s="291">
        <f>All!Z430</f>
        <v>38</v>
      </c>
      <c r="U18" s="291">
        <f>All!AA430</f>
        <v>53</v>
      </c>
      <c r="V18" s="314">
        <f>All!AB430</f>
        <v>32</v>
      </c>
      <c r="W18" s="198">
        <f>SUM(B18:V18)</f>
        <v>595</v>
      </c>
    </row>
    <row r="19" spans="1:23">
      <c r="A19" s="315" t="s">
        <v>1992</v>
      </c>
      <c r="B19" s="291">
        <f>All!H455</f>
        <v>21</v>
      </c>
      <c r="C19" s="291">
        <f>All!I455</f>
        <v>6</v>
      </c>
      <c r="D19" s="291">
        <f>All!J455</f>
        <v>21</v>
      </c>
      <c r="E19" s="291">
        <f>All!K455</f>
        <v>23</v>
      </c>
      <c r="F19" s="291">
        <f>All!L455</f>
        <v>17</v>
      </c>
      <c r="G19" s="291">
        <f>All!M455</f>
        <v>41</v>
      </c>
      <c r="H19" s="291">
        <f>All!N455</f>
        <v>22</v>
      </c>
      <c r="I19" s="291">
        <f>All!O455</f>
        <v>11</v>
      </c>
      <c r="J19" s="291">
        <f>All!P455</f>
        <v>19</v>
      </c>
      <c r="K19" s="291">
        <f>All!Q455</f>
        <v>16</v>
      </c>
      <c r="L19" s="291">
        <f>All!R455</f>
        <v>14</v>
      </c>
      <c r="M19" s="291">
        <f>All!S455</f>
        <v>8</v>
      </c>
      <c r="N19" s="291">
        <f>All!T455</f>
        <v>44</v>
      </c>
      <c r="O19" s="291">
        <f>All!U455</f>
        <v>19</v>
      </c>
      <c r="P19" s="291">
        <f>All!V455</f>
        <v>11</v>
      </c>
      <c r="Q19" s="291">
        <f>All!W455</f>
        <v>16</v>
      </c>
      <c r="R19" s="291">
        <f>All!X455</f>
        <v>16</v>
      </c>
      <c r="S19" s="291">
        <f>All!Y455</f>
        <v>23</v>
      </c>
      <c r="T19" s="291">
        <f>All!Z455</f>
        <v>25</v>
      </c>
      <c r="U19" s="291">
        <f>All!AA455</f>
        <v>31</v>
      </c>
      <c r="V19" s="314">
        <f>All!AB455</f>
        <v>19</v>
      </c>
      <c r="W19" s="198">
        <f>SUM(B19:V19)</f>
        <v>423</v>
      </c>
    </row>
    <row r="20" spans="1:23" ht="15.75" thickBot="1">
      <c r="A20" s="316" t="s">
        <v>2189</v>
      </c>
      <c r="B20" s="317">
        <f>All!H483</f>
        <v>18</v>
      </c>
      <c r="C20" s="317">
        <f>All!I483</f>
        <v>6</v>
      </c>
      <c r="D20" s="317">
        <f>All!J483</f>
        <v>16</v>
      </c>
      <c r="E20" s="317">
        <f>All!K483</f>
        <v>8</v>
      </c>
      <c r="F20" s="317">
        <f>All!L483</f>
        <v>7</v>
      </c>
      <c r="G20" s="317">
        <f>All!M483</f>
        <v>19</v>
      </c>
      <c r="H20" s="317">
        <f>All!N483</f>
        <v>13</v>
      </c>
      <c r="I20" s="317">
        <f>All!O483</f>
        <v>8</v>
      </c>
      <c r="J20" s="317">
        <f>All!P483</f>
        <v>9</v>
      </c>
      <c r="K20" s="317">
        <f>All!Q483</f>
        <v>13</v>
      </c>
      <c r="L20" s="317">
        <f>All!R483</f>
        <v>8</v>
      </c>
      <c r="M20" s="317">
        <f>All!S483</f>
        <v>6</v>
      </c>
      <c r="N20" s="317">
        <f>All!T483</f>
        <v>15</v>
      </c>
      <c r="O20" s="317">
        <f>All!U483</f>
        <v>7</v>
      </c>
      <c r="P20" s="317">
        <f>All!V483</f>
        <v>3</v>
      </c>
      <c r="Q20" s="317">
        <f>All!W483</f>
        <v>5</v>
      </c>
      <c r="R20" s="317">
        <f>All!X483</f>
        <v>4</v>
      </c>
      <c r="S20" s="317">
        <f>All!Y483</f>
        <v>5</v>
      </c>
      <c r="T20" s="317">
        <f>All!Z483</f>
        <v>9</v>
      </c>
      <c r="U20" s="317">
        <f>All!AA483</f>
        <v>10</v>
      </c>
      <c r="V20" s="317">
        <f>All!AB483</f>
        <v>5</v>
      </c>
      <c r="W20" s="198">
        <f>SUM(B20:V20)</f>
        <v>194</v>
      </c>
    </row>
    <row r="21" spans="1:23">
      <c r="A21" s="310" t="str">
        <f>All!C440</f>
        <v>SOM</v>
      </c>
      <c r="B21" s="311">
        <f>B16+1</f>
        <v>107</v>
      </c>
      <c r="C21" s="311">
        <f>B21</f>
        <v>107</v>
      </c>
      <c r="D21" s="311">
        <f t="shared" ref="D21:V21" si="8">C21</f>
        <v>107</v>
      </c>
      <c r="E21" s="311">
        <f t="shared" si="8"/>
        <v>107</v>
      </c>
      <c r="F21" s="311">
        <f t="shared" si="8"/>
        <v>107</v>
      </c>
      <c r="G21" s="311">
        <f t="shared" si="8"/>
        <v>107</v>
      </c>
      <c r="H21" s="311">
        <f t="shared" si="8"/>
        <v>107</v>
      </c>
      <c r="I21" s="311">
        <f t="shared" si="8"/>
        <v>107</v>
      </c>
      <c r="J21" s="311">
        <f t="shared" si="8"/>
        <v>107</v>
      </c>
      <c r="K21" s="311">
        <f t="shared" si="8"/>
        <v>107</v>
      </c>
      <c r="L21" s="311">
        <f t="shared" si="8"/>
        <v>107</v>
      </c>
      <c r="M21" s="311">
        <f t="shared" si="8"/>
        <v>107</v>
      </c>
      <c r="N21" s="311">
        <f t="shared" si="8"/>
        <v>107</v>
      </c>
      <c r="O21" s="311">
        <f t="shared" si="8"/>
        <v>107</v>
      </c>
      <c r="P21" s="311">
        <f t="shared" si="8"/>
        <v>107</v>
      </c>
      <c r="Q21" s="311">
        <f t="shared" si="8"/>
        <v>107</v>
      </c>
      <c r="R21" s="311">
        <f t="shared" si="8"/>
        <v>107</v>
      </c>
      <c r="S21" s="311">
        <f t="shared" si="8"/>
        <v>107</v>
      </c>
      <c r="T21" s="311">
        <f t="shared" si="8"/>
        <v>107</v>
      </c>
      <c r="U21" s="311">
        <f t="shared" si="8"/>
        <v>107</v>
      </c>
      <c r="V21" s="312">
        <f t="shared" si="8"/>
        <v>107</v>
      </c>
    </row>
    <row r="22" spans="1:23">
      <c r="A22" s="313" t="s">
        <v>1737</v>
      </c>
      <c r="B22" s="291">
        <v>10</v>
      </c>
      <c r="C22" s="291">
        <f>B22+1</f>
        <v>11</v>
      </c>
      <c r="D22" s="291">
        <f t="shared" ref="D22:V22" si="9">C22+1</f>
        <v>12</v>
      </c>
      <c r="E22" s="291">
        <f t="shared" si="9"/>
        <v>13</v>
      </c>
      <c r="F22" s="291">
        <f t="shared" si="9"/>
        <v>14</v>
      </c>
      <c r="G22" s="291">
        <f t="shared" si="9"/>
        <v>15</v>
      </c>
      <c r="H22" s="291">
        <f t="shared" si="9"/>
        <v>16</v>
      </c>
      <c r="I22" s="291">
        <f t="shared" si="9"/>
        <v>17</v>
      </c>
      <c r="J22" s="291">
        <f t="shared" si="9"/>
        <v>18</v>
      </c>
      <c r="K22" s="291">
        <f t="shared" si="9"/>
        <v>19</v>
      </c>
      <c r="L22" s="291">
        <f t="shared" si="9"/>
        <v>20</v>
      </c>
      <c r="M22" s="291">
        <f t="shared" si="9"/>
        <v>21</v>
      </c>
      <c r="N22" s="291">
        <f t="shared" si="9"/>
        <v>22</v>
      </c>
      <c r="O22" s="291">
        <f t="shared" si="9"/>
        <v>23</v>
      </c>
      <c r="P22" s="291">
        <f t="shared" si="9"/>
        <v>24</v>
      </c>
      <c r="Q22" s="291">
        <f t="shared" si="9"/>
        <v>25</v>
      </c>
      <c r="R22" s="291">
        <f t="shared" si="9"/>
        <v>26</v>
      </c>
      <c r="S22" s="291">
        <f t="shared" si="9"/>
        <v>27</v>
      </c>
      <c r="T22" s="291">
        <f t="shared" si="9"/>
        <v>28</v>
      </c>
      <c r="U22" s="291">
        <f t="shared" si="9"/>
        <v>29</v>
      </c>
      <c r="V22" s="314">
        <f t="shared" si="9"/>
        <v>30</v>
      </c>
    </row>
    <row r="23" spans="1:23">
      <c r="A23" s="315" t="s">
        <v>1738</v>
      </c>
      <c r="B23" s="291">
        <f>All!H440</f>
        <v>23</v>
      </c>
      <c r="C23" s="291">
        <f>All!I440</f>
        <v>21</v>
      </c>
      <c r="D23" s="291">
        <f>All!J440</f>
        <v>22</v>
      </c>
      <c r="E23" s="291">
        <f>All!K440</f>
        <v>4</v>
      </c>
      <c r="F23" s="291">
        <f>All!L440</f>
        <v>6</v>
      </c>
      <c r="G23" s="291">
        <f>All!M440</f>
        <v>5</v>
      </c>
      <c r="H23" s="291">
        <f>All!N440</f>
        <v>3</v>
      </c>
      <c r="I23" s="291">
        <f>All!O440</f>
        <v>0</v>
      </c>
      <c r="J23" s="291">
        <f>All!P440</f>
        <v>1</v>
      </c>
      <c r="K23" s="291">
        <f>All!Q440</f>
        <v>10</v>
      </c>
      <c r="L23" s="291">
        <f>All!R440</f>
        <v>5</v>
      </c>
      <c r="M23" s="291">
        <f>All!S440</f>
        <v>4</v>
      </c>
      <c r="N23" s="291">
        <f>All!T440</f>
        <v>2</v>
      </c>
      <c r="O23" s="291">
        <f>All!U440</f>
        <v>11</v>
      </c>
      <c r="P23" s="291">
        <f>All!V440</f>
        <v>0</v>
      </c>
      <c r="Q23" s="291">
        <f>All!W440</f>
        <v>0</v>
      </c>
      <c r="R23" s="291">
        <f>All!X440</f>
        <v>0</v>
      </c>
      <c r="S23" s="291">
        <f>All!Y440</f>
        <v>0</v>
      </c>
      <c r="T23" s="291">
        <f>All!Z440</f>
        <v>0</v>
      </c>
      <c r="U23" s="291">
        <f>All!AA440</f>
        <v>0</v>
      </c>
      <c r="V23" s="314">
        <f>All!AB440</f>
        <v>0</v>
      </c>
      <c r="W23" s="198">
        <f>SUM(B23:V23)</f>
        <v>117</v>
      </c>
    </row>
    <row r="24" spans="1:23">
      <c r="A24" s="315" t="s">
        <v>1992</v>
      </c>
      <c r="B24" s="291">
        <f>All!H465</f>
        <v>5</v>
      </c>
      <c r="C24" s="291">
        <f>All!I465</f>
        <v>12</v>
      </c>
      <c r="D24" s="291">
        <f>All!J465</f>
        <v>7</v>
      </c>
      <c r="E24" s="291">
        <f>All!K465</f>
        <v>4</v>
      </c>
      <c r="F24" s="291">
        <f>All!L465</f>
        <v>4</v>
      </c>
      <c r="G24" s="291">
        <f>All!M465</f>
        <v>1</v>
      </c>
      <c r="H24" s="291">
        <f>All!N465</f>
        <v>1</v>
      </c>
      <c r="I24" s="291">
        <f>All!O465</f>
        <v>0</v>
      </c>
      <c r="J24" s="291">
        <f>All!P465</f>
        <v>0</v>
      </c>
      <c r="K24" s="291">
        <f>All!Q465</f>
        <v>8</v>
      </c>
      <c r="L24" s="291">
        <f>All!R465</f>
        <v>5</v>
      </c>
      <c r="M24" s="291">
        <f>All!S465</f>
        <v>0</v>
      </c>
      <c r="N24" s="291">
        <f>All!T465</f>
        <v>2</v>
      </c>
      <c r="O24" s="291">
        <f>All!U465</f>
        <v>8</v>
      </c>
      <c r="P24" s="291">
        <f>All!V465</f>
        <v>0</v>
      </c>
      <c r="Q24" s="291">
        <f>All!W465</f>
        <v>0</v>
      </c>
      <c r="R24" s="291">
        <f>All!X465</f>
        <v>0</v>
      </c>
      <c r="S24" s="291">
        <f>All!Y465</f>
        <v>0</v>
      </c>
      <c r="T24" s="291">
        <f>All!Z465</f>
        <v>0</v>
      </c>
      <c r="U24" s="291">
        <f>All!AA465</f>
        <v>0</v>
      </c>
      <c r="V24" s="314">
        <f>All!AB465</f>
        <v>0</v>
      </c>
      <c r="W24" s="198">
        <f>SUM(B24:V24)</f>
        <v>57</v>
      </c>
    </row>
    <row r="25" spans="1:23" ht="15.75" thickBot="1">
      <c r="A25" s="316" t="s">
        <v>2189</v>
      </c>
      <c r="B25" s="317">
        <f>All!H493</f>
        <v>4</v>
      </c>
      <c r="C25" s="317">
        <f>All!I493</f>
        <v>7</v>
      </c>
      <c r="D25" s="317">
        <f>All!J493</f>
        <v>5</v>
      </c>
      <c r="E25" s="317">
        <f>All!K493</f>
        <v>4</v>
      </c>
      <c r="F25" s="317">
        <f>All!L493</f>
        <v>3</v>
      </c>
      <c r="G25" s="317">
        <f>All!M493</f>
        <v>1</v>
      </c>
      <c r="H25" s="317">
        <f>All!N493</f>
        <v>1</v>
      </c>
      <c r="I25" s="317">
        <f>All!O493</f>
        <v>0</v>
      </c>
      <c r="J25" s="317">
        <f>All!P493</f>
        <v>0</v>
      </c>
      <c r="K25" s="317">
        <f>All!Q493</f>
        <v>6</v>
      </c>
      <c r="L25" s="317">
        <f>All!R493</f>
        <v>4</v>
      </c>
      <c r="M25" s="317">
        <f>All!S493</f>
        <v>0</v>
      </c>
      <c r="N25" s="317">
        <f>All!T493</f>
        <v>2</v>
      </c>
      <c r="O25" s="317">
        <f>All!U493</f>
        <v>5</v>
      </c>
      <c r="P25" s="317">
        <f>All!V493</f>
        <v>0</v>
      </c>
      <c r="Q25" s="317">
        <f>All!W493</f>
        <v>0</v>
      </c>
      <c r="R25" s="317">
        <f>All!X493</f>
        <v>0</v>
      </c>
      <c r="S25" s="317">
        <f>All!Y493</f>
        <v>0</v>
      </c>
      <c r="T25" s="317">
        <f>All!Z493</f>
        <v>0</v>
      </c>
      <c r="U25" s="317">
        <f>All!AA493</f>
        <v>0</v>
      </c>
      <c r="V25" s="317">
        <f>All!AB493</f>
        <v>0</v>
      </c>
      <c r="W25" s="198">
        <f>SUM(B25:V25)</f>
        <v>42</v>
      </c>
    </row>
    <row r="26" spans="1:23">
      <c r="A26" s="310" t="s">
        <v>2187</v>
      </c>
      <c r="B26" s="311">
        <f>B21+1</f>
        <v>108</v>
      </c>
      <c r="C26" s="311">
        <f>B26</f>
        <v>108</v>
      </c>
      <c r="D26" s="311">
        <f t="shared" ref="D26:V26" si="10">C26</f>
        <v>108</v>
      </c>
      <c r="E26" s="311">
        <f t="shared" si="10"/>
        <v>108</v>
      </c>
      <c r="F26" s="311">
        <f t="shared" si="10"/>
        <v>108</v>
      </c>
      <c r="G26" s="311">
        <f t="shared" si="10"/>
        <v>108</v>
      </c>
      <c r="H26" s="311">
        <f t="shared" si="10"/>
        <v>108</v>
      </c>
      <c r="I26" s="311">
        <f t="shared" si="10"/>
        <v>108</v>
      </c>
      <c r="J26" s="311">
        <f t="shared" si="10"/>
        <v>108</v>
      </c>
      <c r="K26" s="311">
        <f t="shared" si="10"/>
        <v>108</v>
      </c>
      <c r="L26" s="311">
        <f t="shared" si="10"/>
        <v>108</v>
      </c>
      <c r="M26" s="311">
        <f t="shared" si="10"/>
        <v>108</v>
      </c>
      <c r="N26" s="311">
        <f t="shared" si="10"/>
        <v>108</v>
      </c>
      <c r="O26" s="311">
        <f t="shared" si="10"/>
        <v>108</v>
      </c>
      <c r="P26" s="311">
        <f t="shared" si="10"/>
        <v>108</v>
      </c>
      <c r="Q26" s="311">
        <f t="shared" si="10"/>
        <v>108</v>
      </c>
      <c r="R26" s="311">
        <f t="shared" si="10"/>
        <v>108</v>
      </c>
      <c r="S26" s="311">
        <f t="shared" si="10"/>
        <v>108</v>
      </c>
      <c r="T26" s="311">
        <f t="shared" si="10"/>
        <v>108</v>
      </c>
      <c r="U26" s="311">
        <f t="shared" si="10"/>
        <v>108</v>
      </c>
      <c r="V26" s="312">
        <f t="shared" si="10"/>
        <v>108</v>
      </c>
      <c r="W26" s="119"/>
    </row>
    <row r="27" spans="1:23">
      <c r="A27" s="313" t="s">
        <v>1737</v>
      </c>
      <c r="B27" s="291">
        <v>10</v>
      </c>
      <c r="C27" s="291">
        <f>B27+1</f>
        <v>11</v>
      </c>
      <c r="D27" s="291">
        <f t="shared" ref="D27:V27" si="11">C27+1</f>
        <v>12</v>
      </c>
      <c r="E27" s="291">
        <f t="shared" si="11"/>
        <v>13</v>
      </c>
      <c r="F27" s="291">
        <f t="shared" si="11"/>
        <v>14</v>
      </c>
      <c r="G27" s="291">
        <f t="shared" si="11"/>
        <v>15</v>
      </c>
      <c r="H27" s="291">
        <f t="shared" si="11"/>
        <v>16</v>
      </c>
      <c r="I27" s="291">
        <f t="shared" si="11"/>
        <v>17</v>
      </c>
      <c r="J27" s="291">
        <f t="shared" si="11"/>
        <v>18</v>
      </c>
      <c r="K27" s="291">
        <f t="shared" si="11"/>
        <v>19</v>
      </c>
      <c r="L27" s="291">
        <f t="shared" si="11"/>
        <v>20</v>
      </c>
      <c r="M27" s="291">
        <f t="shared" si="11"/>
        <v>21</v>
      </c>
      <c r="N27" s="291">
        <f t="shared" si="11"/>
        <v>22</v>
      </c>
      <c r="O27" s="291">
        <f t="shared" si="11"/>
        <v>23</v>
      </c>
      <c r="P27" s="291">
        <f t="shared" si="11"/>
        <v>24</v>
      </c>
      <c r="Q27" s="291">
        <f t="shared" si="11"/>
        <v>25</v>
      </c>
      <c r="R27" s="291">
        <f t="shared" si="11"/>
        <v>26</v>
      </c>
      <c r="S27" s="291">
        <f t="shared" si="11"/>
        <v>27</v>
      </c>
      <c r="T27" s="291">
        <f t="shared" si="11"/>
        <v>28</v>
      </c>
      <c r="U27" s="291">
        <f t="shared" si="11"/>
        <v>29</v>
      </c>
      <c r="V27" s="314">
        <f t="shared" si="11"/>
        <v>30</v>
      </c>
      <c r="W27" s="119"/>
    </row>
    <row r="28" spans="1:23">
      <c r="A28" s="315" t="s">
        <v>1738</v>
      </c>
      <c r="B28" s="291">
        <f>'bub All'!B91</f>
        <v>6</v>
      </c>
      <c r="C28" s="291">
        <f>'bub All'!C91</f>
        <v>4</v>
      </c>
      <c r="D28" s="291">
        <f>'bub All'!D91</f>
        <v>6</v>
      </c>
      <c r="E28" s="291">
        <f>'bub All'!E91</f>
        <v>24</v>
      </c>
      <c r="F28" s="291">
        <f>'bub All'!F91</f>
        <v>25</v>
      </c>
      <c r="G28" s="291">
        <f>'bub All'!G91</f>
        <v>47</v>
      </c>
      <c r="H28" s="291">
        <f>'bub All'!H91</f>
        <v>8</v>
      </c>
      <c r="I28" s="291">
        <f>'bub All'!I91</f>
        <v>22</v>
      </c>
      <c r="J28" s="291">
        <f>'bub All'!J91</f>
        <v>18</v>
      </c>
      <c r="K28" s="291">
        <f>'bub All'!K91</f>
        <v>5</v>
      </c>
      <c r="L28" s="291">
        <f>'bub All'!L91</f>
        <v>24</v>
      </c>
      <c r="M28" s="291">
        <f>'bub All'!M91</f>
        <v>12</v>
      </c>
      <c r="N28" s="291">
        <f>'bub All'!N91</f>
        <v>24</v>
      </c>
      <c r="O28" s="291">
        <f>'bub All'!O91</f>
        <v>45</v>
      </c>
      <c r="P28" s="291">
        <f>'bub All'!P91</f>
        <v>15</v>
      </c>
      <c r="Q28" s="291">
        <f>'bub All'!Q91</f>
        <v>21</v>
      </c>
      <c r="R28" s="291">
        <f>'bub All'!R91</f>
        <v>17</v>
      </c>
      <c r="S28" s="291">
        <f>'bub All'!S91</f>
        <v>18</v>
      </c>
      <c r="T28" s="291">
        <f>'bub All'!T91</f>
        <v>23</v>
      </c>
      <c r="U28" s="291">
        <f>'bub All'!U91</f>
        <v>16</v>
      </c>
      <c r="V28" s="314">
        <f>'bub All'!V91</f>
        <v>3</v>
      </c>
      <c r="W28" s="198">
        <f>SUM(B28:V28)</f>
        <v>383</v>
      </c>
    </row>
    <row r="29" spans="1:23">
      <c r="A29" s="315" t="s">
        <v>1992</v>
      </c>
      <c r="B29" s="291">
        <f>'bub All'!B92</f>
        <v>3</v>
      </c>
      <c r="C29" s="291">
        <f>'bub All'!C92</f>
        <v>1</v>
      </c>
      <c r="D29" s="291">
        <f>'bub All'!D92</f>
        <v>3</v>
      </c>
      <c r="E29" s="291">
        <f>'bub All'!E92</f>
        <v>10</v>
      </c>
      <c r="F29" s="291">
        <f>'bub All'!F92</f>
        <v>4</v>
      </c>
      <c r="G29" s="291">
        <f>'bub All'!G92</f>
        <v>8</v>
      </c>
      <c r="H29" s="291">
        <f>'bub All'!H92</f>
        <v>3</v>
      </c>
      <c r="I29" s="291">
        <f>'bub All'!I92</f>
        <v>6</v>
      </c>
      <c r="J29" s="291">
        <f>'bub All'!J92</f>
        <v>6</v>
      </c>
      <c r="K29" s="291">
        <f>'bub All'!K92</f>
        <v>3</v>
      </c>
      <c r="L29" s="291">
        <f>'bub All'!L92</f>
        <v>10</v>
      </c>
      <c r="M29" s="291">
        <f>'bub All'!M92</f>
        <v>6</v>
      </c>
      <c r="N29" s="291">
        <f>'bub All'!N92</f>
        <v>7</v>
      </c>
      <c r="O29" s="291">
        <f>'bub All'!O92</f>
        <v>6</v>
      </c>
      <c r="P29" s="291">
        <f>'bub All'!P92</f>
        <v>8</v>
      </c>
      <c r="Q29" s="291">
        <f>'bub All'!Q92</f>
        <v>10</v>
      </c>
      <c r="R29" s="291">
        <f>'bub All'!R92</f>
        <v>8</v>
      </c>
      <c r="S29" s="291">
        <f>'bub All'!S92</f>
        <v>6</v>
      </c>
      <c r="T29" s="291">
        <f>'bub All'!T92</f>
        <v>10</v>
      </c>
      <c r="U29" s="291">
        <f>'bub All'!U92</f>
        <v>3</v>
      </c>
      <c r="V29" s="314">
        <f>'bub All'!V92</f>
        <v>2</v>
      </c>
      <c r="W29" s="198">
        <f>SUM(B29:V29)</f>
        <v>123</v>
      </c>
    </row>
    <row r="30" spans="1:23" ht="15.75" thickBot="1">
      <c r="A30" s="316" t="s">
        <v>2189</v>
      </c>
      <c r="B30" s="318">
        <f>All!H496-All!H477-All!H480-All!H482-All!H483-All!H493</f>
        <v>1</v>
      </c>
      <c r="C30" s="318">
        <f>All!I496-All!I477-All!I480-All!I482-All!I483-All!I493</f>
        <v>0</v>
      </c>
      <c r="D30" s="318">
        <f>All!J496-All!J477-All!J480-All!J482-All!J483-All!J493</f>
        <v>0</v>
      </c>
      <c r="E30" s="318">
        <f>All!K496-All!K477-All!K480-All!K482-All!K483-All!K493</f>
        <v>1</v>
      </c>
      <c r="F30" s="318">
        <f>All!L496-All!L477-All!L480-All!L482-All!L483-All!L493</f>
        <v>0</v>
      </c>
      <c r="G30" s="318">
        <f>All!M496-All!M477-All!M480-All!M482-All!M483-All!M493</f>
        <v>0</v>
      </c>
      <c r="H30" s="318">
        <f>All!N496-All!N477-All!N480-All!N482-All!N483-All!N493</f>
        <v>0</v>
      </c>
      <c r="I30" s="318">
        <f>All!O496-All!O477-All!O480-All!O482-All!O483-All!O493</f>
        <v>2</v>
      </c>
      <c r="J30" s="318">
        <f>All!P496-All!P477-All!P480-All!P482-All!P483-All!P493</f>
        <v>0</v>
      </c>
      <c r="K30" s="318">
        <f>All!Q496-All!Q477-All!Q480-All!Q482-All!Q483-All!Q493</f>
        <v>0</v>
      </c>
      <c r="L30" s="318">
        <f>All!R496-All!R477-All!R480-All!R482-All!R483-All!R493</f>
        <v>0</v>
      </c>
      <c r="M30" s="318">
        <f>All!S496-All!S477-All!S480-All!S482-All!S483-All!S493</f>
        <v>1</v>
      </c>
      <c r="N30" s="318">
        <f>All!T496-All!T477-All!T480-All!T482-All!T483-All!T493</f>
        <v>1</v>
      </c>
      <c r="O30" s="318">
        <f>All!U496-All!U477-All!U480-All!U482-All!U483-All!U493</f>
        <v>0</v>
      </c>
      <c r="P30" s="318">
        <f>All!V496-All!V477-All!V480-All!V482-All!V483-All!V493</f>
        <v>1</v>
      </c>
      <c r="Q30" s="318">
        <f>All!W496-All!W477-All!W480-All!W482-All!W483-All!W493</f>
        <v>2</v>
      </c>
      <c r="R30" s="318">
        <f>All!X496-All!X477-All!X480-All!X482-All!X483-All!X493</f>
        <v>2</v>
      </c>
      <c r="S30" s="318">
        <f>All!Y496-All!Y477-All!Y480-All!Y482-All!Y483-All!Y493</f>
        <v>1</v>
      </c>
      <c r="T30" s="318">
        <f>All!Z496-All!Z477-All!Z480-All!Z482-All!Z483-All!Z493</f>
        <v>1</v>
      </c>
      <c r="U30" s="318">
        <f>All!AA496-All!AA477-All!AA480-All!AA482-All!AA483-All!AA493</f>
        <v>0</v>
      </c>
      <c r="V30" s="318">
        <f>All!AB496-All!AB477-All!AB480-All!AB482-All!AB483-All!AB493</f>
        <v>1</v>
      </c>
      <c r="W30" s="198">
        <f>SUM(B30:V30)</f>
        <v>14</v>
      </c>
    </row>
    <row r="31" spans="1:23">
      <c r="A31" s="192"/>
      <c r="B31" s="192"/>
      <c r="C31" s="192"/>
      <c r="D31" s="192"/>
      <c r="E31" s="192"/>
      <c r="F31" s="192"/>
      <c r="G31" s="192"/>
      <c r="H31" s="192"/>
      <c r="I31" s="192"/>
      <c r="J31" s="192"/>
      <c r="K31" s="192"/>
      <c r="L31" s="192"/>
      <c r="M31" s="192"/>
      <c r="N31" s="192"/>
      <c r="O31" s="192"/>
      <c r="P31" s="192"/>
      <c r="Q31" s="192"/>
      <c r="R31" s="192"/>
      <c r="S31" s="192"/>
      <c r="T31" s="192"/>
      <c r="U31" s="192"/>
      <c r="V31" s="192"/>
    </row>
    <row r="33" spans="1:23" ht="23.25">
      <c r="A33" s="199" t="s">
        <v>1993</v>
      </c>
    </row>
    <row r="36" spans="1:23">
      <c r="A36" s="119"/>
      <c r="B36" s="119"/>
      <c r="C36" s="119"/>
      <c r="D36" s="119"/>
      <c r="E36" s="119"/>
      <c r="F36" s="119"/>
      <c r="G36" s="119"/>
      <c r="H36" s="119"/>
      <c r="I36" s="119"/>
      <c r="J36" s="119"/>
      <c r="K36" s="119"/>
      <c r="L36" s="119"/>
      <c r="M36" s="119"/>
      <c r="N36" s="119"/>
      <c r="O36" s="119"/>
      <c r="P36" s="119"/>
      <c r="Q36" s="119"/>
      <c r="R36" s="119"/>
      <c r="S36" s="119"/>
      <c r="T36" s="119"/>
      <c r="U36" s="119"/>
      <c r="V36" s="119"/>
      <c r="W36" s="119"/>
    </row>
    <row r="37" spans="1:23">
      <c r="A37" s="192"/>
      <c r="B37" s="189"/>
      <c r="C37" s="189"/>
      <c r="D37" s="189"/>
      <c r="E37" s="189"/>
      <c r="F37" s="189"/>
      <c r="G37" s="189"/>
      <c r="H37" s="189"/>
      <c r="I37" s="189"/>
      <c r="J37" s="189"/>
      <c r="K37" s="189"/>
      <c r="L37" s="189"/>
      <c r="M37" s="189"/>
      <c r="N37" s="189"/>
      <c r="O37" s="189"/>
      <c r="P37" s="189"/>
      <c r="Q37" s="189"/>
      <c r="R37" s="189"/>
      <c r="S37" s="189"/>
      <c r="T37" s="189"/>
      <c r="U37" s="189"/>
      <c r="V37" s="189"/>
      <c r="W37" s="119"/>
    </row>
    <row r="38" spans="1:23">
      <c r="B38" s="189"/>
      <c r="C38" s="189"/>
      <c r="D38" s="189"/>
      <c r="E38" s="189"/>
      <c r="F38" s="189"/>
      <c r="G38" s="189"/>
      <c r="H38" s="189"/>
      <c r="I38" s="189"/>
      <c r="J38" s="189"/>
      <c r="K38" s="189"/>
      <c r="L38" s="189"/>
      <c r="M38" s="189"/>
      <c r="N38" s="189"/>
      <c r="P38" s="189"/>
      <c r="Q38" s="189"/>
      <c r="R38" s="189"/>
      <c r="S38" s="189"/>
      <c r="T38" s="189"/>
      <c r="U38" s="189"/>
      <c r="V38" s="189"/>
      <c r="W38" s="119"/>
    </row>
    <row r="39" spans="1:23">
      <c r="A39" s="119"/>
      <c r="B39" s="119"/>
      <c r="C39" s="119"/>
      <c r="D39" s="119"/>
      <c r="E39" s="119"/>
      <c r="F39" s="119"/>
      <c r="G39" s="119"/>
      <c r="H39" s="119"/>
      <c r="I39" s="119"/>
      <c r="J39" s="119"/>
      <c r="K39" s="119"/>
      <c r="L39" s="119"/>
      <c r="M39" s="119"/>
      <c r="N39" s="119"/>
      <c r="O39" s="119"/>
      <c r="P39" s="119"/>
      <c r="Q39" s="119"/>
      <c r="R39" s="119"/>
      <c r="S39" s="119"/>
      <c r="T39" s="119"/>
      <c r="U39" s="119"/>
      <c r="V39" s="119"/>
      <c r="W39" s="119"/>
    </row>
    <row r="40" spans="1:23">
      <c r="A40" s="192"/>
      <c r="B40" s="189"/>
      <c r="C40" s="189"/>
      <c r="D40" s="189"/>
      <c r="E40" s="189"/>
      <c r="F40" s="189"/>
      <c r="G40" s="189"/>
      <c r="H40" s="189"/>
      <c r="I40" s="189"/>
      <c r="J40" s="189"/>
      <c r="K40" s="189"/>
      <c r="L40" s="189"/>
      <c r="M40" s="189"/>
      <c r="N40" s="189"/>
      <c r="O40" s="189"/>
      <c r="P40" s="189"/>
      <c r="Q40" s="189"/>
      <c r="R40" s="189"/>
      <c r="S40" s="189"/>
      <c r="T40" s="189"/>
      <c r="U40" s="189"/>
      <c r="V40" s="189"/>
      <c r="W40" s="119"/>
    </row>
    <row r="41" spans="1:23">
      <c r="A41" s="192"/>
      <c r="B41" s="189"/>
      <c r="C41" s="189"/>
      <c r="D41" s="189"/>
      <c r="E41" s="189"/>
      <c r="F41" s="189"/>
      <c r="G41" s="189"/>
      <c r="H41" s="189"/>
      <c r="I41" s="189"/>
      <c r="J41" s="189"/>
      <c r="K41" s="189"/>
      <c r="L41" s="189"/>
      <c r="M41" s="189"/>
      <c r="N41" s="189"/>
      <c r="O41" s="189"/>
      <c r="P41" s="189"/>
      <c r="Q41" s="189"/>
      <c r="R41" s="189"/>
      <c r="S41" s="189"/>
      <c r="T41" s="189"/>
      <c r="U41" s="189"/>
      <c r="V41" s="189"/>
      <c r="W41" s="119"/>
    </row>
    <row r="42" spans="1:23">
      <c r="A42" s="119"/>
      <c r="B42" s="119"/>
      <c r="C42" s="119"/>
      <c r="D42" s="119"/>
      <c r="E42" s="119"/>
      <c r="F42" s="119"/>
      <c r="G42" s="119"/>
      <c r="H42" s="119"/>
      <c r="I42" s="119"/>
      <c r="J42" s="119"/>
      <c r="K42" s="119"/>
      <c r="L42" s="119"/>
      <c r="M42" s="119"/>
      <c r="N42" s="119"/>
      <c r="O42" s="119"/>
      <c r="P42" s="119"/>
      <c r="Q42" s="119"/>
      <c r="R42" s="119"/>
      <c r="S42" s="119"/>
      <c r="T42" s="119"/>
      <c r="U42" s="119"/>
      <c r="V42" s="119"/>
      <c r="W42" s="119"/>
    </row>
    <row r="43" spans="1:23">
      <c r="A43" s="192"/>
      <c r="B43" s="189"/>
      <c r="C43" s="189"/>
      <c r="D43" s="189"/>
      <c r="E43" s="189"/>
      <c r="F43" s="189"/>
      <c r="G43" s="189"/>
      <c r="H43" s="189"/>
      <c r="I43" s="189"/>
      <c r="J43" s="189"/>
      <c r="K43" s="189"/>
      <c r="L43" s="189"/>
      <c r="M43" s="189"/>
      <c r="N43" s="189"/>
      <c r="O43" s="189"/>
      <c r="P43" s="189"/>
      <c r="Q43" s="189"/>
      <c r="R43" s="189"/>
      <c r="S43" s="189"/>
      <c r="T43" s="189"/>
      <c r="U43" s="189"/>
      <c r="V43" s="189"/>
      <c r="W43" s="119"/>
    </row>
    <row r="44" spans="1:23">
      <c r="A44" s="192"/>
      <c r="B44" s="189"/>
      <c r="C44" s="189"/>
      <c r="D44" s="189"/>
      <c r="E44" s="189"/>
      <c r="F44" s="189"/>
      <c r="G44" s="189"/>
      <c r="H44" s="189"/>
      <c r="I44" s="189"/>
      <c r="J44" s="189"/>
      <c r="K44" s="189"/>
      <c r="L44" s="189"/>
      <c r="M44" s="189"/>
      <c r="N44" s="189"/>
      <c r="O44" s="189"/>
      <c r="P44" s="189"/>
      <c r="Q44" s="189"/>
      <c r="R44" s="189"/>
      <c r="S44" s="189"/>
      <c r="T44" s="189"/>
      <c r="U44" s="189"/>
      <c r="V44" s="189"/>
      <c r="W44" s="119"/>
    </row>
    <row r="45" spans="1:23">
      <c r="A45" s="119"/>
      <c r="B45" s="119"/>
      <c r="C45" s="119"/>
      <c r="D45" s="119"/>
      <c r="E45" s="119"/>
      <c r="F45" s="119"/>
      <c r="G45" s="119"/>
      <c r="H45" s="119"/>
      <c r="I45" s="119"/>
      <c r="J45" s="119"/>
      <c r="K45" s="119"/>
      <c r="L45" s="119"/>
      <c r="M45" s="119"/>
      <c r="N45" s="119"/>
      <c r="O45" s="119"/>
      <c r="P45" s="119"/>
      <c r="Q45" s="119"/>
      <c r="R45" s="119"/>
      <c r="S45" s="119"/>
      <c r="T45" s="119"/>
      <c r="U45" s="119"/>
      <c r="V45" s="119"/>
      <c r="W45" s="119"/>
    </row>
    <row r="46" spans="1:23">
      <c r="A46" s="192"/>
      <c r="B46" s="189"/>
      <c r="C46" s="189"/>
      <c r="D46" s="189"/>
      <c r="E46" s="189"/>
      <c r="F46" s="189"/>
      <c r="G46" s="189"/>
      <c r="H46" s="189"/>
      <c r="I46" s="189"/>
      <c r="J46" s="189"/>
      <c r="K46" s="189"/>
      <c r="L46" s="189"/>
      <c r="M46" s="189"/>
      <c r="N46" s="189"/>
      <c r="O46" s="189"/>
      <c r="P46" s="189"/>
      <c r="Q46" s="189"/>
      <c r="R46" s="189"/>
      <c r="S46" s="189"/>
      <c r="T46" s="189"/>
      <c r="U46" s="189"/>
      <c r="V46" s="189"/>
      <c r="W46" s="119"/>
    </row>
    <row r="47" spans="1:23">
      <c r="A47" s="192"/>
      <c r="B47" s="189"/>
      <c r="C47" s="189"/>
      <c r="D47" s="189"/>
      <c r="E47" s="189"/>
      <c r="F47" s="189"/>
      <c r="G47" s="189"/>
      <c r="H47" s="189"/>
      <c r="I47" s="189"/>
      <c r="J47" s="189"/>
      <c r="K47" s="189"/>
      <c r="L47" s="189"/>
      <c r="M47" s="189"/>
      <c r="N47" s="189"/>
      <c r="O47" s="189"/>
      <c r="P47" s="189"/>
      <c r="Q47" s="189"/>
      <c r="R47" s="189"/>
      <c r="S47" s="189"/>
      <c r="T47" s="189"/>
      <c r="U47" s="189"/>
      <c r="V47" s="189"/>
      <c r="W47" s="119"/>
    </row>
    <row r="48" spans="1:23">
      <c r="A48" s="119"/>
      <c r="B48" s="119"/>
      <c r="C48" s="119"/>
      <c r="D48" s="119"/>
      <c r="E48" s="119"/>
      <c r="F48" s="119"/>
      <c r="G48" s="119"/>
      <c r="H48" s="119"/>
      <c r="I48" s="119"/>
      <c r="J48" s="119"/>
      <c r="K48" s="119"/>
      <c r="L48" s="119"/>
      <c r="M48" s="119"/>
      <c r="N48" s="119"/>
      <c r="O48" s="119"/>
      <c r="P48" s="119"/>
      <c r="Q48" s="119"/>
      <c r="R48" s="119"/>
      <c r="S48" s="119"/>
      <c r="T48" s="119"/>
      <c r="U48" s="119"/>
      <c r="V48" s="119"/>
      <c r="W48" s="119"/>
    </row>
    <row r="49" spans="1:23">
      <c r="A49" s="192"/>
      <c r="B49" s="189"/>
      <c r="C49" s="189"/>
      <c r="D49" s="189"/>
      <c r="E49" s="189"/>
      <c r="F49" s="189"/>
      <c r="G49" s="189"/>
      <c r="H49" s="189"/>
      <c r="I49" s="189"/>
      <c r="J49" s="189"/>
      <c r="K49" s="189"/>
      <c r="L49" s="189"/>
      <c r="M49" s="189"/>
      <c r="N49" s="189"/>
      <c r="O49" s="189"/>
      <c r="P49" s="189"/>
      <c r="Q49" s="189"/>
      <c r="R49" s="189"/>
      <c r="S49" s="189"/>
      <c r="T49" s="189"/>
      <c r="U49" s="189"/>
      <c r="V49" s="189"/>
      <c r="W49" s="119"/>
    </row>
    <row r="50" spans="1:23">
      <c r="A50" s="192"/>
      <c r="B50" s="189"/>
      <c r="C50" s="189"/>
      <c r="D50" s="189"/>
      <c r="E50" s="189"/>
      <c r="F50" s="189"/>
      <c r="G50" s="189"/>
      <c r="H50" s="189"/>
      <c r="I50" s="189"/>
      <c r="J50" s="189"/>
      <c r="K50" s="189"/>
      <c r="L50" s="189"/>
      <c r="M50" s="189"/>
      <c r="N50" s="189"/>
      <c r="O50" s="189"/>
      <c r="P50" s="189"/>
      <c r="Q50" s="189"/>
      <c r="R50" s="189"/>
      <c r="S50" s="189"/>
      <c r="T50" s="189"/>
      <c r="U50" s="189"/>
      <c r="V50" s="189"/>
      <c r="W50" s="119"/>
    </row>
    <row r="51" spans="1:23">
      <c r="A51" s="119"/>
      <c r="B51" s="119"/>
      <c r="C51" s="119"/>
      <c r="D51" s="119"/>
      <c r="E51" s="119"/>
      <c r="F51" s="119"/>
      <c r="G51" s="119"/>
      <c r="H51" s="119"/>
      <c r="I51" s="119"/>
      <c r="J51" s="119"/>
      <c r="K51" s="119"/>
      <c r="L51" s="119"/>
      <c r="M51" s="119"/>
      <c r="N51" s="119"/>
      <c r="O51" s="119"/>
      <c r="P51" s="119"/>
      <c r="Q51" s="119"/>
      <c r="R51" s="119"/>
      <c r="S51" s="119"/>
      <c r="T51" s="119"/>
      <c r="U51" s="119"/>
      <c r="V51" s="119"/>
      <c r="W51" s="119"/>
    </row>
    <row r="52" spans="1:23">
      <c r="A52" s="192"/>
      <c r="B52" s="189"/>
      <c r="C52" s="189"/>
      <c r="D52" s="189"/>
      <c r="E52" s="189"/>
      <c r="F52" s="189"/>
      <c r="G52" s="189"/>
      <c r="H52" s="189"/>
      <c r="I52" s="189"/>
      <c r="J52" s="189"/>
      <c r="K52" s="189"/>
      <c r="L52" s="189"/>
      <c r="M52" s="189"/>
      <c r="N52" s="189"/>
      <c r="O52" s="189"/>
      <c r="P52" s="189"/>
      <c r="Q52" s="189"/>
      <c r="R52" s="189"/>
      <c r="S52" s="189"/>
      <c r="T52" s="189"/>
      <c r="U52" s="189"/>
      <c r="V52" s="189"/>
      <c r="W52" s="119"/>
    </row>
    <row r="53" spans="1:23">
      <c r="A53" s="192"/>
      <c r="B53" s="189"/>
      <c r="C53" s="189"/>
      <c r="D53" s="189"/>
      <c r="E53" s="189"/>
      <c r="F53" s="189"/>
      <c r="G53" s="189"/>
      <c r="H53" s="189"/>
      <c r="I53" s="189"/>
      <c r="J53" s="189"/>
      <c r="K53" s="189"/>
      <c r="L53" s="189"/>
      <c r="M53" s="189"/>
      <c r="N53" s="189"/>
      <c r="O53" s="189"/>
      <c r="P53" s="189"/>
      <c r="Q53" s="189"/>
      <c r="R53" s="189"/>
      <c r="S53" s="189"/>
      <c r="T53" s="189"/>
      <c r="U53" s="189"/>
      <c r="V53" s="189"/>
      <c r="W53" s="119"/>
    </row>
    <row r="54" spans="1:23">
      <c r="A54" s="119"/>
      <c r="B54" s="119"/>
      <c r="C54" s="119"/>
      <c r="D54" s="119"/>
      <c r="E54" s="119"/>
      <c r="F54" s="119"/>
      <c r="G54" s="119"/>
      <c r="H54" s="119"/>
      <c r="I54" s="119"/>
      <c r="J54" s="119"/>
      <c r="K54" s="119"/>
      <c r="L54" s="119"/>
      <c r="M54" s="119"/>
      <c r="N54" s="119"/>
      <c r="O54" s="119"/>
      <c r="P54" s="119"/>
      <c r="Q54" s="119"/>
      <c r="R54" s="119"/>
      <c r="S54" s="119"/>
      <c r="T54" s="119"/>
      <c r="U54" s="119"/>
      <c r="V54" s="119"/>
      <c r="W54" s="119"/>
    </row>
    <row r="55" spans="1:23">
      <c r="A55" s="192"/>
      <c r="B55" s="189"/>
      <c r="C55" s="189"/>
      <c r="D55" s="189"/>
      <c r="E55" s="189"/>
      <c r="F55" s="189"/>
      <c r="G55" s="189"/>
      <c r="H55" s="189"/>
      <c r="I55" s="189"/>
      <c r="J55" s="189"/>
      <c r="K55" s="189"/>
      <c r="L55" s="189"/>
      <c r="M55" s="189"/>
      <c r="N55" s="189"/>
      <c r="O55" s="189"/>
      <c r="P55" s="189"/>
      <c r="Q55" s="189"/>
      <c r="R55" s="189"/>
      <c r="S55" s="189"/>
      <c r="T55" s="189"/>
      <c r="U55" s="189"/>
      <c r="V55" s="189"/>
      <c r="W55" s="119"/>
    </row>
    <row r="56" spans="1:23">
      <c r="A56" s="192"/>
      <c r="B56" s="189"/>
      <c r="C56" s="189"/>
      <c r="D56" s="189"/>
      <c r="E56" s="189"/>
      <c r="F56" s="189"/>
      <c r="G56" s="189"/>
      <c r="H56" s="189"/>
      <c r="I56" s="189"/>
      <c r="J56" s="189"/>
      <c r="K56" s="189"/>
      <c r="L56" s="189"/>
      <c r="M56" s="189"/>
      <c r="N56" s="189"/>
      <c r="O56" s="189"/>
      <c r="P56" s="189"/>
      <c r="Q56" s="189"/>
      <c r="R56" s="189"/>
      <c r="S56" s="189"/>
      <c r="T56" s="189"/>
      <c r="U56" s="189"/>
      <c r="V56" s="189"/>
      <c r="W56" s="119"/>
    </row>
    <row r="57" spans="1:23">
      <c r="A57" s="119"/>
      <c r="B57" s="119"/>
      <c r="C57" s="119"/>
      <c r="D57" s="119"/>
      <c r="E57" s="119"/>
      <c r="F57" s="119"/>
      <c r="G57" s="119"/>
      <c r="H57" s="119"/>
      <c r="I57" s="119"/>
      <c r="J57" s="119"/>
      <c r="K57" s="119"/>
      <c r="L57" s="119"/>
      <c r="M57" s="119"/>
      <c r="N57" s="119"/>
      <c r="O57" s="119"/>
      <c r="P57" s="119"/>
      <c r="Q57" s="119"/>
      <c r="R57" s="119"/>
      <c r="S57" s="119"/>
      <c r="T57" s="119"/>
      <c r="U57" s="119"/>
      <c r="V57" s="119"/>
      <c r="W57" s="119"/>
    </row>
    <row r="58" spans="1:23">
      <c r="A58" s="192"/>
      <c r="B58" s="189"/>
      <c r="C58" s="189"/>
      <c r="D58" s="189"/>
      <c r="E58" s="189"/>
      <c r="F58" s="189"/>
      <c r="G58" s="189"/>
      <c r="H58" s="189"/>
      <c r="I58" s="189"/>
      <c r="J58" s="189"/>
      <c r="K58" s="189"/>
      <c r="L58" s="189"/>
      <c r="M58" s="189"/>
      <c r="N58" s="189"/>
      <c r="O58" s="189"/>
      <c r="P58" s="189"/>
      <c r="Q58" s="189"/>
      <c r="R58" s="189"/>
      <c r="S58" s="189"/>
      <c r="T58" s="189"/>
      <c r="U58" s="189"/>
      <c r="V58" s="189"/>
      <c r="W58" s="119"/>
    </row>
    <row r="59" spans="1:23">
      <c r="A59" s="192"/>
      <c r="B59" s="189"/>
      <c r="C59" s="189"/>
      <c r="D59" s="189"/>
      <c r="E59" s="189"/>
      <c r="F59" s="189"/>
      <c r="G59" s="189"/>
      <c r="H59" s="189"/>
      <c r="I59" s="189"/>
      <c r="J59" s="189"/>
      <c r="K59" s="189"/>
      <c r="L59" s="189"/>
      <c r="M59" s="189"/>
      <c r="N59" s="189"/>
      <c r="O59" s="189"/>
      <c r="P59" s="189"/>
      <c r="Q59" s="189"/>
      <c r="R59" s="189"/>
      <c r="S59" s="189"/>
      <c r="T59" s="189"/>
      <c r="U59" s="189"/>
      <c r="V59" s="189"/>
      <c r="W59" s="119"/>
    </row>
    <row r="60" spans="1:23">
      <c r="A60" s="119"/>
      <c r="B60" s="119"/>
      <c r="C60" s="119"/>
      <c r="D60" s="119"/>
      <c r="E60" s="119"/>
      <c r="F60" s="119"/>
      <c r="G60" s="119"/>
      <c r="H60" s="119"/>
      <c r="I60" s="119"/>
      <c r="J60" s="119"/>
      <c r="K60" s="119"/>
      <c r="L60" s="119"/>
      <c r="M60" s="119"/>
      <c r="N60" s="119"/>
      <c r="O60" s="119"/>
      <c r="P60" s="119"/>
      <c r="Q60" s="119"/>
      <c r="R60" s="119"/>
      <c r="S60" s="119"/>
      <c r="T60" s="119"/>
      <c r="U60" s="119"/>
      <c r="V60" s="119"/>
      <c r="W60" s="119"/>
    </row>
    <row r="61" spans="1:23">
      <c r="A61" s="192"/>
      <c r="B61" s="189"/>
      <c r="C61" s="189"/>
      <c r="D61" s="189"/>
      <c r="E61" s="189"/>
      <c r="F61" s="189"/>
      <c r="G61" s="189"/>
      <c r="H61" s="189"/>
      <c r="I61" s="189"/>
      <c r="J61" s="189"/>
      <c r="K61" s="189"/>
      <c r="L61" s="189"/>
      <c r="M61" s="189"/>
      <c r="N61" s="189"/>
      <c r="O61" s="189"/>
      <c r="P61" s="189"/>
      <c r="Q61" s="189"/>
      <c r="R61" s="189"/>
      <c r="S61" s="189"/>
      <c r="T61" s="189"/>
      <c r="U61" s="189"/>
      <c r="V61" s="189"/>
      <c r="W61" s="119"/>
    </row>
    <row r="62" spans="1:23">
      <c r="A62" s="192"/>
      <c r="B62" s="189"/>
      <c r="C62" s="189"/>
      <c r="D62" s="189"/>
      <c r="E62" s="189"/>
      <c r="F62" s="189"/>
      <c r="G62" s="189"/>
      <c r="H62" s="189"/>
      <c r="I62" s="189"/>
      <c r="J62" s="189"/>
      <c r="K62" s="189"/>
      <c r="L62" s="189"/>
      <c r="M62" s="189"/>
      <c r="N62" s="189"/>
      <c r="O62" s="189"/>
      <c r="P62" s="189"/>
      <c r="Q62" s="189"/>
      <c r="R62" s="189"/>
      <c r="S62" s="189"/>
      <c r="T62" s="189"/>
      <c r="U62" s="189"/>
      <c r="V62" s="189"/>
      <c r="W62" s="119"/>
    </row>
    <row r="63" spans="1:23">
      <c r="A63" s="119"/>
      <c r="B63" s="119"/>
      <c r="C63" s="119"/>
      <c r="D63" s="119"/>
      <c r="E63" s="119"/>
      <c r="F63" s="119"/>
      <c r="G63" s="119"/>
      <c r="H63" s="119"/>
      <c r="I63" s="119"/>
      <c r="J63" s="119"/>
      <c r="K63" s="119"/>
      <c r="L63" s="119"/>
      <c r="M63" s="119"/>
      <c r="N63" s="119"/>
      <c r="O63" s="119"/>
      <c r="P63" s="119"/>
      <c r="Q63" s="119"/>
      <c r="R63" s="119"/>
      <c r="S63" s="119"/>
      <c r="T63" s="119"/>
      <c r="U63" s="119"/>
      <c r="V63" s="119"/>
      <c r="W63" s="119"/>
    </row>
    <row r="64" spans="1:23">
      <c r="A64" s="192"/>
      <c r="B64" s="189"/>
      <c r="C64" s="189"/>
      <c r="D64" s="189"/>
      <c r="E64" s="189"/>
      <c r="F64" s="189"/>
      <c r="G64" s="189"/>
      <c r="H64" s="189"/>
      <c r="I64" s="189"/>
      <c r="J64" s="189"/>
      <c r="K64" s="189"/>
      <c r="L64" s="189"/>
      <c r="M64" s="189"/>
      <c r="N64" s="189"/>
      <c r="O64" s="189"/>
      <c r="P64" s="189"/>
      <c r="Q64" s="189"/>
      <c r="R64" s="189"/>
      <c r="S64" s="189"/>
      <c r="T64" s="189"/>
      <c r="U64" s="189"/>
      <c r="V64" s="189"/>
      <c r="W64" s="119"/>
    </row>
    <row r="65" spans="1:23">
      <c r="A65" s="192"/>
      <c r="B65" s="189"/>
      <c r="C65" s="189"/>
      <c r="D65" s="189"/>
      <c r="E65" s="189"/>
      <c r="F65" s="189"/>
      <c r="G65" s="189"/>
      <c r="H65" s="189"/>
      <c r="I65" s="189"/>
      <c r="J65" s="189"/>
      <c r="K65" s="189"/>
      <c r="L65" s="189"/>
      <c r="M65" s="189"/>
      <c r="N65" s="189"/>
      <c r="O65" s="189"/>
      <c r="P65" s="189"/>
      <c r="Q65" s="189"/>
      <c r="R65" s="189"/>
      <c r="S65" s="189"/>
      <c r="T65" s="189"/>
      <c r="U65" s="189"/>
      <c r="V65" s="189"/>
      <c r="W65" s="119"/>
    </row>
    <row r="66" spans="1:23">
      <c r="A66" s="119"/>
      <c r="B66" s="119"/>
      <c r="C66" s="119"/>
      <c r="D66" s="119"/>
      <c r="E66" s="119"/>
      <c r="F66" s="119"/>
      <c r="G66" s="119"/>
      <c r="H66" s="119"/>
      <c r="I66" s="119"/>
      <c r="J66" s="119"/>
      <c r="K66" s="119"/>
      <c r="L66" s="119"/>
      <c r="M66" s="119"/>
      <c r="N66" s="119"/>
      <c r="O66" s="119"/>
      <c r="P66" s="119"/>
      <c r="Q66" s="119"/>
      <c r="R66" s="119"/>
      <c r="S66" s="119"/>
      <c r="T66" s="119"/>
      <c r="U66" s="119"/>
      <c r="V66" s="119"/>
      <c r="W66" s="119"/>
    </row>
    <row r="67" spans="1:23">
      <c r="A67" s="192"/>
      <c r="B67" s="189"/>
      <c r="C67" s="189"/>
      <c r="D67" s="189"/>
      <c r="E67" s="189"/>
      <c r="F67" s="189"/>
      <c r="G67" s="189"/>
      <c r="H67" s="189"/>
      <c r="I67" s="189"/>
      <c r="J67" s="189"/>
      <c r="K67" s="189"/>
      <c r="L67" s="189"/>
      <c r="M67" s="189"/>
      <c r="N67" s="189"/>
      <c r="O67" s="189"/>
      <c r="P67" s="189"/>
      <c r="Q67" s="189"/>
      <c r="R67" s="189"/>
      <c r="S67" s="189"/>
      <c r="T67" s="189"/>
      <c r="U67" s="189"/>
      <c r="V67" s="189"/>
      <c r="W67" s="119"/>
    </row>
    <row r="68" spans="1:23">
      <c r="A68" s="192"/>
      <c r="B68" s="189"/>
      <c r="C68" s="189"/>
      <c r="D68" s="189"/>
      <c r="E68" s="189"/>
      <c r="F68" s="189"/>
      <c r="G68" s="189"/>
      <c r="H68" s="189"/>
      <c r="I68" s="189"/>
      <c r="J68" s="189"/>
      <c r="K68" s="189"/>
      <c r="L68" s="189"/>
      <c r="M68" s="189"/>
      <c r="N68" s="189"/>
      <c r="O68" s="189"/>
      <c r="P68" s="189"/>
      <c r="Q68" s="189"/>
      <c r="R68" s="189"/>
      <c r="S68" s="189"/>
      <c r="T68" s="189"/>
      <c r="U68" s="189"/>
      <c r="V68" s="189"/>
      <c r="W68" s="119"/>
    </row>
    <row r="69" spans="1:23">
      <c r="A69" s="119"/>
      <c r="B69" s="119"/>
      <c r="C69" s="119"/>
      <c r="D69" s="119"/>
      <c r="E69" s="119"/>
      <c r="F69" s="119"/>
      <c r="G69" s="119"/>
      <c r="H69" s="119"/>
      <c r="I69" s="119"/>
      <c r="J69" s="119"/>
      <c r="K69" s="119"/>
      <c r="L69" s="119"/>
      <c r="M69" s="119"/>
      <c r="N69" s="119"/>
      <c r="O69" s="119"/>
      <c r="P69" s="119"/>
      <c r="Q69" s="119"/>
      <c r="R69" s="119"/>
      <c r="S69" s="119"/>
      <c r="T69" s="119"/>
      <c r="U69" s="119"/>
      <c r="V69" s="119"/>
      <c r="W69" s="119"/>
    </row>
    <row r="70" spans="1:23">
      <c r="A70" s="192"/>
      <c r="B70" s="189"/>
      <c r="C70" s="189"/>
      <c r="D70" s="189"/>
      <c r="E70" s="189"/>
      <c r="F70" s="189"/>
      <c r="G70" s="189"/>
      <c r="H70" s="189"/>
      <c r="I70" s="189"/>
      <c r="J70" s="189"/>
      <c r="K70" s="189"/>
      <c r="L70" s="189"/>
      <c r="M70" s="189"/>
      <c r="N70" s="189"/>
      <c r="O70" s="189"/>
      <c r="P70" s="189"/>
      <c r="Q70" s="189"/>
      <c r="R70" s="189"/>
      <c r="S70" s="189"/>
      <c r="T70" s="189"/>
      <c r="U70" s="189"/>
      <c r="V70" s="189"/>
      <c r="W70" s="119"/>
    </row>
    <row r="71" spans="1:23">
      <c r="A71" s="192"/>
      <c r="B71" s="189"/>
      <c r="C71" s="189"/>
      <c r="D71" s="189"/>
      <c r="E71" s="189"/>
      <c r="F71" s="189"/>
      <c r="G71" s="189"/>
      <c r="H71" s="189"/>
      <c r="I71" s="189"/>
      <c r="J71" s="189"/>
      <c r="K71" s="189"/>
      <c r="L71" s="189"/>
      <c r="M71" s="189"/>
      <c r="N71" s="189"/>
      <c r="O71" s="189"/>
      <c r="P71" s="189"/>
      <c r="Q71" s="189"/>
      <c r="R71" s="189"/>
      <c r="S71" s="189"/>
      <c r="T71" s="189"/>
      <c r="U71" s="189"/>
      <c r="V71" s="189"/>
      <c r="W71" s="119"/>
    </row>
    <row r="72" spans="1:23">
      <c r="A72" s="119"/>
      <c r="B72" s="119"/>
      <c r="C72" s="119"/>
      <c r="D72" s="119"/>
      <c r="E72" s="119"/>
      <c r="F72" s="119"/>
      <c r="G72" s="119"/>
      <c r="H72" s="119"/>
      <c r="I72" s="119"/>
      <c r="J72" s="119"/>
      <c r="K72" s="119"/>
      <c r="L72" s="119"/>
      <c r="M72" s="119"/>
      <c r="N72" s="119"/>
      <c r="O72" s="119"/>
      <c r="P72" s="119"/>
      <c r="Q72" s="119"/>
      <c r="R72" s="119"/>
      <c r="S72" s="119"/>
      <c r="T72" s="119"/>
      <c r="U72" s="119"/>
      <c r="V72" s="119"/>
      <c r="W72" s="119"/>
    </row>
    <row r="73" spans="1:23">
      <c r="A73" s="192"/>
      <c r="B73" s="189"/>
      <c r="C73" s="189"/>
      <c r="D73" s="189"/>
      <c r="E73" s="189"/>
      <c r="F73" s="189"/>
      <c r="G73" s="189"/>
      <c r="H73" s="189"/>
      <c r="I73" s="189"/>
      <c r="J73" s="189"/>
      <c r="K73" s="189"/>
      <c r="L73" s="189"/>
      <c r="M73" s="189"/>
      <c r="N73" s="189"/>
      <c r="O73" s="189"/>
      <c r="P73" s="189"/>
      <c r="Q73" s="189"/>
      <c r="R73" s="189"/>
      <c r="S73" s="189"/>
      <c r="T73" s="189"/>
      <c r="U73" s="189"/>
      <c r="V73" s="189"/>
      <c r="W73" s="119"/>
    </row>
    <row r="74" spans="1:23">
      <c r="A74" s="192"/>
      <c r="B74" s="189"/>
      <c r="C74" s="189"/>
      <c r="D74" s="189"/>
      <c r="E74" s="189"/>
      <c r="F74" s="189"/>
      <c r="G74" s="189"/>
      <c r="H74" s="189"/>
      <c r="I74" s="189"/>
      <c r="J74" s="189"/>
      <c r="K74" s="189"/>
      <c r="L74" s="189"/>
      <c r="M74" s="189"/>
      <c r="N74" s="189"/>
      <c r="O74" s="189"/>
      <c r="P74" s="189"/>
      <c r="Q74" s="189"/>
      <c r="R74" s="189"/>
      <c r="S74" s="189"/>
      <c r="T74" s="189"/>
      <c r="U74" s="189"/>
      <c r="V74" s="189"/>
      <c r="W74" s="119"/>
    </row>
    <row r="75" spans="1:23">
      <c r="A75" s="119"/>
      <c r="B75" s="119"/>
      <c r="C75" s="119"/>
      <c r="D75" s="119"/>
      <c r="E75" s="119"/>
      <c r="F75" s="119"/>
      <c r="G75" s="119"/>
      <c r="H75" s="119"/>
      <c r="I75" s="119"/>
      <c r="J75" s="119"/>
      <c r="K75" s="119"/>
      <c r="L75" s="119"/>
      <c r="M75" s="119"/>
      <c r="N75" s="119"/>
      <c r="O75" s="119"/>
      <c r="P75" s="119"/>
      <c r="Q75" s="119"/>
      <c r="R75" s="119"/>
      <c r="S75" s="119"/>
      <c r="T75" s="119"/>
      <c r="U75" s="119"/>
      <c r="V75" s="119"/>
      <c r="W75" s="119"/>
    </row>
    <row r="76" spans="1:23">
      <c r="A76" s="192"/>
      <c r="B76" s="189"/>
      <c r="C76" s="189"/>
      <c r="D76" s="189"/>
      <c r="E76" s="189"/>
      <c r="F76" s="189"/>
      <c r="G76" s="189"/>
      <c r="H76" s="189"/>
      <c r="I76" s="189"/>
      <c r="J76" s="189"/>
      <c r="K76" s="189"/>
      <c r="L76" s="189"/>
      <c r="M76" s="189"/>
      <c r="N76" s="189"/>
      <c r="O76" s="189"/>
      <c r="P76" s="189"/>
      <c r="Q76" s="189"/>
      <c r="R76" s="189"/>
      <c r="S76" s="189"/>
      <c r="T76" s="189"/>
      <c r="U76" s="189"/>
      <c r="V76" s="189"/>
      <c r="W76" s="119"/>
    </row>
    <row r="77" spans="1:23">
      <c r="A77" s="192"/>
      <c r="B77" s="189"/>
      <c r="C77" s="189"/>
      <c r="D77" s="189"/>
      <c r="E77" s="189"/>
      <c r="F77" s="189"/>
      <c r="G77" s="189"/>
      <c r="H77" s="189"/>
      <c r="I77" s="189"/>
      <c r="J77" s="189"/>
      <c r="K77" s="189"/>
      <c r="L77" s="189"/>
      <c r="M77" s="189"/>
      <c r="N77" s="189"/>
      <c r="O77" s="189"/>
      <c r="P77" s="189"/>
      <c r="Q77" s="189"/>
      <c r="R77" s="189"/>
      <c r="S77" s="189"/>
      <c r="T77" s="189"/>
      <c r="U77" s="189"/>
      <c r="V77" s="189"/>
      <c r="W77" s="119"/>
    </row>
    <row r="78" spans="1:23">
      <c r="A78" s="119"/>
      <c r="B78" s="119"/>
      <c r="C78" s="119"/>
      <c r="D78" s="119"/>
      <c r="E78" s="119"/>
      <c r="F78" s="119"/>
      <c r="G78" s="119"/>
      <c r="H78" s="119"/>
      <c r="I78" s="119"/>
      <c r="J78" s="119"/>
      <c r="K78" s="119"/>
      <c r="L78" s="119"/>
      <c r="M78" s="119"/>
      <c r="N78" s="119"/>
      <c r="O78" s="119"/>
      <c r="P78" s="119"/>
      <c r="Q78" s="119"/>
      <c r="R78" s="119"/>
      <c r="S78" s="119"/>
      <c r="T78" s="119"/>
      <c r="U78" s="119"/>
      <c r="V78" s="119"/>
      <c r="W78" s="119"/>
    </row>
    <row r="79" spans="1:23">
      <c r="A79" s="192"/>
      <c r="B79" s="189"/>
      <c r="C79" s="189"/>
      <c r="D79" s="189"/>
      <c r="E79" s="189"/>
      <c r="F79" s="189"/>
      <c r="G79" s="189"/>
      <c r="H79" s="189"/>
      <c r="I79" s="189"/>
      <c r="J79" s="189"/>
      <c r="K79" s="189"/>
      <c r="L79" s="189"/>
      <c r="M79" s="189"/>
      <c r="N79" s="189"/>
      <c r="O79" s="189"/>
      <c r="P79" s="189"/>
      <c r="Q79" s="189"/>
      <c r="R79" s="189"/>
      <c r="S79" s="189"/>
      <c r="T79" s="189"/>
      <c r="U79" s="189"/>
      <c r="V79" s="189"/>
      <c r="W79" s="119"/>
    </row>
    <row r="80" spans="1:23">
      <c r="A80" s="192"/>
      <c r="B80" s="189"/>
      <c r="C80" s="189"/>
      <c r="D80" s="189"/>
      <c r="E80" s="189"/>
      <c r="F80" s="189"/>
      <c r="G80" s="189"/>
      <c r="H80" s="189"/>
      <c r="I80" s="189"/>
      <c r="J80" s="189"/>
      <c r="K80" s="189"/>
      <c r="L80" s="189"/>
      <c r="M80" s="189"/>
      <c r="N80" s="189"/>
      <c r="O80" s="189"/>
      <c r="P80" s="189"/>
      <c r="Q80" s="189"/>
      <c r="R80" s="189"/>
      <c r="S80" s="189"/>
      <c r="T80" s="189"/>
      <c r="U80" s="189"/>
      <c r="V80" s="189"/>
      <c r="W80" s="119"/>
    </row>
    <row r="81" spans="1:23">
      <c r="A81" s="119"/>
      <c r="B81" s="119"/>
      <c r="C81" s="119"/>
      <c r="D81" s="119"/>
      <c r="E81" s="119"/>
      <c r="F81" s="119"/>
      <c r="G81" s="119"/>
      <c r="H81" s="119"/>
      <c r="I81" s="119"/>
      <c r="J81" s="119"/>
      <c r="K81" s="119"/>
      <c r="L81" s="119"/>
      <c r="M81" s="119"/>
      <c r="N81" s="119"/>
      <c r="O81" s="119"/>
      <c r="P81" s="119"/>
      <c r="Q81" s="119"/>
      <c r="R81" s="119"/>
      <c r="S81" s="119"/>
      <c r="T81" s="119"/>
      <c r="U81" s="119"/>
      <c r="V81" s="119"/>
      <c r="W81" s="119"/>
    </row>
    <row r="82" spans="1:23">
      <c r="A82" s="192"/>
      <c r="B82" s="189"/>
      <c r="C82" s="189"/>
      <c r="D82" s="189"/>
      <c r="E82" s="189"/>
      <c r="F82" s="189"/>
      <c r="G82" s="189"/>
      <c r="H82" s="189"/>
      <c r="I82" s="189"/>
      <c r="J82" s="189"/>
      <c r="K82" s="189"/>
      <c r="L82" s="189"/>
      <c r="M82" s="189"/>
      <c r="N82" s="189"/>
      <c r="O82" s="189"/>
      <c r="P82" s="189"/>
      <c r="Q82" s="189"/>
      <c r="R82" s="189"/>
      <c r="S82" s="189"/>
      <c r="T82" s="189"/>
      <c r="U82" s="189"/>
      <c r="V82" s="189"/>
      <c r="W82" s="119"/>
    </row>
    <row r="83" spans="1:23">
      <c r="A83" s="192"/>
      <c r="B83" s="189"/>
      <c r="C83" s="189"/>
      <c r="D83" s="189"/>
      <c r="E83" s="189"/>
      <c r="F83" s="189"/>
      <c r="G83" s="189"/>
      <c r="H83" s="189"/>
      <c r="I83" s="189"/>
      <c r="J83" s="189"/>
      <c r="K83" s="189"/>
      <c r="L83" s="189"/>
      <c r="M83" s="189"/>
      <c r="N83" s="189"/>
      <c r="O83" s="189"/>
      <c r="P83" s="189"/>
      <c r="Q83" s="189"/>
      <c r="R83" s="189"/>
      <c r="S83" s="189"/>
      <c r="T83" s="189"/>
      <c r="U83" s="189"/>
      <c r="V83" s="189"/>
      <c r="W83" s="119"/>
    </row>
    <row r="84" spans="1:23">
      <c r="A84" s="119"/>
      <c r="B84" s="119"/>
      <c r="C84" s="119"/>
      <c r="D84" s="119"/>
      <c r="E84" s="119"/>
      <c r="F84" s="119"/>
      <c r="G84" s="119"/>
      <c r="H84" s="119"/>
      <c r="I84" s="119"/>
      <c r="J84" s="119"/>
      <c r="K84" s="119"/>
      <c r="L84" s="119"/>
      <c r="M84" s="119"/>
      <c r="N84" s="119"/>
      <c r="O84" s="119"/>
      <c r="P84" s="119"/>
      <c r="Q84" s="119"/>
      <c r="R84" s="119"/>
      <c r="S84" s="119"/>
      <c r="T84" s="119"/>
      <c r="U84" s="119"/>
      <c r="V84" s="119"/>
      <c r="W84" s="119"/>
    </row>
    <row r="85" spans="1:23">
      <c r="A85" s="192"/>
      <c r="B85" s="189"/>
      <c r="C85" s="189"/>
      <c r="D85" s="189"/>
      <c r="E85" s="189"/>
      <c r="F85" s="189"/>
      <c r="G85" s="189"/>
      <c r="H85" s="189"/>
      <c r="I85" s="189"/>
      <c r="J85" s="189"/>
      <c r="K85" s="189"/>
      <c r="L85" s="189"/>
      <c r="M85" s="189"/>
      <c r="N85" s="189"/>
      <c r="O85" s="189"/>
      <c r="P85" s="189"/>
      <c r="Q85" s="189"/>
      <c r="R85" s="189"/>
      <c r="S85" s="189"/>
      <c r="T85" s="189"/>
      <c r="U85" s="189"/>
      <c r="V85" s="189"/>
      <c r="W85" s="119"/>
    </row>
    <row r="86" spans="1:23">
      <c r="A86" s="192"/>
      <c r="B86" s="189"/>
      <c r="C86" s="189"/>
      <c r="D86" s="189"/>
      <c r="E86" s="189"/>
      <c r="F86" s="189"/>
      <c r="G86" s="189"/>
      <c r="H86" s="189"/>
      <c r="I86" s="189"/>
      <c r="J86" s="189"/>
      <c r="K86" s="189"/>
      <c r="L86" s="189"/>
      <c r="M86" s="189"/>
      <c r="N86" s="189"/>
      <c r="O86" s="189"/>
      <c r="P86" s="189"/>
      <c r="Q86" s="189"/>
      <c r="R86" s="189"/>
      <c r="S86" s="189"/>
      <c r="T86" s="189"/>
      <c r="U86" s="189"/>
      <c r="V86" s="189"/>
      <c r="W86" s="119"/>
    </row>
    <row r="87" spans="1:23">
      <c r="A87" s="119"/>
      <c r="B87" s="119"/>
      <c r="C87" s="119"/>
      <c r="D87" s="119"/>
      <c r="E87" s="119"/>
      <c r="F87" s="119"/>
      <c r="G87" s="119"/>
      <c r="H87" s="119"/>
      <c r="I87" s="119"/>
      <c r="J87" s="119"/>
      <c r="K87" s="119"/>
      <c r="L87" s="119"/>
      <c r="M87" s="119"/>
      <c r="N87" s="119"/>
      <c r="O87" s="119"/>
      <c r="P87" s="119"/>
      <c r="Q87" s="119"/>
      <c r="R87" s="119"/>
      <c r="S87" s="119"/>
      <c r="T87" s="119"/>
      <c r="U87" s="119"/>
      <c r="V87" s="119"/>
      <c r="W87" s="119"/>
    </row>
    <row r="88" spans="1:23">
      <c r="A88" s="192"/>
      <c r="B88" s="189"/>
      <c r="C88" s="189"/>
      <c r="D88" s="189"/>
      <c r="E88" s="189"/>
      <c r="F88" s="189"/>
      <c r="G88" s="189"/>
      <c r="H88" s="189"/>
      <c r="I88" s="189"/>
      <c r="J88" s="189"/>
      <c r="K88" s="189"/>
      <c r="L88" s="189"/>
      <c r="M88" s="189"/>
      <c r="N88" s="189"/>
      <c r="O88" s="189"/>
      <c r="P88" s="189"/>
      <c r="Q88" s="189"/>
      <c r="R88" s="189"/>
      <c r="S88" s="189"/>
      <c r="T88" s="189"/>
      <c r="U88" s="189"/>
      <c r="V88" s="189"/>
      <c r="W88" s="119"/>
    </row>
    <row r="89" spans="1:23">
      <c r="A89" s="192"/>
      <c r="B89" s="189"/>
      <c r="C89" s="189"/>
      <c r="D89" s="189"/>
      <c r="E89" s="189"/>
      <c r="F89" s="189"/>
      <c r="G89" s="189"/>
      <c r="H89" s="189"/>
      <c r="I89" s="189"/>
      <c r="J89" s="189"/>
      <c r="K89" s="189"/>
      <c r="L89" s="189"/>
      <c r="M89" s="189"/>
      <c r="N89" s="189"/>
      <c r="O89" s="189"/>
      <c r="P89" s="189"/>
      <c r="Q89" s="189"/>
      <c r="R89" s="189"/>
      <c r="S89" s="189"/>
      <c r="T89" s="189"/>
      <c r="U89" s="189"/>
      <c r="V89" s="189"/>
      <c r="W89" s="119"/>
    </row>
    <row r="90" spans="1:23">
      <c r="A90" s="119"/>
      <c r="B90" s="119"/>
      <c r="C90" s="119"/>
      <c r="D90" s="119"/>
      <c r="E90" s="119"/>
      <c r="F90" s="119"/>
      <c r="G90" s="119"/>
      <c r="H90" s="119"/>
      <c r="I90" s="119"/>
      <c r="J90" s="119"/>
      <c r="K90" s="119"/>
      <c r="L90" s="119"/>
      <c r="M90" s="119"/>
      <c r="N90" s="119"/>
      <c r="O90" s="119"/>
      <c r="P90" s="119"/>
      <c r="Q90" s="119"/>
      <c r="R90" s="119"/>
      <c r="S90" s="119"/>
      <c r="T90" s="119"/>
      <c r="U90" s="119"/>
      <c r="V90" s="119"/>
      <c r="W90" s="119"/>
    </row>
    <row r="91" spans="1:23">
      <c r="A91" s="192"/>
      <c r="B91" s="189"/>
      <c r="C91" s="189"/>
      <c r="D91" s="189"/>
      <c r="E91" s="189"/>
      <c r="F91" s="189"/>
      <c r="G91" s="189"/>
      <c r="H91" s="189"/>
      <c r="I91" s="189"/>
      <c r="J91" s="189"/>
      <c r="K91" s="189"/>
      <c r="L91" s="189"/>
      <c r="M91" s="189"/>
      <c r="N91" s="189"/>
      <c r="O91" s="189"/>
      <c r="P91" s="189"/>
      <c r="Q91" s="189"/>
      <c r="R91" s="189"/>
      <c r="S91" s="189"/>
      <c r="T91" s="189"/>
      <c r="U91" s="189"/>
      <c r="V91" s="189"/>
      <c r="W91" s="119"/>
    </row>
    <row r="92" spans="1:23">
      <c r="A92" s="192"/>
      <c r="B92" s="189"/>
      <c r="C92" s="189"/>
      <c r="D92" s="189"/>
      <c r="E92" s="189"/>
      <c r="F92" s="189"/>
      <c r="G92" s="189"/>
      <c r="H92" s="189"/>
      <c r="I92" s="189"/>
      <c r="J92" s="189"/>
      <c r="K92" s="189"/>
      <c r="L92" s="189"/>
      <c r="M92" s="189"/>
      <c r="N92" s="189"/>
      <c r="O92" s="189"/>
      <c r="P92" s="189"/>
      <c r="Q92" s="189"/>
      <c r="R92" s="189"/>
      <c r="S92" s="189"/>
      <c r="T92" s="189"/>
      <c r="U92" s="189"/>
      <c r="V92" s="189"/>
      <c r="W92" s="119"/>
    </row>
    <row r="93" spans="1:23">
      <c r="A93" s="119"/>
      <c r="B93" s="119"/>
      <c r="C93" s="119"/>
      <c r="D93" s="119"/>
      <c r="E93" s="119"/>
      <c r="F93" s="119"/>
      <c r="G93" s="119"/>
      <c r="H93" s="119"/>
      <c r="I93" s="119"/>
      <c r="J93" s="119"/>
      <c r="K93" s="119"/>
      <c r="L93" s="119"/>
      <c r="M93" s="119"/>
      <c r="N93" s="119"/>
      <c r="O93" s="119"/>
      <c r="P93" s="119"/>
      <c r="Q93" s="119"/>
      <c r="R93" s="119"/>
      <c r="S93" s="119"/>
      <c r="T93" s="119"/>
      <c r="U93" s="119"/>
      <c r="V93" s="119"/>
      <c r="W93" s="119"/>
    </row>
    <row r="94" spans="1:23">
      <c r="A94" s="192"/>
      <c r="B94" s="189"/>
      <c r="C94" s="189"/>
      <c r="D94" s="189"/>
      <c r="E94" s="189"/>
      <c r="F94" s="189"/>
      <c r="G94" s="189"/>
      <c r="H94" s="189"/>
      <c r="I94" s="189"/>
      <c r="J94" s="189"/>
      <c r="K94" s="189"/>
      <c r="L94" s="189"/>
      <c r="M94" s="189"/>
      <c r="N94" s="189"/>
      <c r="O94" s="189"/>
      <c r="P94" s="189"/>
      <c r="Q94" s="189"/>
      <c r="R94" s="189"/>
      <c r="S94" s="189"/>
      <c r="T94" s="189"/>
      <c r="U94" s="189"/>
      <c r="V94" s="189"/>
      <c r="W94" s="119"/>
    </row>
    <row r="95" spans="1:23">
      <c r="A95" s="192"/>
      <c r="B95" s="189"/>
      <c r="C95" s="189"/>
      <c r="D95" s="189"/>
      <c r="E95" s="189"/>
      <c r="F95" s="189"/>
      <c r="G95" s="189"/>
      <c r="H95" s="189"/>
      <c r="I95" s="189"/>
      <c r="J95" s="189"/>
      <c r="K95" s="189"/>
      <c r="L95" s="189"/>
      <c r="M95" s="189"/>
      <c r="N95" s="189"/>
      <c r="O95" s="189"/>
      <c r="P95" s="189"/>
      <c r="Q95" s="189"/>
      <c r="R95" s="189"/>
      <c r="S95" s="189"/>
      <c r="T95" s="189"/>
      <c r="U95" s="189"/>
      <c r="V95" s="189"/>
      <c r="W95" s="119"/>
    </row>
    <row r="96" spans="1:23">
      <c r="A96" s="119"/>
      <c r="B96" s="119"/>
      <c r="C96" s="119"/>
      <c r="D96" s="119"/>
      <c r="E96" s="119"/>
      <c r="F96" s="119"/>
      <c r="G96" s="119"/>
      <c r="H96" s="119"/>
      <c r="I96" s="119"/>
      <c r="J96" s="119"/>
      <c r="K96" s="119"/>
      <c r="L96" s="119"/>
      <c r="M96" s="119"/>
      <c r="N96" s="119"/>
      <c r="O96" s="119"/>
      <c r="P96" s="119"/>
      <c r="Q96" s="119"/>
      <c r="R96" s="119"/>
      <c r="S96" s="119"/>
      <c r="T96" s="119"/>
      <c r="U96" s="119"/>
      <c r="V96" s="119"/>
      <c r="W96" s="119"/>
    </row>
    <row r="97" spans="1:23">
      <c r="A97" s="119"/>
      <c r="B97" s="119"/>
      <c r="C97" s="119"/>
      <c r="D97" s="119"/>
      <c r="E97" s="119"/>
      <c r="F97" s="119"/>
      <c r="G97" s="119"/>
      <c r="H97" s="119"/>
      <c r="I97" s="119"/>
      <c r="J97" s="119"/>
      <c r="K97" s="119"/>
      <c r="L97" s="119"/>
      <c r="M97" s="119"/>
      <c r="N97" s="119"/>
      <c r="O97" s="119"/>
      <c r="P97" s="119"/>
      <c r="Q97" s="119"/>
      <c r="R97" s="119"/>
      <c r="S97" s="119"/>
      <c r="T97" s="119"/>
      <c r="U97" s="119"/>
      <c r="V97" s="119"/>
      <c r="W97" s="119"/>
    </row>
    <row r="98" spans="1:23">
      <c r="A98" s="119"/>
      <c r="B98" s="119"/>
      <c r="C98" s="119"/>
      <c r="D98" s="119"/>
      <c r="E98" s="119"/>
      <c r="F98" s="119"/>
      <c r="G98" s="119"/>
      <c r="H98" s="119"/>
      <c r="I98" s="119"/>
      <c r="J98" s="119"/>
      <c r="K98" s="119"/>
      <c r="L98" s="119"/>
      <c r="M98" s="119"/>
      <c r="N98" s="119"/>
      <c r="O98" s="119"/>
      <c r="P98" s="119"/>
      <c r="Q98" s="119"/>
      <c r="R98" s="119"/>
      <c r="S98" s="119"/>
      <c r="T98" s="119"/>
      <c r="U98" s="119"/>
      <c r="V98" s="119"/>
      <c r="W98" s="119"/>
    </row>
    <row r="99" spans="1:23">
      <c r="A99" s="119"/>
      <c r="B99" s="119"/>
      <c r="C99" s="119"/>
      <c r="D99" s="119"/>
      <c r="E99" s="119"/>
      <c r="F99" s="119"/>
      <c r="G99" s="119"/>
      <c r="H99" s="119"/>
      <c r="I99" s="119"/>
      <c r="J99" s="119"/>
      <c r="K99" s="119"/>
      <c r="L99" s="119"/>
      <c r="M99" s="119"/>
      <c r="N99" s="119"/>
      <c r="O99" s="119"/>
      <c r="P99" s="119"/>
      <c r="Q99" s="119"/>
      <c r="R99" s="119"/>
      <c r="S99" s="119"/>
      <c r="T99" s="119"/>
      <c r="U99" s="119"/>
      <c r="V99" s="119"/>
      <c r="W99" s="119"/>
    </row>
    <row r="100" spans="1:23">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row>
    <row r="101" spans="1:23">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row>
    <row r="102" spans="1:23">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row>
    <row r="103" spans="1:23">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row>
    <row r="104" spans="1:23">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row>
    <row r="105" spans="1:23">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row>
    <row r="106" spans="1:23" ht="23.25">
      <c r="A106" s="199" t="s">
        <v>2190</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row>
    <row r="107" spans="1:23">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row>
    <row r="108" spans="1:23">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row>
    <row r="109" spans="1:23">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row>
    <row r="110" spans="1:23">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row>
    <row r="111" spans="1:23">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row>
    <row r="112" spans="1:23">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row>
    <row r="113" spans="1:23">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row>
    <row r="114" spans="1:23">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row>
    <row r="115" spans="1:23">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row>
    <row r="116" spans="1:23">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row>
    <row r="117" spans="1:23">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row>
    <row r="118" spans="1:23">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row>
    <row r="119" spans="1:23">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row>
    <row r="120" spans="1:23">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row>
    <row r="121" spans="1:23">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row>
    <row r="122" spans="1:23">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row>
    <row r="123" spans="1:23">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row>
    <row r="124" spans="1:23">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row>
    <row r="125" spans="1:23">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row>
    <row r="126" spans="1:23">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row>
    <row r="127" spans="1:23">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row>
    <row r="128" spans="1:23">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row>
    <row r="129" spans="1:23">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row>
    <row r="130" spans="1:23">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row>
    <row r="131" spans="1:23">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row>
    <row r="132" spans="1:23">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row>
    <row r="133" spans="1:23">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row>
    <row r="134" spans="1:23">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row>
    <row r="135" spans="1:23">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row>
    <row r="136" spans="1:23">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row>
    <row r="137" spans="1:23">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row>
    <row r="138" spans="1:23">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row>
    <row r="139" spans="1:23">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row>
    <row r="140" spans="1:23">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row>
    <row r="141" spans="1:23">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row>
    <row r="142" spans="1:23">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row>
    <row r="143" spans="1:23">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row>
    <row r="144" spans="1:23">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row>
    <row r="145" spans="1:23">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row>
    <row r="146" spans="1:23">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row>
    <row r="147" spans="1:23">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row>
    <row r="148" spans="1:23">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row>
    <row r="149" spans="1:23">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row>
    <row r="150" spans="1:23">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row>
    <row r="151" spans="1:23">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row>
    <row r="152" spans="1:23">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row>
    <row r="153" spans="1:23">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row>
    <row r="154" spans="1:23">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row>
    <row r="155" spans="1:23">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row>
    <row r="156" spans="1:23">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row>
    <row r="157" spans="1:23">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row>
    <row r="158" spans="1:23">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row>
    <row r="159" spans="1:23">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row>
    <row r="160" spans="1:23">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row>
    <row r="161" spans="1:23">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row>
    <row r="162" spans="1:23">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row>
    <row r="163" spans="1:23">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row>
  </sheetData>
  <pageMargins left="0.7" right="0.7" top="0.75" bottom="0.75" header="0.3" footer="0.3"/>
  <pageSetup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dimension ref="A1:Z126"/>
  <sheetViews>
    <sheetView topLeftCell="A20" zoomScale="55" zoomScaleNormal="55" workbookViewId="0">
      <selection activeCell="J46" sqref="J46"/>
    </sheetView>
  </sheetViews>
  <sheetFormatPr defaultRowHeight="15"/>
  <cols>
    <col min="1" max="1" width="16.28515625" customWidth="1"/>
    <col min="2" max="2" width="8.5703125" customWidth="1"/>
    <col min="3" max="4" width="7.28515625" customWidth="1"/>
    <col min="5" max="5" width="8.5703125" customWidth="1"/>
    <col min="6" max="9" width="7.28515625" customWidth="1"/>
    <col min="10" max="10" width="8.85546875" customWidth="1"/>
    <col min="11" max="22" width="7.28515625" customWidth="1"/>
    <col min="23" max="23" width="10.140625" customWidth="1"/>
  </cols>
  <sheetData>
    <row r="1" spans="1:26" ht="32.25">
      <c r="A1" s="310" t="s">
        <v>1693</v>
      </c>
      <c r="B1" s="311">
        <v>103</v>
      </c>
      <c r="C1" s="311">
        <f>B1</f>
        <v>103</v>
      </c>
      <c r="D1" s="311">
        <f t="shared" ref="D1:V1" si="0">C1</f>
        <v>103</v>
      </c>
      <c r="E1" s="311">
        <f t="shared" si="0"/>
        <v>103</v>
      </c>
      <c r="F1" s="311">
        <f t="shared" si="0"/>
        <v>103</v>
      </c>
      <c r="G1" s="311">
        <f t="shared" si="0"/>
        <v>103</v>
      </c>
      <c r="H1" s="311">
        <f t="shared" si="0"/>
        <v>103</v>
      </c>
      <c r="I1" s="311">
        <f t="shared" si="0"/>
        <v>103</v>
      </c>
      <c r="J1" s="311">
        <f t="shared" si="0"/>
        <v>103</v>
      </c>
      <c r="K1" s="311">
        <f t="shared" si="0"/>
        <v>103</v>
      </c>
      <c r="L1" s="311">
        <f t="shared" si="0"/>
        <v>103</v>
      </c>
      <c r="M1" s="311">
        <f t="shared" si="0"/>
        <v>103</v>
      </c>
      <c r="N1" s="311">
        <f t="shared" si="0"/>
        <v>103</v>
      </c>
      <c r="O1" s="311">
        <f t="shared" si="0"/>
        <v>103</v>
      </c>
      <c r="P1" s="311">
        <f t="shared" si="0"/>
        <v>103</v>
      </c>
      <c r="Q1" s="311">
        <f t="shared" si="0"/>
        <v>103</v>
      </c>
      <c r="R1" s="311">
        <f t="shared" si="0"/>
        <v>103</v>
      </c>
      <c r="S1" s="311">
        <f t="shared" si="0"/>
        <v>103</v>
      </c>
      <c r="T1" s="311">
        <f t="shared" si="0"/>
        <v>103</v>
      </c>
      <c r="U1" s="311">
        <f t="shared" si="0"/>
        <v>103</v>
      </c>
      <c r="V1" s="312">
        <f t="shared" si="0"/>
        <v>103</v>
      </c>
      <c r="Z1" s="309" t="s">
        <v>2191</v>
      </c>
    </row>
    <row r="2" spans="1:26">
      <c r="A2" s="313" t="s">
        <v>1737</v>
      </c>
      <c r="B2" s="291">
        <v>10</v>
      </c>
      <c r="C2" s="291">
        <f>B2+1</f>
        <v>11</v>
      </c>
      <c r="D2" s="291">
        <f t="shared" ref="D2:V2" si="1">C2+1</f>
        <v>12</v>
      </c>
      <c r="E2" s="291">
        <f t="shared" si="1"/>
        <v>13</v>
      </c>
      <c r="F2" s="291">
        <f t="shared" si="1"/>
        <v>14</v>
      </c>
      <c r="G2" s="291">
        <f t="shared" si="1"/>
        <v>15</v>
      </c>
      <c r="H2" s="291">
        <f t="shared" si="1"/>
        <v>16</v>
      </c>
      <c r="I2" s="291">
        <f t="shared" si="1"/>
        <v>17</v>
      </c>
      <c r="J2" s="291">
        <f t="shared" si="1"/>
        <v>18</v>
      </c>
      <c r="K2" s="291">
        <f t="shared" si="1"/>
        <v>19</v>
      </c>
      <c r="L2" s="291">
        <f t="shared" si="1"/>
        <v>20</v>
      </c>
      <c r="M2" s="291">
        <f t="shared" si="1"/>
        <v>21</v>
      </c>
      <c r="N2" s="291">
        <f t="shared" si="1"/>
        <v>22</v>
      </c>
      <c r="O2" s="291">
        <f t="shared" si="1"/>
        <v>23</v>
      </c>
      <c r="P2" s="291">
        <f t="shared" si="1"/>
        <v>24</v>
      </c>
      <c r="Q2" s="291">
        <f t="shared" si="1"/>
        <v>25</v>
      </c>
      <c r="R2" s="291">
        <f t="shared" si="1"/>
        <v>26</v>
      </c>
      <c r="S2" s="291">
        <f t="shared" si="1"/>
        <v>27</v>
      </c>
      <c r="T2" s="291">
        <f t="shared" si="1"/>
        <v>28</v>
      </c>
      <c r="U2" s="291">
        <f t="shared" si="1"/>
        <v>29</v>
      </c>
      <c r="V2" s="314">
        <f t="shared" si="1"/>
        <v>30</v>
      </c>
    </row>
    <row r="3" spans="1:26">
      <c r="A3" s="315" t="s">
        <v>1738</v>
      </c>
      <c r="B3" s="291"/>
      <c r="C3" s="291"/>
      <c r="D3" s="291"/>
      <c r="E3" s="291"/>
      <c r="F3" s="291"/>
      <c r="G3" s="291"/>
      <c r="H3" s="291"/>
      <c r="I3" s="291"/>
      <c r="J3" s="291"/>
      <c r="K3" s="291"/>
      <c r="L3" s="291"/>
      <c r="M3" s="291"/>
      <c r="N3" s="291"/>
      <c r="O3" s="291"/>
      <c r="P3" s="291"/>
      <c r="Q3" s="291"/>
      <c r="R3" s="291"/>
      <c r="S3" s="291"/>
      <c r="T3" s="291"/>
      <c r="U3" s="291"/>
      <c r="V3" s="314"/>
      <c r="W3" s="198">
        <f>SUM(B3:V3)</f>
        <v>0</v>
      </c>
    </row>
    <row r="4" spans="1:26">
      <c r="A4" s="315" t="s">
        <v>1992</v>
      </c>
      <c r="B4" s="291"/>
      <c r="C4" s="291"/>
      <c r="D4" s="291"/>
      <c r="E4" s="291"/>
      <c r="F4" s="291"/>
      <c r="G4" s="291"/>
      <c r="H4" s="291"/>
      <c r="I4" s="291"/>
      <c r="J4" s="291"/>
      <c r="K4" s="291"/>
      <c r="L4" s="291"/>
      <c r="M4" s="291"/>
      <c r="N4" s="291"/>
      <c r="O4" s="291"/>
      <c r="P4" s="291"/>
      <c r="Q4" s="291"/>
      <c r="R4" s="291"/>
      <c r="S4" s="291"/>
      <c r="T4" s="291"/>
      <c r="U4" s="291"/>
      <c r="V4" s="314"/>
      <c r="W4" s="198">
        <f>SUM(B4:V4)</f>
        <v>0</v>
      </c>
    </row>
    <row r="5" spans="1:26" ht="15.75" thickBot="1">
      <c r="A5" s="316" t="s">
        <v>2189</v>
      </c>
      <c r="B5" s="317">
        <f>All!H481</f>
        <v>1</v>
      </c>
      <c r="C5" s="317">
        <f>All!I481</f>
        <v>0</v>
      </c>
      <c r="D5" s="317">
        <f>All!J481</f>
        <v>0</v>
      </c>
      <c r="E5" s="317">
        <f>All!K481</f>
        <v>1</v>
      </c>
      <c r="F5" s="317">
        <f>All!L481</f>
        <v>0</v>
      </c>
      <c r="G5" s="317">
        <f>All!M481</f>
        <v>0</v>
      </c>
      <c r="H5" s="317">
        <f>All!N481</f>
        <v>0</v>
      </c>
      <c r="I5" s="317">
        <f>All!O481</f>
        <v>2</v>
      </c>
      <c r="J5" s="317">
        <f>All!P481</f>
        <v>0</v>
      </c>
      <c r="K5" s="317">
        <f>All!Q481</f>
        <v>0</v>
      </c>
      <c r="L5" s="317">
        <f>All!R481</f>
        <v>0</v>
      </c>
      <c r="M5" s="317">
        <f>All!S481</f>
        <v>1</v>
      </c>
      <c r="N5" s="317">
        <f>All!T481</f>
        <v>1</v>
      </c>
      <c r="O5" s="317">
        <f>All!U481</f>
        <v>0</v>
      </c>
      <c r="P5" s="317">
        <f>All!V481</f>
        <v>1</v>
      </c>
      <c r="Q5" s="317">
        <f>All!W481</f>
        <v>2</v>
      </c>
      <c r="R5" s="317">
        <f>All!X481</f>
        <v>2</v>
      </c>
      <c r="S5" s="317">
        <f>All!Y481</f>
        <v>1</v>
      </c>
      <c r="T5" s="317">
        <f>All!Z481</f>
        <v>1</v>
      </c>
      <c r="U5" s="317">
        <f>All!AA481</f>
        <v>0</v>
      </c>
      <c r="V5" s="317">
        <f>All!AB481</f>
        <v>1</v>
      </c>
      <c r="W5" s="198">
        <f>SUM(B5:V5)</f>
        <v>14</v>
      </c>
    </row>
    <row r="6" spans="1:26">
      <c r="A6" s="310" t="str">
        <f>All!C427</f>
        <v>Economics</v>
      </c>
      <c r="B6" s="311">
        <f>B1+1</f>
        <v>104</v>
      </c>
      <c r="C6" s="311">
        <f>B6</f>
        <v>104</v>
      </c>
      <c r="D6" s="311">
        <f t="shared" ref="D6:V6" si="2">C6</f>
        <v>104</v>
      </c>
      <c r="E6" s="311">
        <f t="shared" si="2"/>
        <v>104</v>
      </c>
      <c r="F6" s="311">
        <f t="shared" si="2"/>
        <v>104</v>
      </c>
      <c r="G6" s="311">
        <f t="shared" si="2"/>
        <v>104</v>
      </c>
      <c r="H6" s="311">
        <f t="shared" si="2"/>
        <v>104</v>
      </c>
      <c r="I6" s="311">
        <f t="shared" si="2"/>
        <v>104</v>
      </c>
      <c r="J6" s="311">
        <f t="shared" si="2"/>
        <v>104</v>
      </c>
      <c r="K6" s="311">
        <f t="shared" si="2"/>
        <v>104</v>
      </c>
      <c r="L6" s="311">
        <f t="shared" si="2"/>
        <v>104</v>
      </c>
      <c r="M6" s="311">
        <f t="shared" si="2"/>
        <v>104</v>
      </c>
      <c r="N6" s="311">
        <f t="shared" si="2"/>
        <v>104</v>
      </c>
      <c r="O6" s="311">
        <f t="shared" si="2"/>
        <v>104</v>
      </c>
      <c r="P6" s="311">
        <f t="shared" si="2"/>
        <v>104</v>
      </c>
      <c r="Q6" s="311">
        <f t="shared" si="2"/>
        <v>104</v>
      </c>
      <c r="R6" s="311">
        <f t="shared" si="2"/>
        <v>104</v>
      </c>
      <c r="S6" s="311">
        <f t="shared" si="2"/>
        <v>104</v>
      </c>
      <c r="T6" s="311">
        <f t="shared" si="2"/>
        <v>104</v>
      </c>
      <c r="U6" s="311">
        <f t="shared" si="2"/>
        <v>104</v>
      </c>
      <c r="V6" s="312">
        <f t="shared" si="2"/>
        <v>104</v>
      </c>
    </row>
    <row r="7" spans="1:26">
      <c r="A7" s="313" t="s">
        <v>1737</v>
      </c>
      <c r="B7" s="291">
        <v>10</v>
      </c>
      <c r="C7" s="291">
        <f>B7+1</f>
        <v>11</v>
      </c>
      <c r="D7" s="291">
        <f t="shared" ref="D7:V7" si="3">C7+1</f>
        <v>12</v>
      </c>
      <c r="E7" s="291">
        <f t="shared" si="3"/>
        <v>13</v>
      </c>
      <c r="F7" s="291">
        <f t="shared" si="3"/>
        <v>14</v>
      </c>
      <c r="G7" s="291">
        <f t="shared" si="3"/>
        <v>15</v>
      </c>
      <c r="H7" s="291">
        <f t="shared" si="3"/>
        <v>16</v>
      </c>
      <c r="I7" s="291">
        <f t="shared" si="3"/>
        <v>17</v>
      </c>
      <c r="J7" s="291">
        <f t="shared" si="3"/>
        <v>18</v>
      </c>
      <c r="K7" s="291">
        <f t="shared" si="3"/>
        <v>19</v>
      </c>
      <c r="L7" s="291">
        <f t="shared" si="3"/>
        <v>20</v>
      </c>
      <c r="M7" s="291">
        <f t="shared" si="3"/>
        <v>21</v>
      </c>
      <c r="N7" s="291">
        <f t="shared" si="3"/>
        <v>22</v>
      </c>
      <c r="O7" s="291">
        <f t="shared" si="3"/>
        <v>23</v>
      </c>
      <c r="P7" s="291">
        <f t="shared" si="3"/>
        <v>24</v>
      </c>
      <c r="Q7" s="291">
        <f t="shared" si="3"/>
        <v>25</v>
      </c>
      <c r="R7" s="291">
        <f t="shared" si="3"/>
        <v>26</v>
      </c>
      <c r="S7" s="291">
        <f t="shared" si="3"/>
        <v>27</v>
      </c>
      <c r="T7" s="291">
        <f t="shared" si="3"/>
        <v>28</v>
      </c>
      <c r="U7" s="291">
        <f t="shared" si="3"/>
        <v>29</v>
      </c>
      <c r="V7" s="314">
        <f t="shared" si="3"/>
        <v>30</v>
      </c>
    </row>
    <row r="8" spans="1:26">
      <c r="A8" s="315" t="s">
        <v>1738</v>
      </c>
      <c r="B8" s="291">
        <f>All!H427</f>
        <v>3</v>
      </c>
      <c r="C8" s="291">
        <f>All!I427</f>
        <v>1</v>
      </c>
      <c r="D8" s="291">
        <f>All!J427</f>
        <v>11</v>
      </c>
      <c r="E8" s="291">
        <f>All!K427</f>
        <v>5</v>
      </c>
      <c r="F8" s="291">
        <f>All!L427</f>
        <v>2</v>
      </c>
      <c r="G8" s="291">
        <f>All!M427</f>
        <v>16</v>
      </c>
      <c r="H8" s="291">
        <f>All!N427</f>
        <v>37</v>
      </c>
      <c r="I8" s="291">
        <f>All!O427</f>
        <v>2</v>
      </c>
      <c r="J8" s="291">
        <f>All!P427</f>
        <v>0</v>
      </c>
      <c r="K8" s="291">
        <f>All!Q427</f>
        <v>2</v>
      </c>
      <c r="L8" s="291">
        <f>All!R427</f>
        <v>1</v>
      </c>
      <c r="M8" s="291">
        <f>All!S427</f>
        <v>0</v>
      </c>
      <c r="N8" s="291">
        <f>All!T427</f>
        <v>5</v>
      </c>
      <c r="O8" s="291">
        <f>All!U427</f>
        <v>19</v>
      </c>
      <c r="P8" s="291">
        <f>All!V427</f>
        <v>0</v>
      </c>
      <c r="Q8" s="291">
        <f>All!W427</f>
        <v>3</v>
      </c>
      <c r="R8" s="291">
        <f>All!X427</f>
        <v>3</v>
      </c>
      <c r="S8" s="291">
        <f>All!Y427</f>
        <v>1</v>
      </c>
      <c r="T8" s="291">
        <f>All!Z427</f>
        <v>2</v>
      </c>
      <c r="U8" s="291">
        <f>All!AA427</f>
        <v>2</v>
      </c>
      <c r="V8" s="314">
        <f>All!AB427</f>
        <v>2</v>
      </c>
      <c r="W8" s="198">
        <f>SUM(B8:V8)</f>
        <v>117</v>
      </c>
    </row>
    <row r="9" spans="1:26">
      <c r="A9" s="315" t="s">
        <v>1992</v>
      </c>
      <c r="B9" s="291">
        <f>All!H452</f>
        <v>1</v>
      </c>
      <c r="C9" s="291">
        <f>All!I452</f>
        <v>0</v>
      </c>
      <c r="D9" s="291">
        <f>All!J452</f>
        <v>3</v>
      </c>
      <c r="E9" s="291">
        <f>All!K452</f>
        <v>4</v>
      </c>
      <c r="F9" s="291">
        <f>All!L452</f>
        <v>1</v>
      </c>
      <c r="G9" s="291">
        <f>All!M452</f>
        <v>5</v>
      </c>
      <c r="H9" s="291">
        <f>All!N452</f>
        <v>5</v>
      </c>
      <c r="I9" s="291">
        <f>All!O452</f>
        <v>1</v>
      </c>
      <c r="J9" s="291">
        <f>All!P452</f>
        <v>0</v>
      </c>
      <c r="K9" s="291">
        <f>All!Q452</f>
        <v>1</v>
      </c>
      <c r="L9" s="291">
        <f>All!R452</f>
        <v>1</v>
      </c>
      <c r="M9" s="291">
        <f>All!S452</f>
        <v>0</v>
      </c>
      <c r="N9" s="291">
        <f>All!T452</f>
        <v>3</v>
      </c>
      <c r="O9" s="291">
        <f>All!U452</f>
        <v>3</v>
      </c>
      <c r="P9" s="291">
        <f>All!V452</f>
        <v>0</v>
      </c>
      <c r="Q9" s="291">
        <f>All!W452</f>
        <v>3</v>
      </c>
      <c r="R9" s="291">
        <f>All!X452</f>
        <v>3</v>
      </c>
      <c r="S9" s="291">
        <f>All!Y452</f>
        <v>1</v>
      </c>
      <c r="T9" s="291">
        <f>All!Z452</f>
        <v>2</v>
      </c>
      <c r="U9" s="319">
        <f>All!AA452</f>
        <v>2</v>
      </c>
      <c r="V9" s="314">
        <f>All!AB452</f>
        <v>2</v>
      </c>
      <c r="W9" s="198">
        <f>SUM(B9:V9)</f>
        <v>41</v>
      </c>
    </row>
    <row r="10" spans="1:26" ht="15.75" thickBot="1">
      <c r="A10" s="316" t="s">
        <v>2189</v>
      </c>
      <c r="B10" s="317">
        <f>All!H480</f>
        <v>0</v>
      </c>
      <c r="C10" s="317">
        <f>All!I480</f>
        <v>0</v>
      </c>
      <c r="D10" s="317">
        <f>All!J480</f>
        <v>1</v>
      </c>
      <c r="E10" s="317">
        <f>All!K480</f>
        <v>2</v>
      </c>
      <c r="F10" s="317">
        <f>All!L480</f>
        <v>0</v>
      </c>
      <c r="G10" s="317">
        <f>All!M480</f>
        <v>2</v>
      </c>
      <c r="H10" s="317">
        <f>All!N480</f>
        <v>2</v>
      </c>
      <c r="I10" s="317">
        <f>All!O480</f>
        <v>0</v>
      </c>
      <c r="J10" s="317">
        <f>All!P480</f>
        <v>0</v>
      </c>
      <c r="K10" s="317">
        <f>All!Q480</f>
        <v>0</v>
      </c>
      <c r="L10" s="317">
        <f>All!R480</f>
        <v>1</v>
      </c>
      <c r="M10" s="317">
        <f>All!S480</f>
        <v>0</v>
      </c>
      <c r="N10" s="317">
        <f>All!T480</f>
        <v>2</v>
      </c>
      <c r="O10" s="317">
        <f>All!U480</f>
        <v>1</v>
      </c>
      <c r="P10" s="317">
        <f>All!V480</f>
        <v>0</v>
      </c>
      <c r="Q10" s="317">
        <f>All!W480</f>
        <v>2</v>
      </c>
      <c r="R10" s="317">
        <f>All!X480</f>
        <v>2</v>
      </c>
      <c r="S10" s="317">
        <f>All!Y480</f>
        <v>0</v>
      </c>
      <c r="T10" s="317">
        <f>All!Z480</f>
        <v>1</v>
      </c>
      <c r="U10" s="317">
        <f>All!AA480</f>
        <v>1</v>
      </c>
      <c r="V10" s="317">
        <f>All!AB480</f>
        <v>1</v>
      </c>
      <c r="W10" s="198">
        <f>SUM(B10:V10)</f>
        <v>18</v>
      </c>
    </row>
    <row r="11" spans="1:26">
      <c r="A11" s="310" t="s">
        <v>1702</v>
      </c>
      <c r="B11" s="311">
        <f>B6+1</f>
        <v>105</v>
      </c>
      <c r="C11" s="311">
        <f>B11</f>
        <v>105</v>
      </c>
      <c r="D11" s="311">
        <f t="shared" ref="D11:V11" si="4">C11</f>
        <v>105</v>
      </c>
      <c r="E11" s="311">
        <f t="shared" si="4"/>
        <v>105</v>
      </c>
      <c r="F11" s="311">
        <f t="shared" si="4"/>
        <v>105</v>
      </c>
      <c r="G11" s="311">
        <f t="shared" si="4"/>
        <v>105</v>
      </c>
      <c r="H11" s="311">
        <f t="shared" si="4"/>
        <v>105</v>
      </c>
      <c r="I11" s="311">
        <f t="shared" si="4"/>
        <v>105</v>
      </c>
      <c r="J11" s="311">
        <f t="shared" si="4"/>
        <v>105</v>
      </c>
      <c r="K11" s="311">
        <f t="shared" si="4"/>
        <v>105</v>
      </c>
      <c r="L11" s="311">
        <f t="shared" si="4"/>
        <v>105</v>
      </c>
      <c r="M11" s="311">
        <f t="shared" si="4"/>
        <v>105</v>
      </c>
      <c r="N11" s="311">
        <f t="shared" si="4"/>
        <v>105</v>
      </c>
      <c r="O11" s="311">
        <f t="shared" si="4"/>
        <v>105</v>
      </c>
      <c r="P11" s="311">
        <f t="shared" si="4"/>
        <v>105</v>
      </c>
      <c r="Q11" s="311">
        <f t="shared" si="4"/>
        <v>105</v>
      </c>
      <c r="R11" s="311">
        <f t="shared" si="4"/>
        <v>105</v>
      </c>
      <c r="S11" s="311">
        <f t="shared" si="4"/>
        <v>105</v>
      </c>
      <c r="T11" s="311">
        <f t="shared" si="4"/>
        <v>105</v>
      </c>
      <c r="U11" s="311">
        <f t="shared" si="4"/>
        <v>105</v>
      </c>
      <c r="V11" s="312">
        <f t="shared" si="4"/>
        <v>105</v>
      </c>
    </row>
    <row r="12" spans="1:26">
      <c r="A12" s="313" t="s">
        <v>1737</v>
      </c>
      <c r="B12" s="291">
        <v>10</v>
      </c>
      <c r="C12" s="291">
        <f>B12+1</f>
        <v>11</v>
      </c>
      <c r="D12" s="291">
        <f t="shared" ref="D12:V12" si="5">C12+1</f>
        <v>12</v>
      </c>
      <c r="E12" s="291">
        <f t="shared" si="5"/>
        <v>13</v>
      </c>
      <c r="F12" s="291">
        <f t="shared" si="5"/>
        <v>14</v>
      </c>
      <c r="G12" s="291">
        <f t="shared" si="5"/>
        <v>15</v>
      </c>
      <c r="H12" s="291">
        <f t="shared" si="5"/>
        <v>16</v>
      </c>
      <c r="I12" s="291">
        <f t="shared" si="5"/>
        <v>17</v>
      </c>
      <c r="J12" s="291">
        <f t="shared" si="5"/>
        <v>18</v>
      </c>
      <c r="K12" s="291">
        <f t="shared" si="5"/>
        <v>19</v>
      </c>
      <c r="L12" s="291">
        <f t="shared" si="5"/>
        <v>20</v>
      </c>
      <c r="M12" s="291">
        <f t="shared" si="5"/>
        <v>21</v>
      </c>
      <c r="N12" s="291">
        <f t="shared" si="5"/>
        <v>22</v>
      </c>
      <c r="O12" s="291">
        <f t="shared" si="5"/>
        <v>23</v>
      </c>
      <c r="P12" s="291">
        <f t="shared" si="5"/>
        <v>24</v>
      </c>
      <c r="Q12" s="291">
        <f t="shared" si="5"/>
        <v>25</v>
      </c>
      <c r="R12" s="291">
        <f t="shared" si="5"/>
        <v>26</v>
      </c>
      <c r="S12" s="291">
        <f t="shared" si="5"/>
        <v>27</v>
      </c>
      <c r="T12" s="291">
        <f t="shared" si="5"/>
        <v>28</v>
      </c>
      <c r="U12" s="291">
        <f t="shared" si="5"/>
        <v>29</v>
      </c>
      <c r="V12" s="314">
        <f t="shared" si="5"/>
        <v>30</v>
      </c>
    </row>
    <row r="13" spans="1:26">
      <c r="A13" s="315" t="s">
        <v>1738</v>
      </c>
      <c r="B13" s="291"/>
      <c r="C13" s="291"/>
      <c r="D13" s="291"/>
      <c r="E13" s="291"/>
      <c r="F13" s="291"/>
      <c r="G13" s="291"/>
      <c r="H13" s="291"/>
      <c r="I13" s="291"/>
      <c r="J13" s="291"/>
      <c r="K13" s="291"/>
      <c r="L13" s="291"/>
      <c r="M13" s="291"/>
      <c r="N13" s="291"/>
      <c r="O13" s="291"/>
      <c r="P13" s="291"/>
      <c r="Q13" s="291"/>
      <c r="R13" s="291"/>
      <c r="S13" s="291"/>
      <c r="T13" s="291"/>
      <c r="U13" s="291"/>
      <c r="V13" s="314"/>
      <c r="W13" s="198">
        <f>SUM(B13:V13)</f>
        <v>0</v>
      </c>
    </row>
    <row r="14" spans="1:26">
      <c r="A14" s="315" t="s">
        <v>1992</v>
      </c>
      <c r="B14" s="291"/>
      <c r="C14" s="291"/>
      <c r="D14" s="291"/>
      <c r="E14" s="291"/>
      <c r="F14" s="291"/>
      <c r="G14" s="291"/>
      <c r="H14" s="291"/>
      <c r="I14" s="291"/>
      <c r="J14" s="291"/>
      <c r="K14" s="291"/>
      <c r="L14" s="291"/>
      <c r="M14" s="291"/>
      <c r="N14" s="291"/>
      <c r="O14" s="291"/>
      <c r="P14" s="291"/>
      <c r="Q14" s="291"/>
      <c r="R14" s="291"/>
      <c r="S14" s="291"/>
      <c r="T14" s="291"/>
      <c r="U14" s="291"/>
      <c r="V14" s="314"/>
      <c r="W14" s="198">
        <f>SUM(B14:V14)</f>
        <v>0</v>
      </c>
    </row>
    <row r="15" spans="1:26" ht="15.75" thickBot="1">
      <c r="A15" s="316" t="s">
        <v>2189</v>
      </c>
      <c r="B15" s="317">
        <f>All!H476</f>
        <v>0</v>
      </c>
      <c r="C15" s="317">
        <f>All!I476</f>
        <v>0</v>
      </c>
      <c r="D15" s="317">
        <f>All!J476</f>
        <v>0</v>
      </c>
      <c r="E15" s="317">
        <f>All!K476</f>
        <v>0</v>
      </c>
      <c r="F15" s="317">
        <f>All!L476</f>
        <v>0</v>
      </c>
      <c r="G15" s="317">
        <f>All!M476</f>
        <v>0</v>
      </c>
      <c r="H15" s="317">
        <f>All!N476</f>
        <v>0</v>
      </c>
      <c r="I15" s="317">
        <f>All!O476</f>
        <v>0</v>
      </c>
      <c r="J15" s="317">
        <f>All!P476</f>
        <v>0</v>
      </c>
      <c r="K15" s="317">
        <f>All!Q476</f>
        <v>0</v>
      </c>
      <c r="L15" s="317">
        <f>All!R476</f>
        <v>0</v>
      </c>
      <c r="M15" s="317">
        <f>All!S476</f>
        <v>0</v>
      </c>
      <c r="N15" s="317">
        <f>All!T476</f>
        <v>0</v>
      </c>
      <c r="O15" s="317">
        <f>All!U476</f>
        <v>0</v>
      </c>
      <c r="P15" s="317">
        <f>All!V476</f>
        <v>0</v>
      </c>
      <c r="Q15" s="317">
        <f>All!W476</f>
        <v>0</v>
      </c>
      <c r="R15" s="317">
        <f>All!X476</f>
        <v>0</v>
      </c>
      <c r="S15" s="317">
        <f>All!Y476</f>
        <v>0</v>
      </c>
      <c r="T15" s="317">
        <f>All!Z476</f>
        <v>0</v>
      </c>
      <c r="U15" s="317">
        <f>All!AA476</f>
        <v>0</v>
      </c>
      <c r="V15" s="317">
        <f>All!AB476</f>
        <v>0</v>
      </c>
      <c r="W15" s="198">
        <f>SUM(B15:V15)</f>
        <v>0</v>
      </c>
    </row>
    <row r="16" spans="1:26">
      <c r="A16" s="310" t="str">
        <f>All!C430</f>
        <v>FES</v>
      </c>
      <c r="B16" s="311">
        <f>B11+1</f>
        <v>106</v>
      </c>
      <c r="C16" s="311">
        <f>B16</f>
        <v>106</v>
      </c>
      <c r="D16" s="311">
        <f t="shared" ref="D16:V16" si="6">C16</f>
        <v>106</v>
      </c>
      <c r="E16" s="311">
        <f t="shared" si="6"/>
        <v>106</v>
      </c>
      <c r="F16" s="311">
        <f t="shared" si="6"/>
        <v>106</v>
      </c>
      <c r="G16" s="311">
        <f t="shared" si="6"/>
        <v>106</v>
      </c>
      <c r="H16" s="311">
        <f t="shared" si="6"/>
        <v>106</v>
      </c>
      <c r="I16" s="311">
        <f t="shared" si="6"/>
        <v>106</v>
      </c>
      <c r="J16" s="311">
        <f t="shared" si="6"/>
        <v>106</v>
      </c>
      <c r="K16" s="311">
        <f t="shared" si="6"/>
        <v>106</v>
      </c>
      <c r="L16" s="311">
        <f t="shared" si="6"/>
        <v>106</v>
      </c>
      <c r="M16" s="311">
        <f t="shared" si="6"/>
        <v>106</v>
      </c>
      <c r="N16" s="311">
        <f t="shared" si="6"/>
        <v>106</v>
      </c>
      <c r="O16" s="311">
        <f t="shared" si="6"/>
        <v>106</v>
      </c>
      <c r="P16" s="311">
        <f t="shared" si="6"/>
        <v>106</v>
      </c>
      <c r="Q16" s="311">
        <f t="shared" si="6"/>
        <v>106</v>
      </c>
      <c r="R16" s="311">
        <f t="shared" si="6"/>
        <v>106</v>
      </c>
      <c r="S16" s="311">
        <f t="shared" si="6"/>
        <v>106</v>
      </c>
      <c r="T16" s="311">
        <f t="shared" si="6"/>
        <v>106</v>
      </c>
      <c r="U16" s="311">
        <f t="shared" si="6"/>
        <v>106</v>
      </c>
      <c r="V16" s="312">
        <f t="shared" si="6"/>
        <v>106</v>
      </c>
    </row>
    <row r="17" spans="1:23">
      <c r="A17" s="313" t="s">
        <v>1737</v>
      </c>
      <c r="B17" s="291">
        <v>10</v>
      </c>
      <c r="C17" s="291">
        <f>B17+1</f>
        <v>11</v>
      </c>
      <c r="D17" s="291">
        <f t="shared" ref="D17:V17" si="7">C17+1</f>
        <v>12</v>
      </c>
      <c r="E17" s="291">
        <f t="shared" si="7"/>
        <v>13</v>
      </c>
      <c r="F17" s="291">
        <f t="shared" si="7"/>
        <v>14</v>
      </c>
      <c r="G17" s="291">
        <f t="shared" si="7"/>
        <v>15</v>
      </c>
      <c r="H17" s="291">
        <f t="shared" si="7"/>
        <v>16</v>
      </c>
      <c r="I17" s="291">
        <f t="shared" si="7"/>
        <v>17</v>
      </c>
      <c r="J17" s="291">
        <f t="shared" si="7"/>
        <v>18</v>
      </c>
      <c r="K17" s="291">
        <f t="shared" si="7"/>
        <v>19</v>
      </c>
      <c r="L17" s="291">
        <f t="shared" si="7"/>
        <v>20</v>
      </c>
      <c r="M17" s="291">
        <f t="shared" si="7"/>
        <v>21</v>
      </c>
      <c r="N17" s="291">
        <f t="shared" si="7"/>
        <v>22</v>
      </c>
      <c r="O17" s="291">
        <f t="shared" si="7"/>
        <v>23</v>
      </c>
      <c r="P17" s="291">
        <f t="shared" si="7"/>
        <v>24</v>
      </c>
      <c r="Q17" s="291">
        <f t="shared" si="7"/>
        <v>25</v>
      </c>
      <c r="R17" s="291">
        <f t="shared" si="7"/>
        <v>26</v>
      </c>
      <c r="S17" s="291">
        <f t="shared" si="7"/>
        <v>27</v>
      </c>
      <c r="T17" s="291">
        <f t="shared" si="7"/>
        <v>28</v>
      </c>
      <c r="U17" s="291">
        <f t="shared" si="7"/>
        <v>29</v>
      </c>
      <c r="V17" s="314">
        <f t="shared" si="7"/>
        <v>30</v>
      </c>
    </row>
    <row r="18" spans="1:23">
      <c r="A18" s="315" t="s">
        <v>1738</v>
      </c>
      <c r="B18" s="291">
        <f>All!H430</f>
        <v>23</v>
      </c>
      <c r="C18" s="291">
        <f>All!I430</f>
        <v>6</v>
      </c>
      <c r="D18" s="291">
        <f>All!J430</f>
        <v>24</v>
      </c>
      <c r="E18" s="291">
        <f>All!K430</f>
        <v>32</v>
      </c>
      <c r="F18" s="291">
        <f>All!L430</f>
        <v>30</v>
      </c>
      <c r="G18" s="291">
        <f>All!M430</f>
        <v>54</v>
      </c>
      <c r="H18" s="291">
        <f>All!N430</f>
        <v>26</v>
      </c>
      <c r="I18" s="291">
        <f>All!O430</f>
        <v>14</v>
      </c>
      <c r="J18" s="291">
        <f>All!P430</f>
        <v>19</v>
      </c>
      <c r="K18" s="291">
        <f>All!Q430</f>
        <v>18</v>
      </c>
      <c r="L18" s="291">
        <f>All!R430</f>
        <v>17</v>
      </c>
      <c r="M18" s="291">
        <f>All!S430</f>
        <v>8</v>
      </c>
      <c r="N18" s="291">
        <f>All!T430</f>
        <v>71</v>
      </c>
      <c r="O18" s="291">
        <f>All!U430</f>
        <v>33</v>
      </c>
      <c r="P18" s="291">
        <f>All!V430</f>
        <v>19</v>
      </c>
      <c r="Q18" s="291">
        <f>All!W430</f>
        <v>24</v>
      </c>
      <c r="R18" s="291">
        <f>All!X430</f>
        <v>20</v>
      </c>
      <c r="S18" s="291">
        <f>All!Y430</f>
        <v>34</v>
      </c>
      <c r="T18" s="291">
        <f>All!Z430</f>
        <v>38</v>
      </c>
      <c r="U18" s="291">
        <f>All!AA430</f>
        <v>53</v>
      </c>
      <c r="V18" s="314">
        <f>All!AB430</f>
        <v>32</v>
      </c>
      <c r="W18" s="198">
        <f>SUM(B18:V18)</f>
        <v>595</v>
      </c>
    </row>
    <row r="19" spans="1:23">
      <c r="A19" s="315" t="s">
        <v>1992</v>
      </c>
      <c r="B19" s="291">
        <f>All!H455</f>
        <v>21</v>
      </c>
      <c r="C19" s="291">
        <f>All!I455</f>
        <v>6</v>
      </c>
      <c r="D19" s="291">
        <f>All!J455</f>
        <v>21</v>
      </c>
      <c r="E19" s="291">
        <f>All!K455</f>
        <v>23</v>
      </c>
      <c r="F19" s="291">
        <f>All!L455</f>
        <v>17</v>
      </c>
      <c r="G19" s="291">
        <f>All!M455</f>
        <v>41</v>
      </c>
      <c r="H19" s="291">
        <f>All!N455</f>
        <v>22</v>
      </c>
      <c r="I19" s="291">
        <f>All!O455</f>
        <v>11</v>
      </c>
      <c r="J19" s="291">
        <f>All!P455</f>
        <v>19</v>
      </c>
      <c r="K19" s="291">
        <f>All!Q455</f>
        <v>16</v>
      </c>
      <c r="L19" s="291">
        <f>All!R455</f>
        <v>14</v>
      </c>
      <c r="M19" s="291">
        <f>All!S455</f>
        <v>8</v>
      </c>
      <c r="N19" s="291">
        <f>All!T455</f>
        <v>44</v>
      </c>
      <c r="O19" s="291">
        <f>All!U455</f>
        <v>19</v>
      </c>
      <c r="P19" s="291">
        <f>All!V455</f>
        <v>11</v>
      </c>
      <c r="Q19" s="291">
        <f>All!W455</f>
        <v>16</v>
      </c>
      <c r="R19" s="291">
        <f>All!X455</f>
        <v>16</v>
      </c>
      <c r="S19" s="291">
        <f>All!Y455</f>
        <v>23</v>
      </c>
      <c r="T19" s="291">
        <f>All!Z455</f>
        <v>25</v>
      </c>
      <c r="U19" s="291">
        <f>All!AA455</f>
        <v>31</v>
      </c>
      <c r="V19" s="314">
        <f>All!AB455</f>
        <v>19</v>
      </c>
      <c r="W19" s="198">
        <f>SUM(B19:V19)</f>
        <v>423</v>
      </c>
    </row>
    <row r="20" spans="1:23" ht="15.75" thickBot="1">
      <c r="A20" s="316" t="s">
        <v>2189</v>
      </c>
      <c r="B20" s="317">
        <f>All!H483</f>
        <v>18</v>
      </c>
      <c r="C20" s="317">
        <f>All!I483</f>
        <v>6</v>
      </c>
      <c r="D20" s="317">
        <f>All!J483</f>
        <v>16</v>
      </c>
      <c r="E20" s="317">
        <f>All!K483</f>
        <v>8</v>
      </c>
      <c r="F20" s="317">
        <f>All!L483</f>
        <v>7</v>
      </c>
      <c r="G20" s="317">
        <f>All!M483</f>
        <v>19</v>
      </c>
      <c r="H20" s="317">
        <f>All!N483</f>
        <v>13</v>
      </c>
      <c r="I20" s="317">
        <f>All!O483</f>
        <v>8</v>
      </c>
      <c r="J20" s="317">
        <f>All!P483</f>
        <v>9</v>
      </c>
      <c r="K20" s="317">
        <f>All!Q483</f>
        <v>13</v>
      </c>
      <c r="L20" s="317">
        <f>All!R483</f>
        <v>8</v>
      </c>
      <c r="M20" s="317">
        <f>All!S483</f>
        <v>6</v>
      </c>
      <c r="N20" s="317">
        <f>All!T483</f>
        <v>15</v>
      </c>
      <c r="O20" s="317">
        <f>All!U483</f>
        <v>7</v>
      </c>
      <c r="P20" s="317">
        <f>All!V483</f>
        <v>3</v>
      </c>
      <c r="Q20" s="317">
        <f>All!W483</f>
        <v>5</v>
      </c>
      <c r="R20" s="317">
        <f>All!X483</f>
        <v>4</v>
      </c>
      <c r="S20" s="317">
        <f>All!Y483</f>
        <v>5</v>
      </c>
      <c r="T20" s="317">
        <f>All!Z483</f>
        <v>9</v>
      </c>
      <c r="U20" s="317">
        <f>All!AA483</f>
        <v>10</v>
      </c>
      <c r="V20" s="317">
        <f>All!AB483</f>
        <v>5</v>
      </c>
      <c r="W20" s="198">
        <f>SUM(B20:V20)</f>
        <v>194</v>
      </c>
    </row>
    <row r="21" spans="1:23">
      <c r="A21" s="310" t="str">
        <f>All!C440</f>
        <v>SOM</v>
      </c>
      <c r="B21" s="311">
        <f>B16+1</f>
        <v>107</v>
      </c>
      <c r="C21" s="311">
        <f>B21</f>
        <v>107</v>
      </c>
      <c r="D21" s="311">
        <f t="shared" ref="D21:V21" si="8">C21</f>
        <v>107</v>
      </c>
      <c r="E21" s="311">
        <f t="shared" si="8"/>
        <v>107</v>
      </c>
      <c r="F21" s="311">
        <f t="shared" si="8"/>
        <v>107</v>
      </c>
      <c r="G21" s="311">
        <f t="shared" si="8"/>
        <v>107</v>
      </c>
      <c r="H21" s="311">
        <f t="shared" si="8"/>
        <v>107</v>
      </c>
      <c r="I21" s="311">
        <f t="shared" si="8"/>
        <v>107</v>
      </c>
      <c r="J21" s="311">
        <f t="shared" si="8"/>
        <v>107</v>
      </c>
      <c r="K21" s="311">
        <f t="shared" si="8"/>
        <v>107</v>
      </c>
      <c r="L21" s="311">
        <f t="shared" si="8"/>
        <v>107</v>
      </c>
      <c r="M21" s="311">
        <f t="shared" si="8"/>
        <v>107</v>
      </c>
      <c r="N21" s="311">
        <f t="shared" si="8"/>
        <v>107</v>
      </c>
      <c r="O21" s="311">
        <f t="shared" si="8"/>
        <v>107</v>
      </c>
      <c r="P21" s="311">
        <f t="shared" si="8"/>
        <v>107</v>
      </c>
      <c r="Q21" s="311">
        <f t="shared" si="8"/>
        <v>107</v>
      </c>
      <c r="R21" s="311">
        <f t="shared" si="8"/>
        <v>107</v>
      </c>
      <c r="S21" s="311">
        <f t="shared" si="8"/>
        <v>107</v>
      </c>
      <c r="T21" s="311">
        <f t="shared" si="8"/>
        <v>107</v>
      </c>
      <c r="U21" s="311">
        <f t="shared" si="8"/>
        <v>107</v>
      </c>
      <c r="V21" s="312">
        <f t="shared" si="8"/>
        <v>107</v>
      </c>
    </row>
    <row r="22" spans="1:23">
      <c r="A22" s="313" t="s">
        <v>1737</v>
      </c>
      <c r="B22" s="291">
        <v>10</v>
      </c>
      <c r="C22" s="291">
        <f>B22+1</f>
        <v>11</v>
      </c>
      <c r="D22" s="291">
        <f t="shared" ref="D22:V22" si="9">C22+1</f>
        <v>12</v>
      </c>
      <c r="E22" s="291">
        <f t="shared" si="9"/>
        <v>13</v>
      </c>
      <c r="F22" s="291">
        <f t="shared" si="9"/>
        <v>14</v>
      </c>
      <c r="G22" s="291">
        <f t="shared" si="9"/>
        <v>15</v>
      </c>
      <c r="H22" s="291">
        <f t="shared" si="9"/>
        <v>16</v>
      </c>
      <c r="I22" s="291">
        <f t="shared" si="9"/>
        <v>17</v>
      </c>
      <c r="J22" s="291">
        <f t="shared" si="9"/>
        <v>18</v>
      </c>
      <c r="K22" s="291">
        <f t="shared" si="9"/>
        <v>19</v>
      </c>
      <c r="L22" s="291">
        <f t="shared" si="9"/>
        <v>20</v>
      </c>
      <c r="M22" s="291">
        <f t="shared" si="9"/>
        <v>21</v>
      </c>
      <c r="N22" s="291">
        <f t="shared" si="9"/>
        <v>22</v>
      </c>
      <c r="O22" s="291">
        <f t="shared" si="9"/>
        <v>23</v>
      </c>
      <c r="P22" s="291">
        <f t="shared" si="9"/>
        <v>24</v>
      </c>
      <c r="Q22" s="291">
        <f t="shared" si="9"/>
        <v>25</v>
      </c>
      <c r="R22" s="291">
        <f t="shared" si="9"/>
        <v>26</v>
      </c>
      <c r="S22" s="291">
        <f t="shared" si="9"/>
        <v>27</v>
      </c>
      <c r="T22" s="291">
        <f t="shared" si="9"/>
        <v>28</v>
      </c>
      <c r="U22" s="291">
        <f t="shared" si="9"/>
        <v>29</v>
      </c>
      <c r="V22" s="314">
        <f t="shared" si="9"/>
        <v>30</v>
      </c>
    </row>
    <row r="23" spans="1:23">
      <c r="A23" s="315" t="s">
        <v>1738</v>
      </c>
      <c r="B23" s="291">
        <f>All!H440</f>
        <v>23</v>
      </c>
      <c r="C23" s="291">
        <f>All!I440</f>
        <v>21</v>
      </c>
      <c r="D23" s="291">
        <f>All!J440</f>
        <v>22</v>
      </c>
      <c r="E23" s="291">
        <f>All!K440</f>
        <v>4</v>
      </c>
      <c r="F23" s="291">
        <f>All!L440</f>
        <v>6</v>
      </c>
      <c r="G23" s="291">
        <f>All!M440</f>
        <v>5</v>
      </c>
      <c r="H23" s="291">
        <f>All!N440</f>
        <v>3</v>
      </c>
      <c r="I23" s="291">
        <f>All!O440</f>
        <v>0</v>
      </c>
      <c r="J23" s="291">
        <f>All!P440</f>
        <v>1</v>
      </c>
      <c r="K23" s="291">
        <f>All!Q440</f>
        <v>10</v>
      </c>
      <c r="L23" s="291">
        <f>All!R440</f>
        <v>5</v>
      </c>
      <c r="M23" s="291">
        <f>All!S440</f>
        <v>4</v>
      </c>
      <c r="N23" s="291">
        <f>All!T440</f>
        <v>2</v>
      </c>
      <c r="O23" s="291">
        <f>All!U440</f>
        <v>11</v>
      </c>
      <c r="P23" s="291">
        <f>All!V440</f>
        <v>0</v>
      </c>
      <c r="Q23" s="291">
        <f>All!W440</f>
        <v>0</v>
      </c>
      <c r="R23" s="291">
        <f>All!X440</f>
        <v>0</v>
      </c>
      <c r="S23" s="291">
        <f>All!Y440</f>
        <v>0</v>
      </c>
      <c r="T23" s="291">
        <f>All!Z440</f>
        <v>0</v>
      </c>
      <c r="U23" s="291">
        <f>All!AA440</f>
        <v>0</v>
      </c>
      <c r="V23" s="314">
        <f>All!AB440</f>
        <v>0</v>
      </c>
      <c r="W23" s="198">
        <f>SUM(B23:V23)</f>
        <v>117</v>
      </c>
    </row>
    <row r="24" spans="1:23">
      <c r="A24" s="315" t="s">
        <v>1992</v>
      </c>
      <c r="B24" s="291">
        <f>All!H465</f>
        <v>5</v>
      </c>
      <c r="C24" s="291">
        <f>All!I465</f>
        <v>12</v>
      </c>
      <c r="D24" s="291">
        <f>All!J465</f>
        <v>7</v>
      </c>
      <c r="E24" s="291">
        <f>All!K465</f>
        <v>4</v>
      </c>
      <c r="F24" s="291">
        <f>All!L465</f>
        <v>4</v>
      </c>
      <c r="G24" s="291">
        <f>All!M465</f>
        <v>1</v>
      </c>
      <c r="H24" s="291">
        <f>All!N465</f>
        <v>1</v>
      </c>
      <c r="I24" s="291">
        <f>All!O465</f>
        <v>0</v>
      </c>
      <c r="J24" s="291">
        <f>All!P465</f>
        <v>0</v>
      </c>
      <c r="K24" s="291">
        <f>All!Q465</f>
        <v>8</v>
      </c>
      <c r="L24" s="291">
        <f>All!R465</f>
        <v>5</v>
      </c>
      <c r="M24" s="291">
        <f>All!S465</f>
        <v>0</v>
      </c>
      <c r="N24" s="291">
        <f>All!T465</f>
        <v>2</v>
      </c>
      <c r="O24" s="291">
        <f>All!U465</f>
        <v>8</v>
      </c>
      <c r="P24" s="291">
        <f>All!V465</f>
        <v>0</v>
      </c>
      <c r="Q24" s="291">
        <f>All!W465</f>
        <v>0</v>
      </c>
      <c r="R24" s="291">
        <f>All!X465</f>
        <v>0</v>
      </c>
      <c r="S24" s="291">
        <f>All!Y465</f>
        <v>0</v>
      </c>
      <c r="T24" s="291">
        <f>All!Z465</f>
        <v>0</v>
      </c>
      <c r="U24" s="291">
        <f>All!AA465</f>
        <v>0</v>
      </c>
      <c r="V24" s="314">
        <f>All!AB465</f>
        <v>0</v>
      </c>
      <c r="W24" s="198">
        <f>SUM(B24:V24)</f>
        <v>57</v>
      </c>
    </row>
    <row r="25" spans="1:23" ht="15.75" thickBot="1">
      <c r="A25" s="316" t="s">
        <v>2189</v>
      </c>
      <c r="B25" s="317">
        <f>All!H493</f>
        <v>4</v>
      </c>
      <c r="C25" s="317">
        <f>All!I493</f>
        <v>7</v>
      </c>
      <c r="D25" s="317">
        <f>All!J493</f>
        <v>5</v>
      </c>
      <c r="E25" s="317">
        <f>All!K493</f>
        <v>4</v>
      </c>
      <c r="F25" s="317">
        <f>All!L493</f>
        <v>3</v>
      </c>
      <c r="G25" s="317">
        <f>All!M493</f>
        <v>1</v>
      </c>
      <c r="H25" s="317">
        <f>All!N493</f>
        <v>1</v>
      </c>
      <c r="I25" s="317">
        <f>All!O493</f>
        <v>0</v>
      </c>
      <c r="J25" s="317">
        <f>All!P493</f>
        <v>0</v>
      </c>
      <c r="K25" s="317">
        <f>All!Q493</f>
        <v>6</v>
      </c>
      <c r="L25" s="317">
        <f>All!R493</f>
        <v>4</v>
      </c>
      <c r="M25" s="317">
        <f>All!S493</f>
        <v>0</v>
      </c>
      <c r="N25" s="317">
        <f>All!T493</f>
        <v>2</v>
      </c>
      <c r="O25" s="317">
        <f>All!U493</f>
        <v>5</v>
      </c>
      <c r="P25" s="317">
        <f>All!V493</f>
        <v>0</v>
      </c>
      <c r="Q25" s="317">
        <f>All!W493</f>
        <v>0</v>
      </c>
      <c r="R25" s="317">
        <f>All!X493</f>
        <v>0</v>
      </c>
      <c r="S25" s="317">
        <f>All!Y493</f>
        <v>0</v>
      </c>
      <c r="T25" s="317">
        <f>All!Z493</f>
        <v>0</v>
      </c>
      <c r="U25" s="317">
        <f>All!AA493</f>
        <v>0</v>
      </c>
      <c r="V25" s="317">
        <f>All!AB493</f>
        <v>0</v>
      </c>
      <c r="W25" s="198">
        <f>SUM(B25:V25)</f>
        <v>42</v>
      </c>
    </row>
    <row r="26" spans="1:23">
      <c r="A26" s="310" t="s">
        <v>2019</v>
      </c>
      <c r="B26" s="311">
        <f>B21+1</f>
        <v>108</v>
      </c>
      <c r="C26" s="311">
        <f>B26</f>
        <v>108</v>
      </c>
      <c r="D26" s="311">
        <f t="shared" ref="D26:V26" si="10">C26</f>
        <v>108</v>
      </c>
      <c r="E26" s="311">
        <f t="shared" si="10"/>
        <v>108</v>
      </c>
      <c r="F26" s="311">
        <f t="shared" si="10"/>
        <v>108</v>
      </c>
      <c r="G26" s="311">
        <f t="shared" si="10"/>
        <v>108</v>
      </c>
      <c r="H26" s="311">
        <f t="shared" si="10"/>
        <v>108</v>
      </c>
      <c r="I26" s="311">
        <f t="shared" si="10"/>
        <v>108</v>
      </c>
      <c r="J26" s="311">
        <f t="shared" si="10"/>
        <v>108</v>
      </c>
      <c r="K26" s="311">
        <f t="shared" si="10"/>
        <v>108</v>
      </c>
      <c r="L26" s="311">
        <f t="shared" si="10"/>
        <v>108</v>
      </c>
      <c r="M26" s="311">
        <f t="shared" si="10"/>
        <v>108</v>
      </c>
      <c r="N26" s="311">
        <f t="shared" si="10"/>
        <v>108</v>
      </c>
      <c r="O26" s="311">
        <f t="shared" si="10"/>
        <v>108</v>
      </c>
      <c r="P26" s="311">
        <f t="shared" si="10"/>
        <v>108</v>
      </c>
      <c r="Q26" s="311">
        <f t="shared" si="10"/>
        <v>108</v>
      </c>
      <c r="R26" s="311">
        <f t="shared" si="10"/>
        <v>108</v>
      </c>
      <c r="S26" s="311">
        <f t="shared" si="10"/>
        <v>108</v>
      </c>
      <c r="T26" s="311">
        <f t="shared" si="10"/>
        <v>108</v>
      </c>
      <c r="U26" s="311">
        <f t="shared" si="10"/>
        <v>108</v>
      </c>
      <c r="V26" s="312">
        <f t="shared" si="10"/>
        <v>108</v>
      </c>
      <c r="W26" s="119"/>
    </row>
    <row r="27" spans="1:23">
      <c r="A27" s="313" t="s">
        <v>1737</v>
      </c>
      <c r="B27" s="291">
        <v>10</v>
      </c>
      <c r="C27" s="291">
        <f>B27+1</f>
        <v>11</v>
      </c>
      <c r="D27" s="291">
        <f t="shared" ref="D27:V27" si="11">C27+1</f>
        <v>12</v>
      </c>
      <c r="E27" s="291">
        <f t="shared" si="11"/>
        <v>13</v>
      </c>
      <c r="F27" s="291">
        <f t="shared" si="11"/>
        <v>14</v>
      </c>
      <c r="G27" s="291">
        <f t="shared" si="11"/>
        <v>15</v>
      </c>
      <c r="H27" s="291">
        <f t="shared" si="11"/>
        <v>16</v>
      </c>
      <c r="I27" s="291">
        <f t="shared" si="11"/>
        <v>17</v>
      </c>
      <c r="J27" s="291">
        <f t="shared" si="11"/>
        <v>18</v>
      </c>
      <c r="K27" s="291">
        <f t="shared" si="11"/>
        <v>19</v>
      </c>
      <c r="L27" s="291">
        <f t="shared" si="11"/>
        <v>20</v>
      </c>
      <c r="M27" s="291">
        <f t="shared" si="11"/>
        <v>21</v>
      </c>
      <c r="N27" s="291">
        <f t="shared" si="11"/>
        <v>22</v>
      </c>
      <c r="O27" s="291">
        <f t="shared" si="11"/>
        <v>23</v>
      </c>
      <c r="P27" s="291">
        <f t="shared" si="11"/>
        <v>24</v>
      </c>
      <c r="Q27" s="291">
        <f t="shared" si="11"/>
        <v>25</v>
      </c>
      <c r="R27" s="291">
        <f t="shared" si="11"/>
        <v>26</v>
      </c>
      <c r="S27" s="291">
        <f t="shared" si="11"/>
        <v>27</v>
      </c>
      <c r="T27" s="291">
        <f t="shared" si="11"/>
        <v>28</v>
      </c>
      <c r="U27" s="291">
        <f t="shared" si="11"/>
        <v>29</v>
      </c>
      <c r="V27" s="314">
        <f t="shared" si="11"/>
        <v>30</v>
      </c>
      <c r="W27" s="119"/>
    </row>
    <row r="28" spans="1:23">
      <c r="A28" s="315" t="s">
        <v>1738</v>
      </c>
      <c r="B28" s="291">
        <f>'bub All'!B91</f>
        <v>6</v>
      </c>
      <c r="C28" s="291">
        <f>'bub All'!C91</f>
        <v>4</v>
      </c>
      <c r="D28" s="291">
        <f>'bub All'!D91</f>
        <v>6</v>
      </c>
      <c r="E28" s="291">
        <f>'bub All'!E91</f>
        <v>24</v>
      </c>
      <c r="F28" s="291">
        <f>'bub All'!F91</f>
        <v>25</v>
      </c>
      <c r="G28" s="291">
        <f>'bub All'!G91</f>
        <v>47</v>
      </c>
      <c r="H28" s="291">
        <f>'bub All'!H91</f>
        <v>8</v>
      </c>
      <c r="I28" s="291">
        <f>'bub All'!I91</f>
        <v>22</v>
      </c>
      <c r="J28" s="291">
        <f>'bub All'!J91</f>
        <v>18</v>
      </c>
      <c r="K28" s="291">
        <f>'bub All'!K91</f>
        <v>5</v>
      </c>
      <c r="L28" s="291">
        <f>'bub All'!L91</f>
        <v>24</v>
      </c>
      <c r="M28" s="291">
        <f>'bub All'!M91</f>
        <v>12</v>
      </c>
      <c r="N28" s="291">
        <f>'bub All'!N91</f>
        <v>24</v>
      </c>
      <c r="O28" s="291">
        <f>'bub All'!O91</f>
        <v>45</v>
      </c>
      <c r="P28" s="291">
        <f>'bub All'!P91</f>
        <v>15</v>
      </c>
      <c r="Q28" s="291">
        <f>'bub All'!Q91</f>
        <v>21</v>
      </c>
      <c r="R28" s="291">
        <f>'bub All'!R91</f>
        <v>17</v>
      </c>
      <c r="S28" s="291">
        <f>'bub All'!S91</f>
        <v>18</v>
      </c>
      <c r="T28" s="291">
        <f>'bub All'!T91</f>
        <v>23</v>
      </c>
      <c r="U28" s="291">
        <f>'bub All'!U91</f>
        <v>16</v>
      </c>
      <c r="V28" s="314">
        <f>'bub All'!V91</f>
        <v>3</v>
      </c>
      <c r="W28" s="198">
        <f>SUM(B28:V28)</f>
        <v>383</v>
      </c>
    </row>
    <row r="29" spans="1:23">
      <c r="A29" s="315" t="s">
        <v>1992</v>
      </c>
      <c r="B29" s="291">
        <f>'bub All'!B92</f>
        <v>3</v>
      </c>
      <c r="C29" s="291">
        <f>'bub All'!C92</f>
        <v>1</v>
      </c>
      <c r="D29" s="291">
        <f>'bub All'!D92</f>
        <v>3</v>
      </c>
      <c r="E29" s="291">
        <f>'bub All'!E92</f>
        <v>10</v>
      </c>
      <c r="F29" s="291">
        <f>'bub All'!F92</f>
        <v>4</v>
      </c>
      <c r="G29" s="291">
        <f>'bub All'!G92</f>
        <v>8</v>
      </c>
      <c r="H29" s="291">
        <f>'bub All'!H92</f>
        <v>3</v>
      </c>
      <c r="I29" s="291">
        <f>'bub All'!I92</f>
        <v>6</v>
      </c>
      <c r="J29" s="291">
        <f>'bub All'!J92</f>
        <v>6</v>
      </c>
      <c r="K29" s="291">
        <f>'bub All'!K92</f>
        <v>3</v>
      </c>
      <c r="L29" s="291">
        <f>'bub All'!L92</f>
        <v>10</v>
      </c>
      <c r="M29" s="291">
        <f>'bub All'!M92</f>
        <v>6</v>
      </c>
      <c r="N29" s="291">
        <f>'bub All'!N92</f>
        <v>7</v>
      </c>
      <c r="O29" s="291">
        <f>'bub All'!O92</f>
        <v>6</v>
      </c>
      <c r="P29" s="291">
        <f>'bub All'!P92</f>
        <v>8</v>
      </c>
      <c r="Q29" s="291">
        <f>'bub All'!Q92</f>
        <v>10</v>
      </c>
      <c r="R29" s="291">
        <f>'bub All'!R92</f>
        <v>8</v>
      </c>
      <c r="S29" s="291">
        <f>'bub All'!S92</f>
        <v>6</v>
      </c>
      <c r="T29" s="291">
        <f>'bub All'!T92</f>
        <v>10</v>
      </c>
      <c r="U29" s="291">
        <f>'bub All'!U92</f>
        <v>3</v>
      </c>
      <c r="V29" s="314">
        <f>'bub All'!V92</f>
        <v>2</v>
      </c>
      <c r="W29" s="198">
        <f>SUM(B29:V29)</f>
        <v>123</v>
      </c>
    </row>
    <row r="30" spans="1:23" ht="15.75" thickBot="1">
      <c r="A30" s="316" t="s">
        <v>2189</v>
      </c>
      <c r="B30" s="318">
        <f>All!H496-All!H476-All!H481-All!H483-All!H480-All!H493</f>
        <v>1</v>
      </c>
      <c r="C30" s="318">
        <f>All!I496-All!I476-All!I481-All!I483-All!I480-All!I493</f>
        <v>1</v>
      </c>
      <c r="D30" s="318">
        <f>All!J496-All!J476-All!J481-All!J483-All!J480-All!J493</f>
        <v>0</v>
      </c>
      <c r="E30" s="318">
        <f>All!K496-All!K476-All!K481-All!K483-All!K480-All!K493</f>
        <v>0</v>
      </c>
      <c r="F30" s="318">
        <f>All!L496-All!L476-All!L481-All!L483-All!L480-All!L493</f>
        <v>0</v>
      </c>
      <c r="G30" s="318">
        <f>All!M496-All!M476-All!M481-All!M483-All!M480-All!M493</f>
        <v>1</v>
      </c>
      <c r="H30" s="318">
        <f>All!N496-All!N476-All!N481-All!N483-All!N480-All!N493</f>
        <v>0</v>
      </c>
      <c r="I30" s="318">
        <f>All!O496-All!O476-All!O481-All!O483-All!O480-All!O493</f>
        <v>0</v>
      </c>
      <c r="J30" s="318">
        <f>All!P496-All!P476-All!P481-All!P483-All!P480-All!P493</f>
        <v>0</v>
      </c>
      <c r="K30" s="318">
        <f>All!Q496-All!Q476-All!Q481-All!Q483-All!Q480-All!Q493</f>
        <v>1</v>
      </c>
      <c r="L30" s="318">
        <f>All!R496-All!R476-All!R481-All!R483-All!R480-All!R493</f>
        <v>0</v>
      </c>
      <c r="M30" s="318">
        <f>All!S496-All!S476-All!S481-All!S483-All!S480-All!S493</f>
        <v>0</v>
      </c>
      <c r="N30" s="318">
        <f>All!T496-All!T476-All!T481-All!T483-All!T480-All!T493</f>
        <v>0</v>
      </c>
      <c r="O30" s="318">
        <f>All!U496-All!U476-All!U481-All!U483-All!U480-All!U493</f>
        <v>0</v>
      </c>
      <c r="P30" s="318">
        <f>All!V496-All!V476-All!V481-All!V483-All!V480-All!V493</f>
        <v>0</v>
      </c>
      <c r="Q30" s="318">
        <f>All!W496-All!W476-All!W481-All!W483-All!W480-All!W493</f>
        <v>0</v>
      </c>
      <c r="R30" s="318">
        <f>All!X496-All!X476-All!X481-All!X483-All!X480-All!X493</f>
        <v>0</v>
      </c>
      <c r="S30" s="318">
        <f>All!Y496-All!Y476-All!Y481-All!Y483-All!Y480-All!Y493</f>
        <v>0</v>
      </c>
      <c r="T30" s="318">
        <f>All!Z496-All!Z476-All!Z481-All!Z483-All!Z480-All!Z493</f>
        <v>0</v>
      </c>
      <c r="U30" s="318">
        <f>All!AA496-All!AA476-All!AA481-All!AA483-All!AA480-All!AA493</f>
        <v>0</v>
      </c>
      <c r="V30" s="318">
        <f>All!AB496-All!AB476-All!AB481-All!AB483-All!AB480-All!AB493</f>
        <v>0</v>
      </c>
      <c r="W30" s="198">
        <f>SUM(B30:V30)</f>
        <v>4</v>
      </c>
    </row>
    <row r="31" spans="1:23">
      <c r="A31" s="192"/>
      <c r="B31" s="192"/>
      <c r="C31" s="192"/>
      <c r="D31" s="192"/>
      <c r="E31" s="192"/>
      <c r="F31" s="192"/>
      <c r="G31" s="192"/>
      <c r="H31" s="192"/>
      <c r="I31" s="192"/>
      <c r="J31" s="192"/>
      <c r="K31" s="192"/>
      <c r="L31" s="192"/>
      <c r="M31" s="192"/>
      <c r="N31" s="192"/>
      <c r="O31" s="192"/>
      <c r="P31" s="192"/>
      <c r="Q31" s="192"/>
      <c r="R31" s="192"/>
      <c r="S31" s="192"/>
      <c r="T31" s="192"/>
      <c r="U31" s="192"/>
      <c r="V31" s="192"/>
    </row>
    <row r="32" spans="1:23" ht="63.75" customHeight="1">
      <c r="A32" s="261"/>
      <c r="B32" s="345" t="str">
        <f>All!H419</f>
        <v>Corp.  Env Strat.</v>
      </c>
      <c r="C32" s="345" t="str">
        <f>All!I419</f>
        <v>Soc/Env Vent.</v>
      </c>
      <c r="D32" s="345" t="str">
        <f>All!J419</f>
        <v>Env.Finance</v>
      </c>
      <c r="E32" s="345" t="str">
        <f>All!K419</f>
        <v>Clim. Change</v>
      </c>
      <c r="F32" s="345" t="str">
        <f>All!L419</f>
        <v>Env.Just. &amp; Ethics</v>
      </c>
      <c r="G32" s="345" t="str">
        <f>All!M419</f>
        <v>Env. Policy &amp; Law</v>
      </c>
      <c r="H32" s="345" t="str">
        <f>All!N419</f>
        <v>Env. Econ.</v>
      </c>
      <c r="I32" s="345" t="str">
        <f>All!O419</f>
        <v xml:space="preserve"> EH&amp;S</v>
      </c>
      <c r="J32" s="345" t="str">
        <f>All!P419</f>
        <v>Green Desgn &amp; Build.</v>
      </c>
      <c r="K32" s="345" t="str">
        <f>All!Q419</f>
        <v>CSR</v>
      </c>
      <c r="L32" s="345" t="str">
        <f>All!R419</f>
        <v>Energy</v>
      </c>
      <c r="M32" s="345" t="str">
        <f>All!S419</f>
        <v>Ind. Ecol.</v>
      </c>
      <c r="N32" s="345" t="str">
        <f>All!T419</f>
        <v>NR Managmt</v>
      </c>
      <c r="O32" s="345" t="str">
        <f>All!U419</f>
        <v>Intern. Dev.</v>
      </c>
      <c r="P32" s="345" t="str">
        <f>All!V419</f>
        <v>Env. Chem.</v>
      </c>
      <c r="Q32" s="345" t="str">
        <f>All!W419</f>
        <v>Pollution</v>
      </c>
      <c r="R32" s="361" t="str">
        <f>All!X419</f>
        <v>Air</v>
      </c>
      <c r="S32" s="361" t="str">
        <f>All!Y419</f>
        <v>Soils</v>
      </c>
      <c r="T32" s="361" t="str">
        <f>All!Z419</f>
        <v>Water</v>
      </c>
      <c r="U32" s="361" t="str">
        <f>All!AA419</f>
        <v>Ecosyst.</v>
      </c>
      <c r="V32" s="361" t="str">
        <f>All!AB419</f>
        <v>Forests</v>
      </c>
      <c r="W32" s="345" t="s">
        <v>2016</v>
      </c>
    </row>
    <row r="33" spans="1:23" ht="17.25">
      <c r="A33" s="354" t="str">
        <f>A1</f>
        <v>Engineering</v>
      </c>
      <c r="B33" s="271">
        <f>B5</f>
        <v>1</v>
      </c>
      <c r="C33" s="271">
        <f t="shared" ref="C33:V33" si="12">C5</f>
        <v>0</v>
      </c>
      <c r="D33" s="271">
        <f t="shared" si="12"/>
        <v>0</v>
      </c>
      <c r="E33" s="271">
        <f t="shared" si="12"/>
        <v>1</v>
      </c>
      <c r="F33" s="271">
        <f t="shared" si="12"/>
        <v>0</v>
      </c>
      <c r="G33" s="271">
        <f t="shared" si="12"/>
        <v>0</v>
      </c>
      <c r="H33" s="271">
        <f t="shared" si="12"/>
        <v>0</v>
      </c>
      <c r="I33" s="271">
        <f t="shared" si="12"/>
        <v>2</v>
      </c>
      <c r="J33" s="271">
        <f t="shared" si="12"/>
        <v>0</v>
      </c>
      <c r="K33" s="271">
        <f t="shared" si="12"/>
        <v>0</v>
      </c>
      <c r="L33" s="271">
        <f t="shared" si="12"/>
        <v>0</v>
      </c>
      <c r="M33" s="271">
        <f t="shared" si="12"/>
        <v>1</v>
      </c>
      <c r="N33" s="271">
        <f t="shared" si="12"/>
        <v>1</v>
      </c>
      <c r="O33" s="271">
        <f t="shared" si="12"/>
        <v>0</v>
      </c>
      <c r="P33" s="271">
        <f t="shared" si="12"/>
        <v>1</v>
      </c>
      <c r="Q33" s="271">
        <f t="shared" si="12"/>
        <v>2</v>
      </c>
      <c r="R33" s="355">
        <f t="shared" si="12"/>
        <v>2</v>
      </c>
      <c r="S33" s="355">
        <f t="shared" si="12"/>
        <v>1</v>
      </c>
      <c r="T33" s="355">
        <f t="shared" si="12"/>
        <v>1</v>
      </c>
      <c r="U33" s="355">
        <f t="shared" si="12"/>
        <v>0</v>
      </c>
      <c r="V33" s="355">
        <f t="shared" si="12"/>
        <v>1</v>
      </c>
      <c r="W33" s="356">
        <f t="shared" ref="W33:W39" si="13">SUM(B33:V33)</f>
        <v>14</v>
      </c>
    </row>
    <row r="34" spans="1:23" ht="17.25">
      <c r="A34" s="357" t="str">
        <f>A6</f>
        <v>Economics</v>
      </c>
      <c r="B34" s="271">
        <f>B10</f>
        <v>0</v>
      </c>
      <c r="C34" s="271">
        <f t="shared" ref="C34:V34" si="14">C10</f>
        <v>0</v>
      </c>
      <c r="D34" s="271">
        <f t="shared" si="14"/>
        <v>1</v>
      </c>
      <c r="E34" s="271">
        <f t="shared" si="14"/>
        <v>2</v>
      </c>
      <c r="F34" s="271">
        <f t="shared" si="14"/>
        <v>0</v>
      </c>
      <c r="G34" s="271">
        <f t="shared" si="14"/>
        <v>2</v>
      </c>
      <c r="H34" s="271">
        <f t="shared" si="14"/>
        <v>2</v>
      </c>
      <c r="I34" s="271">
        <f t="shared" si="14"/>
        <v>0</v>
      </c>
      <c r="J34" s="271">
        <f t="shared" si="14"/>
        <v>0</v>
      </c>
      <c r="K34" s="271">
        <f t="shared" si="14"/>
        <v>0</v>
      </c>
      <c r="L34" s="271">
        <f t="shared" si="14"/>
        <v>1</v>
      </c>
      <c r="M34" s="271">
        <f t="shared" si="14"/>
        <v>0</v>
      </c>
      <c r="N34" s="271">
        <f t="shared" si="14"/>
        <v>2</v>
      </c>
      <c r="O34" s="271">
        <f t="shared" si="14"/>
        <v>1</v>
      </c>
      <c r="P34" s="271">
        <f t="shared" si="14"/>
        <v>0</v>
      </c>
      <c r="Q34" s="271">
        <f t="shared" si="14"/>
        <v>2</v>
      </c>
      <c r="R34" s="355">
        <f t="shared" si="14"/>
        <v>2</v>
      </c>
      <c r="S34" s="355">
        <f t="shared" si="14"/>
        <v>0</v>
      </c>
      <c r="T34" s="355">
        <f t="shared" si="14"/>
        <v>1</v>
      </c>
      <c r="U34" s="355">
        <f t="shared" si="14"/>
        <v>1</v>
      </c>
      <c r="V34" s="355">
        <f t="shared" si="14"/>
        <v>1</v>
      </c>
      <c r="W34" s="356">
        <f t="shared" si="13"/>
        <v>18</v>
      </c>
    </row>
    <row r="35" spans="1:23" ht="17.25">
      <c r="A35" s="357" t="str">
        <f>A11</f>
        <v>Architecture</v>
      </c>
      <c r="B35" s="271">
        <f>B15</f>
        <v>0</v>
      </c>
      <c r="C35" s="271">
        <f t="shared" ref="C35:V35" si="15">C15</f>
        <v>0</v>
      </c>
      <c r="D35" s="271">
        <f t="shared" si="15"/>
        <v>0</v>
      </c>
      <c r="E35" s="271">
        <f t="shared" si="15"/>
        <v>0</v>
      </c>
      <c r="F35" s="271">
        <f t="shared" si="15"/>
        <v>0</v>
      </c>
      <c r="G35" s="271">
        <f t="shared" si="15"/>
        <v>0</v>
      </c>
      <c r="H35" s="271">
        <f t="shared" si="15"/>
        <v>0</v>
      </c>
      <c r="I35" s="271">
        <f t="shared" si="15"/>
        <v>0</v>
      </c>
      <c r="J35" s="271">
        <f t="shared" si="15"/>
        <v>0</v>
      </c>
      <c r="K35" s="271">
        <f t="shared" si="15"/>
        <v>0</v>
      </c>
      <c r="L35" s="271">
        <f t="shared" si="15"/>
        <v>0</v>
      </c>
      <c r="M35" s="271">
        <f t="shared" si="15"/>
        <v>0</v>
      </c>
      <c r="N35" s="271">
        <f t="shared" si="15"/>
        <v>0</v>
      </c>
      <c r="O35" s="271">
        <f t="shared" si="15"/>
        <v>0</v>
      </c>
      <c r="P35" s="271">
        <f t="shared" si="15"/>
        <v>0</v>
      </c>
      <c r="Q35" s="271">
        <f t="shared" si="15"/>
        <v>0</v>
      </c>
      <c r="R35" s="355">
        <f t="shared" si="15"/>
        <v>0</v>
      </c>
      <c r="S35" s="355">
        <f t="shared" si="15"/>
        <v>0</v>
      </c>
      <c r="T35" s="355">
        <f t="shared" si="15"/>
        <v>0</v>
      </c>
      <c r="U35" s="355">
        <f t="shared" si="15"/>
        <v>0</v>
      </c>
      <c r="V35" s="355">
        <f t="shared" si="15"/>
        <v>0</v>
      </c>
      <c r="W35" s="356">
        <f t="shared" si="13"/>
        <v>0</v>
      </c>
    </row>
    <row r="36" spans="1:23" ht="17.25">
      <c r="A36" s="357" t="str">
        <f>A16</f>
        <v>FES</v>
      </c>
      <c r="B36" s="271">
        <f>B20</f>
        <v>18</v>
      </c>
      <c r="C36" s="271">
        <f t="shared" ref="C36:V36" si="16">C20</f>
        <v>6</v>
      </c>
      <c r="D36" s="271">
        <f t="shared" si="16"/>
        <v>16</v>
      </c>
      <c r="E36" s="271">
        <f t="shared" si="16"/>
        <v>8</v>
      </c>
      <c r="F36" s="271">
        <f t="shared" si="16"/>
        <v>7</v>
      </c>
      <c r="G36" s="271">
        <f t="shared" si="16"/>
        <v>19</v>
      </c>
      <c r="H36" s="271">
        <f t="shared" si="16"/>
        <v>13</v>
      </c>
      <c r="I36" s="271">
        <f t="shared" si="16"/>
        <v>8</v>
      </c>
      <c r="J36" s="271">
        <f t="shared" si="16"/>
        <v>9</v>
      </c>
      <c r="K36" s="271">
        <f t="shared" si="16"/>
        <v>13</v>
      </c>
      <c r="L36" s="271">
        <f t="shared" si="16"/>
        <v>8</v>
      </c>
      <c r="M36" s="271">
        <f t="shared" si="16"/>
        <v>6</v>
      </c>
      <c r="N36" s="271">
        <f t="shared" si="16"/>
        <v>15</v>
      </c>
      <c r="O36" s="271">
        <f t="shared" si="16"/>
        <v>7</v>
      </c>
      <c r="P36" s="271">
        <f t="shared" si="16"/>
        <v>3</v>
      </c>
      <c r="Q36" s="271">
        <f t="shared" si="16"/>
        <v>5</v>
      </c>
      <c r="R36" s="355">
        <f t="shared" si="16"/>
        <v>4</v>
      </c>
      <c r="S36" s="355">
        <f t="shared" si="16"/>
        <v>5</v>
      </c>
      <c r="T36" s="355">
        <f t="shared" si="16"/>
        <v>9</v>
      </c>
      <c r="U36" s="355">
        <f t="shared" si="16"/>
        <v>10</v>
      </c>
      <c r="V36" s="355">
        <f t="shared" si="16"/>
        <v>5</v>
      </c>
      <c r="W36" s="356">
        <f t="shared" si="13"/>
        <v>194</v>
      </c>
    </row>
    <row r="37" spans="1:23" ht="17.25">
      <c r="A37" s="358" t="str">
        <f>A21</f>
        <v>SOM</v>
      </c>
      <c r="B37" s="291">
        <f>B25</f>
        <v>4</v>
      </c>
      <c r="C37" s="291">
        <f t="shared" ref="C37:V37" si="17">C25</f>
        <v>7</v>
      </c>
      <c r="D37" s="291">
        <f t="shared" si="17"/>
        <v>5</v>
      </c>
      <c r="E37" s="291">
        <f t="shared" si="17"/>
        <v>4</v>
      </c>
      <c r="F37" s="291">
        <f t="shared" si="17"/>
        <v>3</v>
      </c>
      <c r="G37" s="291">
        <f t="shared" si="17"/>
        <v>1</v>
      </c>
      <c r="H37" s="291">
        <f t="shared" si="17"/>
        <v>1</v>
      </c>
      <c r="I37" s="291">
        <f t="shared" si="17"/>
        <v>0</v>
      </c>
      <c r="J37" s="291">
        <f t="shared" si="17"/>
        <v>0</v>
      </c>
      <c r="K37" s="291">
        <f t="shared" si="17"/>
        <v>6</v>
      </c>
      <c r="L37" s="291">
        <f t="shared" si="17"/>
        <v>4</v>
      </c>
      <c r="M37" s="291">
        <f t="shared" si="17"/>
        <v>0</v>
      </c>
      <c r="N37" s="291">
        <f t="shared" si="17"/>
        <v>2</v>
      </c>
      <c r="O37" s="291">
        <f t="shared" si="17"/>
        <v>5</v>
      </c>
      <c r="P37" s="291">
        <f t="shared" si="17"/>
        <v>0</v>
      </c>
      <c r="Q37" s="291">
        <f t="shared" si="17"/>
        <v>0</v>
      </c>
      <c r="R37" s="355">
        <f t="shared" si="17"/>
        <v>0</v>
      </c>
      <c r="S37" s="355">
        <f t="shared" si="17"/>
        <v>0</v>
      </c>
      <c r="T37" s="355">
        <f t="shared" si="17"/>
        <v>0</v>
      </c>
      <c r="U37" s="355">
        <f t="shared" si="17"/>
        <v>0</v>
      </c>
      <c r="V37" s="355">
        <f t="shared" si="17"/>
        <v>0</v>
      </c>
      <c r="W37" s="356">
        <f t="shared" si="13"/>
        <v>42</v>
      </c>
    </row>
    <row r="38" spans="1:23" ht="17.25">
      <c r="A38" s="357" t="str">
        <f>A26</f>
        <v>Other</v>
      </c>
      <c r="B38" s="291">
        <f>B30</f>
        <v>1</v>
      </c>
      <c r="C38" s="291">
        <f t="shared" ref="C38:V38" si="18">C30</f>
        <v>1</v>
      </c>
      <c r="D38" s="291">
        <f t="shared" si="18"/>
        <v>0</v>
      </c>
      <c r="E38" s="291">
        <f t="shared" si="18"/>
        <v>0</v>
      </c>
      <c r="F38" s="291">
        <f t="shared" si="18"/>
        <v>0</v>
      </c>
      <c r="G38" s="291">
        <f t="shared" si="18"/>
        <v>1</v>
      </c>
      <c r="H38" s="291">
        <f t="shared" si="18"/>
        <v>0</v>
      </c>
      <c r="I38" s="291">
        <f t="shared" si="18"/>
        <v>0</v>
      </c>
      <c r="J38" s="291">
        <f t="shared" si="18"/>
        <v>0</v>
      </c>
      <c r="K38" s="291">
        <f t="shared" si="18"/>
        <v>1</v>
      </c>
      <c r="L38" s="291">
        <f t="shared" si="18"/>
        <v>0</v>
      </c>
      <c r="M38" s="291">
        <f t="shared" si="18"/>
        <v>0</v>
      </c>
      <c r="N38" s="291">
        <f t="shared" si="18"/>
        <v>0</v>
      </c>
      <c r="O38" s="291">
        <f t="shared" si="18"/>
        <v>0</v>
      </c>
      <c r="P38" s="291">
        <f t="shared" si="18"/>
        <v>0</v>
      </c>
      <c r="Q38" s="291">
        <f t="shared" si="18"/>
        <v>0</v>
      </c>
      <c r="R38" s="355">
        <f t="shared" si="18"/>
        <v>0</v>
      </c>
      <c r="S38" s="355">
        <f t="shared" si="18"/>
        <v>0</v>
      </c>
      <c r="T38" s="355">
        <f t="shared" si="18"/>
        <v>0</v>
      </c>
      <c r="U38" s="355">
        <f t="shared" si="18"/>
        <v>0</v>
      </c>
      <c r="V38" s="355">
        <f t="shared" si="18"/>
        <v>0</v>
      </c>
      <c r="W38" s="356">
        <f t="shared" si="13"/>
        <v>4</v>
      </c>
    </row>
    <row r="39" spans="1:23">
      <c r="A39" s="359" t="s">
        <v>2016</v>
      </c>
      <c r="B39" s="359">
        <f>SUM(B33:B38)</f>
        <v>24</v>
      </c>
      <c r="C39" s="359">
        <f t="shared" ref="C39:V39" si="19">SUM(C33:C38)</f>
        <v>14</v>
      </c>
      <c r="D39" s="359">
        <f t="shared" si="19"/>
        <v>22</v>
      </c>
      <c r="E39" s="359">
        <f t="shared" si="19"/>
        <v>15</v>
      </c>
      <c r="F39" s="359">
        <f t="shared" si="19"/>
        <v>10</v>
      </c>
      <c r="G39" s="359">
        <f t="shared" si="19"/>
        <v>23</v>
      </c>
      <c r="H39" s="359">
        <f t="shared" si="19"/>
        <v>16</v>
      </c>
      <c r="I39" s="359">
        <f t="shared" si="19"/>
        <v>10</v>
      </c>
      <c r="J39" s="359">
        <f t="shared" si="19"/>
        <v>9</v>
      </c>
      <c r="K39" s="359">
        <f t="shared" si="19"/>
        <v>20</v>
      </c>
      <c r="L39" s="359">
        <f t="shared" si="19"/>
        <v>13</v>
      </c>
      <c r="M39" s="359">
        <f t="shared" si="19"/>
        <v>7</v>
      </c>
      <c r="N39" s="359">
        <f t="shared" si="19"/>
        <v>20</v>
      </c>
      <c r="O39" s="359">
        <f t="shared" si="19"/>
        <v>13</v>
      </c>
      <c r="P39" s="359">
        <f t="shared" si="19"/>
        <v>4</v>
      </c>
      <c r="Q39" s="359">
        <f t="shared" si="19"/>
        <v>9</v>
      </c>
      <c r="R39" s="360">
        <f t="shared" si="19"/>
        <v>8</v>
      </c>
      <c r="S39" s="360">
        <f t="shared" si="19"/>
        <v>6</v>
      </c>
      <c r="T39" s="360">
        <f t="shared" si="19"/>
        <v>11</v>
      </c>
      <c r="U39" s="360">
        <f t="shared" si="19"/>
        <v>11</v>
      </c>
      <c r="V39" s="360">
        <f t="shared" si="19"/>
        <v>7</v>
      </c>
      <c r="W39" s="356">
        <f t="shared" si="13"/>
        <v>272</v>
      </c>
    </row>
    <row r="40" spans="1:23">
      <c r="A40" s="192"/>
      <c r="B40" s="189"/>
      <c r="C40" s="189"/>
      <c r="D40" s="189"/>
      <c r="E40" s="189"/>
      <c r="F40" s="189"/>
      <c r="G40" s="189"/>
      <c r="H40" s="189"/>
      <c r="I40" s="189"/>
      <c r="J40" s="189"/>
      <c r="K40" s="189"/>
      <c r="L40" s="189"/>
      <c r="M40" s="189"/>
      <c r="N40" s="189"/>
      <c r="O40" s="189"/>
      <c r="P40" s="189"/>
      <c r="Q40" s="189"/>
      <c r="R40" s="189"/>
      <c r="S40" s="189"/>
      <c r="T40" s="189"/>
      <c r="U40" s="189"/>
      <c r="V40" s="189"/>
      <c r="W40" s="119"/>
    </row>
    <row r="41" spans="1:23">
      <c r="A41" s="192"/>
      <c r="B41" s="189"/>
      <c r="C41" s="189"/>
      <c r="D41" s="189"/>
      <c r="E41" s="189"/>
      <c r="F41" s="189"/>
      <c r="G41" s="189"/>
      <c r="H41" s="189"/>
      <c r="I41" s="189"/>
      <c r="J41" s="189"/>
      <c r="K41" s="189"/>
      <c r="L41" s="189"/>
      <c r="M41" s="189"/>
      <c r="N41" s="189"/>
      <c r="O41" s="189"/>
      <c r="P41" s="189"/>
      <c r="Q41" s="189"/>
      <c r="R41" s="189"/>
      <c r="S41" s="189"/>
      <c r="T41" s="189"/>
      <c r="U41" s="189"/>
      <c r="V41" s="189"/>
      <c r="W41" s="119"/>
    </row>
    <row r="42" spans="1:23">
      <c r="A42" s="119"/>
      <c r="B42" s="119"/>
      <c r="C42" s="119"/>
      <c r="D42" s="119"/>
      <c r="E42" s="119"/>
      <c r="F42" s="119"/>
      <c r="G42" s="119"/>
      <c r="H42" s="119"/>
      <c r="I42" s="119"/>
      <c r="J42" s="119"/>
      <c r="K42" s="119"/>
      <c r="L42" s="119"/>
      <c r="M42" s="119"/>
      <c r="N42" s="119"/>
      <c r="O42" s="119"/>
      <c r="P42" s="119"/>
      <c r="Q42" s="119"/>
      <c r="R42" s="119"/>
      <c r="S42" s="119"/>
      <c r="T42" s="119"/>
      <c r="U42" s="119"/>
      <c r="V42" s="119"/>
      <c r="W42" s="119"/>
    </row>
    <row r="43" spans="1:23">
      <c r="A43" s="192"/>
      <c r="B43" s="189"/>
      <c r="C43" s="189"/>
      <c r="D43" s="189"/>
      <c r="E43" s="189"/>
      <c r="F43" s="189"/>
      <c r="G43" s="189"/>
      <c r="H43" s="189"/>
      <c r="I43" s="189"/>
      <c r="J43" s="189"/>
      <c r="K43" s="189"/>
      <c r="L43" s="189"/>
      <c r="M43" s="189"/>
      <c r="N43" s="189"/>
      <c r="O43" s="189"/>
      <c r="P43" s="189"/>
      <c r="Q43" s="189"/>
      <c r="R43" s="189"/>
      <c r="S43" s="189"/>
      <c r="T43" s="189"/>
      <c r="U43" s="189"/>
      <c r="V43" s="189"/>
      <c r="W43" s="119"/>
    </row>
    <row r="44" spans="1:23">
      <c r="A44" s="192"/>
      <c r="B44" s="189"/>
      <c r="C44" s="189"/>
      <c r="D44" s="189"/>
      <c r="E44" s="189"/>
      <c r="F44" s="189"/>
      <c r="G44" s="189"/>
      <c r="H44" s="189"/>
      <c r="I44" s="189"/>
      <c r="J44" s="189"/>
      <c r="K44" s="189"/>
      <c r="L44" s="189"/>
      <c r="M44" s="189"/>
      <c r="N44" s="189"/>
      <c r="O44" s="189"/>
      <c r="P44" s="189"/>
      <c r="Q44" s="189"/>
      <c r="R44" s="189"/>
      <c r="S44" s="189"/>
      <c r="T44" s="189"/>
      <c r="U44" s="189"/>
      <c r="V44" s="189"/>
      <c r="W44" s="119"/>
    </row>
    <row r="45" spans="1:23">
      <c r="A45" s="119"/>
      <c r="B45" s="119"/>
      <c r="C45" s="119"/>
      <c r="D45" s="119"/>
      <c r="E45" s="119"/>
      <c r="F45" s="119"/>
      <c r="G45" s="119"/>
      <c r="H45" s="119"/>
      <c r="I45" s="119"/>
      <c r="J45" s="119"/>
      <c r="K45" s="119"/>
      <c r="L45" s="119"/>
      <c r="M45" s="119"/>
      <c r="N45" s="119"/>
      <c r="O45" s="119"/>
      <c r="P45" s="119"/>
      <c r="Q45" s="119"/>
      <c r="R45" s="119"/>
      <c r="S45" s="119"/>
      <c r="T45" s="119"/>
      <c r="U45" s="119"/>
      <c r="V45" s="119"/>
      <c r="W45" s="119"/>
    </row>
    <row r="46" spans="1:23">
      <c r="A46" s="192"/>
      <c r="B46" s="189"/>
      <c r="C46" s="189"/>
      <c r="D46" s="189"/>
      <c r="E46" s="189"/>
      <c r="F46" s="189"/>
      <c r="G46" s="189"/>
      <c r="H46" s="189"/>
      <c r="I46" s="189"/>
      <c r="J46" s="189"/>
      <c r="K46" s="189"/>
      <c r="L46" s="189"/>
      <c r="M46" s="189"/>
      <c r="N46" s="189"/>
      <c r="O46" s="189"/>
      <c r="P46" s="189"/>
      <c r="Q46" s="189"/>
      <c r="R46" s="189"/>
      <c r="S46" s="189"/>
      <c r="T46" s="189"/>
      <c r="U46" s="189"/>
      <c r="V46" s="189"/>
      <c r="W46" s="119"/>
    </row>
    <row r="47" spans="1:23">
      <c r="A47" s="192"/>
      <c r="B47" s="189"/>
      <c r="C47" s="189"/>
      <c r="D47" s="189"/>
      <c r="E47" s="189"/>
      <c r="F47" s="189"/>
      <c r="G47" s="189"/>
      <c r="H47" s="189"/>
      <c r="I47" s="189"/>
      <c r="J47" s="189"/>
      <c r="K47" s="189"/>
      <c r="L47" s="189"/>
      <c r="M47" s="189"/>
      <c r="N47" s="189"/>
      <c r="O47" s="189"/>
      <c r="P47" s="189"/>
      <c r="Q47" s="189"/>
      <c r="R47" s="189"/>
      <c r="S47" s="189"/>
      <c r="T47" s="189"/>
      <c r="U47" s="189"/>
      <c r="V47" s="189"/>
      <c r="W47" s="119"/>
    </row>
    <row r="48" spans="1:23">
      <c r="A48" s="119"/>
      <c r="B48" s="119"/>
      <c r="C48" s="119"/>
      <c r="D48" s="119"/>
      <c r="E48" s="119"/>
      <c r="F48" s="119"/>
      <c r="G48" s="119"/>
      <c r="H48" s="119"/>
      <c r="I48" s="119"/>
      <c r="J48" s="119"/>
      <c r="K48" s="119"/>
      <c r="L48" s="119"/>
      <c r="M48" s="119"/>
      <c r="N48" s="119"/>
      <c r="O48" s="119"/>
      <c r="P48" s="119"/>
      <c r="Q48" s="119"/>
      <c r="R48" s="119"/>
      <c r="S48" s="119"/>
      <c r="T48" s="119"/>
      <c r="U48" s="119"/>
      <c r="V48" s="119"/>
      <c r="W48" s="119"/>
    </row>
    <row r="49" spans="1:23">
      <c r="A49" s="192"/>
      <c r="B49" s="189"/>
      <c r="C49" s="189"/>
      <c r="D49" s="189"/>
      <c r="E49" s="189"/>
      <c r="F49" s="189"/>
      <c r="G49" s="189"/>
      <c r="H49" s="189"/>
      <c r="I49" s="189"/>
      <c r="J49" s="189"/>
      <c r="K49" s="189"/>
      <c r="L49" s="189"/>
      <c r="M49" s="189"/>
      <c r="N49" s="189"/>
      <c r="O49" s="189"/>
      <c r="P49" s="189"/>
      <c r="Q49" s="189"/>
      <c r="R49" s="189"/>
      <c r="S49" s="189"/>
      <c r="T49" s="189"/>
      <c r="U49" s="189"/>
      <c r="V49" s="189"/>
      <c r="W49" s="119"/>
    </row>
    <row r="50" spans="1:23">
      <c r="A50" s="192"/>
      <c r="B50" s="189"/>
      <c r="C50" s="189"/>
      <c r="D50" s="189"/>
      <c r="E50" s="189"/>
      <c r="F50" s="189"/>
      <c r="G50" s="189"/>
      <c r="H50" s="189"/>
      <c r="I50" s="189"/>
      <c r="J50" s="189"/>
      <c r="K50" s="189"/>
      <c r="L50" s="189"/>
      <c r="M50" s="189"/>
      <c r="N50" s="189"/>
      <c r="O50" s="189"/>
      <c r="P50" s="189"/>
      <c r="Q50" s="189"/>
      <c r="R50" s="189"/>
      <c r="S50" s="189"/>
      <c r="T50" s="189"/>
      <c r="U50" s="189"/>
      <c r="V50" s="189"/>
      <c r="W50" s="119"/>
    </row>
    <row r="51" spans="1:23">
      <c r="A51" s="119"/>
      <c r="B51" s="119"/>
      <c r="C51" s="119"/>
      <c r="D51" s="119"/>
      <c r="E51" s="119"/>
      <c r="F51" s="119"/>
      <c r="G51" s="119"/>
      <c r="H51" s="119"/>
      <c r="I51" s="119"/>
      <c r="J51" s="119"/>
      <c r="K51" s="119"/>
      <c r="L51" s="119"/>
      <c r="M51" s="119"/>
      <c r="N51" s="119"/>
      <c r="O51" s="119"/>
      <c r="P51" s="119"/>
      <c r="Q51" s="119"/>
      <c r="R51" s="119"/>
      <c r="S51" s="119"/>
      <c r="T51" s="119"/>
      <c r="U51" s="119"/>
      <c r="V51" s="119"/>
      <c r="W51" s="119"/>
    </row>
    <row r="52" spans="1:23">
      <c r="A52" s="192"/>
      <c r="B52" s="189"/>
      <c r="C52" s="189"/>
      <c r="D52" s="189"/>
      <c r="E52" s="189"/>
      <c r="F52" s="189"/>
      <c r="G52" s="189"/>
      <c r="H52" s="189"/>
      <c r="I52" s="189"/>
      <c r="J52" s="189"/>
      <c r="K52" s="189"/>
      <c r="L52" s="189"/>
      <c r="M52" s="189"/>
      <c r="N52" s="189"/>
      <c r="O52" s="189"/>
      <c r="P52" s="189"/>
      <c r="Q52" s="189"/>
      <c r="R52" s="189"/>
      <c r="S52" s="189"/>
      <c r="T52" s="189"/>
      <c r="U52" s="189"/>
      <c r="V52" s="189"/>
      <c r="W52" s="119"/>
    </row>
    <row r="53" spans="1:23">
      <c r="A53" s="192"/>
      <c r="B53" s="189"/>
      <c r="C53" s="189"/>
      <c r="D53" s="189"/>
      <c r="E53" s="189"/>
      <c r="F53" s="189"/>
      <c r="G53" s="189"/>
      <c r="H53" s="189"/>
      <c r="I53" s="189"/>
      <c r="J53" s="189"/>
      <c r="K53" s="189"/>
      <c r="L53" s="189"/>
      <c r="M53" s="189"/>
      <c r="N53" s="189"/>
      <c r="O53" s="189"/>
      <c r="P53" s="189"/>
      <c r="Q53" s="189"/>
      <c r="R53" s="189"/>
      <c r="S53" s="189"/>
      <c r="T53" s="189"/>
      <c r="U53" s="189"/>
      <c r="V53" s="189"/>
      <c r="W53" s="119"/>
    </row>
    <row r="54" spans="1:23">
      <c r="A54" s="119"/>
      <c r="B54" s="119"/>
      <c r="C54" s="119"/>
      <c r="D54" s="119"/>
      <c r="E54" s="119"/>
      <c r="F54" s="119"/>
      <c r="G54" s="119"/>
      <c r="H54" s="119"/>
      <c r="I54" s="119"/>
      <c r="J54" s="119"/>
      <c r="K54" s="119"/>
      <c r="L54" s="119"/>
      <c r="M54" s="119"/>
      <c r="N54" s="119"/>
      <c r="O54" s="119"/>
      <c r="P54" s="119"/>
      <c r="Q54" s="119"/>
      <c r="R54" s="119"/>
      <c r="S54" s="119"/>
      <c r="T54" s="119"/>
      <c r="U54" s="119"/>
      <c r="V54" s="119"/>
      <c r="W54" s="119"/>
    </row>
    <row r="55" spans="1:23">
      <c r="A55" s="192"/>
      <c r="B55" s="189"/>
      <c r="C55" s="189"/>
      <c r="D55" s="189"/>
      <c r="E55" s="189"/>
      <c r="F55" s="189"/>
      <c r="G55" s="189"/>
      <c r="H55" s="189"/>
      <c r="I55" s="189"/>
      <c r="J55" s="189"/>
      <c r="K55" s="189"/>
      <c r="L55" s="189"/>
      <c r="M55" s="189"/>
      <c r="N55" s="189"/>
      <c r="O55" s="189"/>
      <c r="P55" s="189"/>
      <c r="Q55" s="189"/>
      <c r="R55" s="189"/>
      <c r="S55" s="189"/>
      <c r="T55" s="189"/>
      <c r="U55" s="189"/>
      <c r="V55" s="189"/>
      <c r="W55" s="119"/>
    </row>
    <row r="56" spans="1:23">
      <c r="A56" s="192"/>
      <c r="B56" s="189"/>
      <c r="C56" s="189"/>
      <c r="D56" s="189"/>
      <c r="E56" s="189"/>
      <c r="F56" s="189"/>
      <c r="G56" s="189"/>
      <c r="H56" s="189"/>
      <c r="I56" s="189"/>
      <c r="J56" s="189"/>
      <c r="K56" s="189"/>
      <c r="L56" s="189"/>
      <c r="M56" s="189"/>
      <c r="N56" s="189"/>
      <c r="O56" s="189"/>
      <c r="P56" s="189"/>
      <c r="Q56" s="189"/>
      <c r="R56" s="189"/>
      <c r="S56" s="189"/>
      <c r="T56" s="189"/>
      <c r="U56" s="189"/>
      <c r="V56" s="189"/>
      <c r="W56" s="119"/>
    </row>
    <row r="57" spans="1:23">
      <c r="A57" s="119"/>
      <c r="B57" s="119"/>
      <c r="C57" s="119"/>
      <c r="D57" s="119"/>
      <c r="E57" s="119"/>
      <c r="F57" s="119"/>
      <c r="G57" s="119"/>
      <c r="H57" s="119"/>
      <c r="I57" s="119"/>
      <c r="J57" s="119"/>
      <c r="K57" s="119"/>
      <c r="L57" s="119"/>
      <c r="M57" s="119"/>
      <c r="N57" s="119"/>
      <c r="O57" s="119"/>
      <c r="P57" s="119"/>
      <c r="Q57" s="119"/>
      <c r="R57" s="119"/>
      <c r="S57" s="119"/>
      <c r="T57" s="119"/>
      <c r="U57" s="119"/>
      <c r="V57" s="119"/>
      <c r="W57" s="119"/>
    </row>
    <row r="58" spans="1:23">
      <c r="A58" s="192"/>
      <c r="B58" s="189"/>
      <c r="C58" s="189"/>
      <c r="D58" s="189"/>
      <c r="E58" s="189"/>
      <c r="F58" s="189"/>
      <c r="G58" s="189"/>
      <c r="H58" s="189"/>
      <c r="I58" s="189"/>
      <c r="J58" s="189"/>
      <c r="K58" s="189"/>
      <c r="L58" s="189"/>
      <c r="M58" s="189"/>
      <c r="N58" s="189"/>
      <c r="O58" s="189"/>
      <c r="P58" s="189"/>
      <c r="Q58" s="189"/>
      <c r="R58" s="189"/>
      <c r="S58" s="189"/>
      <c r="T58" s="189"/>
      <c r="U58" s="189"/>
      <c r="V58" s="189"/>
      <c r="W58" s="119"/>
    </row>
    <row r="59" spans="1:23">
      <c r="A59" s="192"/>
      <c r="B59" s="189"/>
      <c r="C59" s="189"/>
      <c r="D59" s="189"/>
      <c r="E59" s="189"/>
      <c r="F59" s="189"/>
      <c r="G59" s="189"/>
      <c r="H59" s="189"/>
      <c r="I59" s="189"/>
      <c r="J59" s="189"/>
      <c r="K59" s="189"/>
      <c r="L59" s="189"/>
      <c r="M59" s="189"/>
      <c r="N59" s="189"/>
      <c r="O59" s="189"/>
      <c r="P59" s="189"/>
      <c r="Q59" s="189"/>
      <c r="R59" s="189"/>
      <c r="S59" s="189"/>
      <c r="T59" s="189"/>
      <c r="U59" s="189"/>
      <c r="V59" s="189"/>
      <c r="W59" s="119"/>
    </row>
    <row r="60" spans="1:23">
      <c r="A60" s="119"/>
      <c r="B60" s="119"/>
      <c r="C60" s="119"/>
      <c r="D60" s="119"/>
      <c r="E60" s="119"/>
      <c r="F60" s="119"/>
      <c r="G60" s="119"/>
      <c r="H60" s="119"/>
      <c r="I60" s="119"/>
      <c r="J60" s="119"/>
      <c r="K60" s="119"/>
      <c r="L60" s="119"/>
      <c r="M60" s="119"/>
      <c r="N60" s="119"/>
      <c r="O60" s="119"/>
      <c r="P60" s="119"/>
      <c r="Q60" s="119"/>
      <c r="R60" s="119"/>
      <c r="S60" s="119"/>
      <c r="T60" s="119"/>
      <c r="U60" s="119"/>
      <c r="V60" s="119"/>
      <c r="W60" s="119"/>
    </row>
    <row r="61" spans="1:23">
      <c r="A61" s="192"/>
      <c r="B61" s="189"/>
      <c r="C61" s="189"/>
      <c r="D61" s="189"/>
      <c r="E61" s="189"/>
      <c r="F61" s="189"/>
      <c r="G61" s="189"/>
      <c r="H61" s="189"/>
      <c r="I61" s="189"/>
      <c r="J61" s="189"/>
      <c r="K61" s="189"/>
      <c r="L61" s="189"/>
      <c r="M61" s="189"/>
      <c r="N61" s="189"/>
      <c r="O61" s="189"/>
      <c r="P61" s="189"/>
      <c r="Q61" s="189"/>
      <c r="R61" s="189"/>
      <c r="S61" s="189"/>
      <c r="T61" s="189"/>
      <c r="U61" s="189"/>
      <c r="V61" s="189"/>
      <c r="W61" s="119"/>
    </row>
    <row r="62" spans="1:23">
      <c r="A62" s="119"/>
      <c r="B62" s="119"/>
      <c r="C62" s="119"/>
      <c r="D62" s="119"/>
      <c r="E62" s="119"/>
      <c r="F62" s="119"/>
      <c r="G62" s="119"/>
      <c r="H62" s="119"/>
      <c r="I62" s="119"/>
      <c r="J62" s="119"/>
      <c r="K62" s="119"/>
      <c r="L62" s="119"/>
      <c r="M62" s="119"/>
      <c r="N62" s="119"/>
      <c r="O62" s="119"/>
      <c r="P62" s="119"/>
      <c r="Q62" s="119"/>
      <c r="R62" s="119"/>
      <c r="S62" s="119"/>
      <c r="T62" s="119"/>
      <c r="U62" s="119"/>
      <c r="V62" s="119"/>
      <c r="W62" s="119"/>
    </row>
    <row r="63" spans="1:23">
      <c r="A63" s="119"/>
      <c r="B63" s="119"/>
      <c r="C63" s="119"/>
      <c r="D63" s="119"/>
      <c r="E63" s="119"/>
      <c r="F63" s="119"/>
      <c r="G63" s="119"/>
      <c r="H63" s="119"/>
      <c r="I63" s="119"/>
      <c r="J63" s="119"/>
      <c r="K63" s="119"/>
      <c r="L63" s="119"/>
      <c r="M63" s="119"/>
      <c r="N63" s="119"/>
      <c r="O63" s="119"/>
      <c r="P63" s="119"/>
      <c r="Q63" s="119"/>
      <c r="R63" s="119"/>
      <c r="S63" s="119"/>
      <c r="T63" s="119"/>
      <c r="U63" s="119"/>
      <c r="V63" s="119"/>
      <c r="W63" s="119"/>
    </row>
    <row r="64" spans="1:23">
      <c r="A64" s="119"/>
      <c r="B64" s="119"/>
      <c r="C64" s="119"/>
      <c r="D64" s="119"/>
      <c r="E64" s="119"/>
      <c r="F64" s="119"/>
      <c r="G64" s="119"/>
      <c r="H64" s="119"/>
      <c r="I64" s="119"/>
      <c r="J64" s="119"/>
      <c r="K64" s="119"/>
      <c r="L64" s="119"/>
      <c r="M64" s="119"/>
      <c r="N64" s="119"/>
      <c r="O64" s="119"/>
      <c r="P64" s="119"/>
      <c r="Q64" s="119"/>
      <c r="R64" s="119"/>
      <c r="S64" s="119"/>
      <c r="T64" s="119"/>
      <c r="U64" s="119"/>
      <c r="V64" s="119"/>
      <c r="W64" s="119"/>
    </row>
    <row r="65" spans="1:23">
      <c r="A65" s="119"/>
      <c r="B65" s="119"/>
      <c r="C65" s="119"/>
      <c r="D65" s="119"/>
      <c r="E65" s="119"/>
      <c r="F65" s="119"/>
      <c r="G65" s="119"/>
      <c r="H65" s="119"/>
      <c r="I65" s="119"/>
      <c r="J65" s="119"/>
      <c r="K65" s="119"/>
      <c r="L65" s="119"/>
      <c r="M65" s="119"/>
      <c r="N65" s="119"/>
      <c r="O65" s="119"/>
      <c r="P65" s="119"/>
      <c r="Q65" s="119"/>
      <c r="R65" s="119"/>
      <c r="S65" s="119"/>
      <c r="T65" s="119"/>
      <c r="U65" s="119"/>
      <c r="V65" s="119"/>
      <c r="W65" s="119"/>
    </row>
    <row r="66" spans="1:23">
      <c r="A66" s="119"/>
      <c r="B66" s="119"/>
      <c r="C66" s="119"/>
      <c r="D66" s="119"/>
      <c r="E66" s="119"/>
      <c r="F66" s="119"/>
      <c r="G66" s="119"/>
      <c r="H66" s="119"/>
      <c r="I66" s="119"/>
      <c r="J66" s="119"/>
      <c r="K66" s="119"/>
      <c r="L66" s="119"/>
      <c r="M66" s="119"/>
      <c r="N66" s="119"/>
      <c r="O66" s="119"/>
      <c r="P66" s="119"/>
      <c r="Q66" s="119"/>
      <c r="R66" s="119"/>
      <c r="S66" s="119"/>
      <c r="T66" s="119"/>
      <c r="U66" s="119"/>
      <c r="V66" s="119"/>
      <c r="W66" s="119"/>
    </row>
    <row r="67" spans="1:23">
      <c r="A67" s="119"/>
      <c r="B67" s="119"/>
      <c r="C67" s="119"/>
      <c r="D67" s="119"/>
      <c r="E67" s="119"/>
      <c r="F67" s="119"/>
      <c r="G67" s="119"/>
      <c r="H67" s="119"/>
      <c r="I67" s="119"/>
      <c r="J67" s="119"/>
      <c r="K67" s="119"/>
      <c r="L67" s="119"/>
      <c r="M67" s="119"/>
      <c r="N67" s="119"/>
      <c r="O67" s="119"/>
      <c r="P67" s="119"/>
      <c r="Q67" s="119"/>
      <c r="R67" s="119"/>
      <c r="S67" s="119"/>
      <c r="T67" s="119"/>
      <c r="U67" s="119"/>
      <c r="V67" s="119"/>
      <c r="W67" s="119"/>
    </row>
    <row r="68" spans="1:23">
      <c r="A68" s="119"/>
      <c r="B68" s="119"/>
      <c r="C68" s="119"/>
      <c r="D68" s="119"/>
      <c r="E68" s="119"/>
      <c r="F68" s="119"/>
      <c r="G68" s="119"/>
      <c r="H68" s="119"/>
      <c r="I68" s="119"/>
      <c r="J68" s="119"/>
      <c r="K68" s="119"/>
      <c r="L68" s="119"/>
      <c r="M68" s="119"/>
      <c r="N68" s="119"/>
      <c r="O68" s="119"/>
      <c r="P68" s="119"/>
      <c r="Q68" s="119"/>
      <c r="R68" s="119"/>
      <c r="S68" s="119"/>
      <c r="T68" s="119"/>
      <c r="U68" s="119"/>
      <c r="V68" s="119"/>
      <c r="W68" s="119"/>
    </row>
    <row r="69" spans="1:23" ht="23.25">
      <c r="A69" s="199"/>
      <c r="B69" s="119"/>
      <c r="C69" s="119"/>
      <c r="D69" s="119"/>
      <c r="E69" s="119"/>
      <c r="F69" s="119"/>
      <c r="G69" s="119"/>
      <c r="H69" s="119"/>
      <c r="I69" s="119"/>
      <c r="J69" s="119"/>
      <c r="K69" s="119"/>
      <c r="L69" s="119"/>
      <c r="M69" s="119"/>
      <c r="N69" s="119"/>
      <c r="O69" s="119"/>
      <c r="P69" s="119"/>
      <c r="Q69" s="119"/>
      <c r="R69" s="119"/>
      <c r="S69" s="119"/>
      <c r="T69" s="119"/>
      <c r="U69" s="119"/>
      <c r="V69" s="119"/>
      <c r="W69" s="119"/>
    </row>
    <row r="70" spans="1:23">
      <c r="A70" s="119"/>
      <c r="B70" s="119"/>
      <c r="C70" s="119"/>
      <c r="D70" s="119"/>
      <c r="E70" s="119"/>
      <c r="F70" s="119"/>
      <c r="G70" s="119"/>
      <c r="H70" s="119"/>
      <c r="I70" s="119"/>
      <c r="J70" s="119"/>
      <c r="K70" s="119"/>
      <c r="L70" s="119"/>
      <c r="M70" s="119"/>
      <c r="N70" s="119"/>
      <c r="O70" s="119"/>
      <c r="P70" s="119"/>
      <c r="Q70" s="119"/>
      <c r="R70" s="119"/>
      <c r="S70" s="119"/>
      <c r="T70" s="119"/>
      <c r="U70" s="119"/>
      <c r="V70" s="119"/>
      <c r="W70" s="119"/>
    </row>
    <row r="71" spans="1:23">
      <c r="A71" s="119"/>
      <c r="B71" s="119"/>
      <c r="C71" s="119"/>
      <c r="D71" s="119"/>
      <c r="E71" s="119"/>
      <c r="F71" s="119"/>
      <c r="G71" s="119"/>
      <c r="H71" s="119"/>
      <c r="I71" s="119"/>
      <c r="J71" s="119"/>
      <c r="K71" s="119"/>
      <c r="L71" s="119"/>
      <c r="M71" s="119"/>
      <c r="N71" s="119"/>
      <c r="O71" s="119"/>
      <c r="P71" s="119"/>
      <c r="Q71" s="119"/>
      <c r="R71" s="119"/>
      <c r="S71" s="119"/>
      <c r="T71" s="119"/>
      <c r="U71" s="119"/>
      <c r="V71" s="119"/>
      <c r="W71" s="119"/>
    </row>
    <row r="72" spans="1:23">
      <c r="A72" s="119"/>
      <c r="B72" s="119"/>
      <c r="C72" s="119"/>
      <c r="D72" s="119"/>
      <c r="E72" s="119"/>
      <c r="F72" s="119"/>
      <c r="G72" s="119"/>
      <c r="H72" s="119"/>
      <c r="I72" s="119"/>
      <c r="J72" s="119"/>
      <c r="K72" s="119"/>
      <c r="L72" s="119"/>
      <c r="M72" s="119"/>
      <c r="N72" s="119"/>
      <c r="O72" s="119"/>
      <c r="P72" s="119"/>
      <c r="Q72" s="119"/>
      <c r="R72" s="119"/>
      <c r="S72" s="119"/>
      <c r="T72" s="119"/>
      <c r="U72" s="119"/>
      <c r="V72" s="119"/>
      <c r="W72" s="119"/>
    </row>
    <row r="73" spans="1:23">
      <c r="A73" s="119"/>
      <c r="B73" s="119"/>
      <c r="C73" s="119"/>
      <c r="D73" s="119"/>
      <c r="E73" s="119"/>
      <c r="F73" s="119"/>
      <c r="G73" s="119"/>
      <c r="H73" s="119"/>
      <c r="I73" s="119"/>
      <c r="J73" s="119"/>
      <c r="K73" s="119"/>
      <c r="L73" s="119"/>
      <c r="M73" s="119"/>
      <c r="N73" s="119"/>
      <c r="O73" s="119"/>
      <c r="P73" s="119"/>
      <c r="Q73" s="119"/>
      <c r="R73" s="119"/>
      <c r="S73" s="119"/>
      <c r="T73" s="119"/>
      <c r="U73" s="119"/>
      <c r="V73" s="119"/>
      <c r="W73" s="119"/>
    </row>
    <row r="74" spans="1:23">
      <c r="A74" s="119"/>
      <c r="B74" s="119"/>
      <c r="C74" s="119"/>
      <c r="D74" s="119"/>
      <c r="E74" s="119"/>
      <c r="F74" s="119"/>
      <c r="G74" s="119"/>
      <c r="H74" s="119"/>
      <c r="I74" s="119"/>
      <c r="J74" s="119"/>
      <c r="K74" s="119"/>
      <c r="L74" s="119"/>
      <c r="M74" s="119"/>
      <c r="N74" s="119"/>
      <c r="O74" s="119"/>
      <c r="P74" s="119"/>
      <c r="Q74" s="119"/>
      <c r="R74" s="119"/>
      <c r="S74" s="119"/>
      <c r="T74" s="119"/>
      <c r="U74" s="119"/>
      <c r="V74" s="119"/>
      <c r="W74" s="119"/>
    </row>
    <row r="75" spans="1:23">
      <c r="A75" s="119"/>
      <c r="B75" s="119"/>
      <c r="C75" s="119"/>
      <c r="D75" s="119"/>
      <c r="E75" s="119"/>
      <c r="F75" s="119"/>
      <c r="G75" s="119"/>
      <c r="H75" s="119"/>
      <c r="I75" s="119"/>
      <c r="J75" s="119"/>
      <c r="K75" s="119"/>
      <c r="L75" s="119"/>
      <c r="M75" s="119"/>
      <c r="N75" s="119"/>
      <c r="O75" s="119"/>
      <c r="P75" s="119"/>
      <c r="Q75" s="119"/>
      <c r="R75" s="119"/>
      <c r="S75" s="119"/>
      <c r="T75" s="119"/>
      <c r="U75" s="119"/>
      <c r="V75" s="119"/>
      <c r="W75" s="119"/>
    </row>
    <row r="76" spans="1:23">
      <c r="A76" s="119"/>
      <c r="B76" s="119"/>
      <c r="C76" s="119"/>
      <c r="D76" s="119"/>
      <c r="E76" s="119"/>
      <c r="F76" s="119"/>
      <c r="G76" s="119"/>
      <c r="H76" s="119"/>
      <c r="I76" s="119"/>
      <c r="J76" s="119"/>
      <c r="K76" s="119"/>
      <c r="L76" s="119"/>
      <c r="M76" s="119"/>
      <c r="N76" s="119"/>
      <c r="O76" s="119"/>
      <c r="P76" s="119"/>
      <c r="Q76" s="119"/>
      <c r="R76" s="119"/>
      <c r="S76" s="119"/>
      <c r="T76" s="119"/>
      <c r="U76" s="119"/>
      <c r="V76" s="119"/>
      <c r="W76" s="119"/>
    </row>
    <row r="77" spans="1:23">
      <c r="A77" s="119"/>
      <c r="B77" s="119"/>
      <c r="C77" s="119"/>
      <c r="D77" s="119"/>
      <c r="E77" s="119"/>
      <c r="F77" s="119"/>
      <c r="G77" s="119"/>
      <c r="H77" s="119"/>
      <c r="I77" s="119"/>
      <c r="J77" s="119"/>
      <c r="K77" s="119"/>
      <c r="L77" s="119"/>
      <c r="M77" s="119"/>
      <c r="N77" s="119"/>
      <c r="O77" s="119"/>
      <c r="P77" s="119"/>
      <c r="Q77" s="119"/>
      <c r="R77" s="119"/>
      <c r="S77" s="119"/>
      <c r="T77" s="119"/>
      <c r="U77" s="119"/>
      <c r="V77" s="119"/>
      <c r="W77" s="119"/>
    </row>
    <row r="78" spans="1:23">
      <c r="A78" s="119"/>
      <c r="B78" s="119"/>
      <c r="C78" s="119"/>
      <c r="D78" s="119"/>
      <c r="E78" s="119"/>
      <c r="F78" s="119"/>
      <c r="G78" s="119"/>
      <c r="H78" s="119"/>
      <c r="I78" s="119"/>
      <c r="J78" s="119"/>
      <c r="K78" s="119"/>
      <c r="L78" s="119"/>
      <c r="M78" s="119"/>
      <c r="N78" s="119"/>
      <c r="O78" s="119"/>
      <c r="P78" s="119"/>
      <c r="Q78" s="119"/>
      <c r="R78" s="119"/>
      <c r="S78" s="119"/>
      <c r="T78" s="119"/>
      <c r="U78" s="119"/>
      <c r="V78" s="119"/>
      <c r="W78" s="119"/>
    </row>
    <row r="79" spans="1:23">
      <c r="A79" s="119"/>
      <c r="B79" s="119"/>
      <c r="C79" s="119"/>
      <c r="D79" s="119"/>
      <c r="E79" s="119"/>
      <c r="F79" s="119"/>
      <c r="G79" s="119"/>
      <c r="H79" s="119"/>
      <c r="I79" s="119"/>
      <c r="J79" s="119"/>
      <c r="K79" s="119"/>
      <c r="L79" s="119"/>
      <c r="M79" s="119"/>
      <c r="N79" s="119"/>
      <c r="O79" s="119"/>
      <c r="P79" s="119"/>
      <c r="Q79" s="119"/>
      <c r="R79" s="119"/>
      <c r="S79" s="119"/>
      <c r="T79" s="119"/>
      <c r="U79" s="119"/>
      <c r="V79" s="119"/>
      <c r="W79" s="119"/>
    </row>
    <row r="80" spans="1:23">
      <c r="A80" s="119"/>
      <c r="B80" s="119"/>
      <c r="C80" s="119"/>
      <c r="D80" s="119"/>
      <c r="E80" s="119"/>
      <c r="F80" s="119"/>
      <c r="G80" s="119"/>
      <c r="H80" s="119"/>
      <c r="I80" s="119"/>
      <c r="J80" s="119"/>
      <c r="K80" s="119"/>
      <c r="L80" s="119"/>
      <c r="M80" s="119"/>
      <c r="N80" s="119"/>
      <c r="O80" s="119"/>
      <c r="P80" s="119"/>
      <c r="Q80" s="119"/>
      <c r="R80" s="119"/>
      <c r="S80" s="119"/>
      <c r="T80" s="119"/>
      <c r="U80" s="119"/>
      <c r="V80" s="119"/>
      <c r="W80" s="119"/>
    </row>
    <row r="81" spans="1:23">
      <c r="A81" s="119"/>
      <c r="B81" s="119"/>
      <c r="C81" s="119"/>
      <c r="D81" s="119"/>
      <c r="E81" s="119"/>
      <c r="F81" s="119"/>
      <c r="G81" s="119"/>
      <c r="H81" s="119"/>
      <c r="I81" s="119"/>
      <c r="J81" s="119"/>
      <c r="K81" s="119"/>
      <c r="L81" s="119"/>
      <c r="M81" s="119"/>
      <c r="N81" s="119"/>
      <c r="O81" s="119"/>
      <c r="P81" s="119"/>
      <c r="Q81" s="119"/>
      <c r="R81" s="119"/>
      <c r="S81" s="119"/>
      <c r="T81" s="119"/>
      <c r="U81" s="119"/>
      <c r="V81" s="119"/>
      <c r="W81" s="119"/>
    </row>
    <row r="82" spans="1:23">
      <c r="A82" s="119"/>
      <c r="B82" s="119"/>
      <c r="C82" s="119"/>
      <c r="D82" s="119"/>
      <c r="E82" s="119"/>
      <c r="F82" s="119"/>
      <c r="G82" s="119"/>
      <c r="H82" s="119"/>
      <c r="I82" s="119"/>
      <c r="J82" s="119"/>
      <c r="K82" s="119"/>
      <c r="L82" s="119"/>
      <c r="M82" s="119"/>
      <c r="N82" s="119"/>
      <c r="O82" s="119"/>
      <c r="P82" s="119"/>
      <c r="Q82" s="119"/>
      <c r="R82" s="119"/>
      <c r="S82" s="119"/>
      <c r="T82" s="119"/>
      <c r="U82" s="119"/>
      <c r="V82" s="119"/>
      <c r="W82" s="119"/>
    </row>
    <row r="83" spans="1:23">
      <c r="A83" s="119"/>
      <c r="B83" s="119"/>
      <c r="C83" s="119"/>
      <c r="D83" s="119"/>
      <c r="E83" s="119"/>
      <c r="F83" s="119"/>
      <c r="G83" s="119"/>
      <c r="H83" s="119"/>
      <c r="I83" s="119"/>
      <c r="J83" s="119"/>
      <c r="K83" s="119"/>
      <c r="L83" s="119"/>
      <c r="M83" s="119"/>
      <c r="N83" s="119"/>
      <c r="O83" s="119"/>
      <c r="P83" s="119"/>
      <c r="Q83" s="119"/>
      <c r="R83" s="119"/>
      <c r="S83" s="119"/>
      <c r="T83" s="119"/>
      <c r="U83" s="119"/>
      <c r="V83" s="119"/>
      <c r="W83" s="119"/>
    </row>
    <row r="84" spans="1:23">
      <c r="A84" s="119"/>
      <c r="B84" s="119"/>
      <c r="C84" s="119"/>
      <c r="D84" s="119"/>
      <c r="E84" s="119"/>
      <c r="F84" s="119"/>
      <c r="G84" s="119"/>
      <c r="H84" s="119"/>
      <c r="I84" s="119"/>
      <c r="J84" s="119"/>
      <c r="K84" s="119"/>
      <c r="L84" s="119"/>
      <c r="M84" s="119"/>
      <c r="N84" s="119"/>
      <c r="O84" s="119"/>
      <c r="P84" s="119"/>
      <c r="Q84" s="119"/>
      <c r="R84" s="119"/>
      <c r="S84" s="119"/>
      <c r="T84" s="119"/>
      <c r="U84" s="119"/>
      <c r="V84" s="119"/>
      <c r="W84" s="119"/>
    </row>
    <row r="85" spans="1:23">
      <c r="A85" s="119"/>
      <c r="B85" s="119"/>
      <c r="C85" s="119"/>
      <c r="D85" s="119"/>
      <c r="E85" s="119"/>
      <c r="F85" s="119"/>
      <c r="G85" s="119"/>
      <c r="H85" s="119"/>
      <c r="I85" s="119"/>
      <c r="J85" s="119"/>
      <c r="K85" s="119"/>
      <c r="L85" s="119"/>
      <c r="M85" s="119"/>
      <c r="N85" s="119"/>
      <c r="O85" s="119"/>
      <c r="P85" s="119"/>
      <c r="Q85" s="119"/>
      <c r="R85" s="119"/>
      <c r="S85" s="119"/>
      <c r="T85" s="119"/>
      <c r="U85" s="119"/>
      <c r="V85" s="119"/>
      <c r="W85" s="119"/>
    </row>
    <row r="86" spans="1:23">
      <c r="A86" s="119"/>
      <c r="B86" s="119"/>
      <c r="C86" s="119"/>
      <c r="D86" s="119"/>
      <c r="E86" s="119"/>
      <c r="F86" s="119"/>
      <c r="G86" s="119"/>
      <c r="H86" s="119"/>
      <c r="I86" s="119"/>
      <c r="J86" s="119"/>
      <c r="K86" s="119"/>
      <c r="L86" s="119"/>
      <c r="M86" s="119"/>
      <c r="N86" s="119"/>
      <c r="O86" s="119"/>
      <c r="P86" s="119"/>
      <c r="Q86" s="119"/>
      <c r="R86" s="119"/>
      <c r="S86" s="119"/>
      <c r="T86" s="119"/>
      <c r="U86" s="119"/>
      <c r="V86" s="119"/>
      <c r="W86" s="119"/>
    </row>
    <row r="87" spans="1:23">
      <c r="A87" s="119"/>
      <c r="B87" s="119"/>
      <c r="C87" s="119"/>
      <c r="D87" s="119"/>
      <c r="E87" s="119"/>
      <c r="F87" s="119"/>
      <c r="G87" s="119"/>
      <c r="H87" s="119"/>
      <c r="I87" s="119"/>
      <c r="J87" s="119"/>
      <c r="K87" s="119"/>
      <c r="L87" s="119"/>
      <c r="M87" s="119"/>
      <c r="N87" s="119"/>
      <c r="O87" s="119"/>
      <c r="P87" s="119"/>
      <c r="Q87" s="119"/>
      <c r="R87" s="119"/>
      <c r="S87" s="119"/>
      <c r="T87" s="119"/>
      <c r="U87" s="119"/>
      <c r="V87" s="119"/>
      <c r="W87" s="119"/>
    </row>
    <row r="88" spans="1:23">
      <c r="A88" s="119"/>
      <c r="B88" s="119"/>
      <c r="C88" s="119"/>
      <c r="D88" s="119"/>
      <c r="E88" s="119"/>
      <c r="F88" s="119"/>
      <c r="G88" s="119"/>
      <c r="H88" s="119"/>
      <c r="I88" s="119"/>
      <c r="J88" s="119"/>
      <c r="K88" s="119"/>
      <c r="L88" s="119"/>
      <c r="M88" s="119"/>
      <c r="N88" s="119"/>
      <c r="O88" s="119"/>
      <c r="P88" s="119"/>
      <c r="Q88" s="119"/>
      <c r="R88" s="119"/>
      <c r="S88" s="119"/>
      <c r="T88" s="119"/>
      <c r="U88" s="119"/>
      <c r="V88" s="119"/>
      <c r="W88" s="119"/>
    </row>
    <row r="89" spans="1:23">
      <c r="A89" s="119"/>
      <c r="B89" s="119"/>
      <c r="C89" s="119"/>
      <c r="D89" s="119"/>
      <c r="E89" s="119"/>
      <c r="F89" s="119"/>
      <c r="G89" s="119"/>
      <c r="H89" s="119"/>
      <c r="I89" s="119"/>
      <c r="J89" s="119"/>
      <c r="K89" s="119"/>
      <c r="L89" s="119"/>
      <c r="M89" s="119"/>
      <c r="N89" s="119"/>
      <c r="O89" s="119"/>
      <c r="P89" s="119"/>
      <c r="Q89" s="119"/>
      <c r="R89" s="119"/>
      <c r="S89" s="119"/>
      <c r="T89" s="119"/>
      <c r="U89" s="119"/>
      <c r="V89" s="119"/>
      <c r="W89" s="119"/>
    </row>
    <row r="90" spans="1:23">
      <c r="A90" s="119"/>
      <c r="B90" s="119"/>
      <c r="C90" s="119"/>
      <c r="D90" s="119"/>
      <c r="E90" s="119"/>
      <c r="F90" s="119"/>
      <c r="G90" s="119"/>
      <c r="H90" s="119"/>
      <c r="I90" s="119"/>
      <c r="J90" s="119"/>
      <c r="K90" s="119"/>
      <c r="L90" s="119"/>
      <c r="M90" s="119"/>
      <c r="N90" s="119"/>
      <c r="O90" s="119"/>
      <c r="P90" s="119"/>
      <c r="Q90" s="119"/>
      <c r="R90" s="119"/>
      <c r="S90" s="119"/>
      <c r="T90" s="119"/>
      <c r="U90" s="119"/>
      <c r="V90" s="119"/>
      <c r="W90" s="119"/>
    </row>
    <row r="91" spans="1:23">
      <c r="A91" s="119"/>
      <c r="B91" s="119"/>
      <c r="C91" s="119"/>
      <c r="D91" s="119"/>
      <c r="E91" s="119"/>
      <c r="F91" s="119"/>
      <c r="G91" s="119"/>
      <c r="H91" s="119"/>
      <c r="I91" s="119"/>
      <c r="J91" s="119"/>
      <c r="K91" s="119"/>
      <c r="L91" s="119"/>
      <c r="M91" s="119"/>
      <c r="N91" s="119"/>
      <c r="O91" s="119"/>
      <c r="P91" s="119"/>
      <c r="Q91" s="119"/>
      <c r="R91" s="119"/>
      <c r="S91" s="119"/>
      <c r="T91" s="119"/>
      <c r="U91" s="119"/>
      <c r="V91" s="119"/>
      <c r="W91" s="119"/>
    </row>
    <row r="92" spans="1:23">
      <c r="A92" s="119"/>
      <c r="B92" s="119"/>
      <c r="C92" s="119"/>
      <c r="D92" s="119"/>
      <c r="E92" s="119"/>
      <c r="F92" s="119"/>
      <c r="G92" s="119"/>
      <c r="H92" s="119"/>
      <c r="I92" s="119"/>
      <c r="J92" s="119"/>
      <c r="K92" s="119"/>
      <c r="L92" s="119"/>
      <c r="M92" s="119"/>
      <c r="N92" s="119"/>
      <c r="O92" s="119"/>
      <c r="P92" s="119"/>
      <c r="Q92" s="119"/>
      <c r="R92" s="119"/>
      <c r="S92" s="119"/>
      <c r="T92" s="119"/>
      <c r="U92" s="119"/>
      <c r="V92" s="119"/>
      <c r="W92" s="119"/>
    </row>
    <row r="93" spans="1:23">
      <c r="A93" s="119"/>
      <c r="B93" s="119"/>
      <c r="C93" s="119"/>
      <c r="D93" s="119"/>
      <c r="E93" s="119"/>
      <c r="F93" s="119"/>
      <c r="G93" s="119"/>
      <c r="H93" s="119"/>
      <c r="I93" s="119"/>
      <c r="J93" s="119"/>
      <c r="K93" s="119"/>
      <c r="L93" s="119"/>
      <c r="M93" s="119"/>
      <c r="N93" s="119"/>
      <c r="O93" s="119"/>
      <c r="P93" s="119"/>
      <c r="Q93" s="119"/>
      <c r="R93" s="119"/>
      <c r="S93" s="119"/>
      <c r="T93" s="119"/>
      <c r="U93" s="119"/>
      <c r="V93" s="119"/>
      <c r="W93" s="119"/>
    </row>
    <row r="94" spans="1:23">
      <c r="A94" s="119"/>
      <c r="B94" s="119"/>
      <c r="C94" s="119"/>
      <c r="D94" s="119"/>
      <c r="E94" s="119"/>
      <c r="F94" s="119"/>
      <c r="G94" s="119"/>
      <c r="H94" s="119"/>
      <c r="I94" s="119"/>
      <c r="J94" s="119"/>
      <c r="K94" s="119"/>
      <c r="L94" s="119"/>
      <c r="M94" s="119"/>
      <c r="N94" s="119"/>
      <c r="O94" s="119"/>
      <c r="P94" s="119"/>
      <c r="Q94" s="119"/>
      <c r="R94" s="119"/>
      <c r="S94" s="119"/>
      <c r="T94" s="119"/>
      <c r="U94" s="119"/>
      <c r="V94" s="119"/>
      <c r="W94" s="119"/>
    </row>
    <row r="95" spans="1:23">
      <c r="A95" s="119"/>
      <c r="B95" s="119"/>
      <c r="C95" s="119"/>
      <c r="D95" s="119"/>
      <c r="E95" s="119"/>
      <c r="F95" s="119"/>
      <c r="G95" s="119"/>
      <c r="H95" s="119"/>
      <c r="I95" s="119"/>
      <c r="J95" s="119"/>
      <c r="K95" s="119"/>
      <c r="L95" s="119"/>
      <c r="M95" s="119"/>
      <c r="N95" s="119"/>
      <c r="O95" s="119"/>
      <c r="P95" s="119"/>
      <c r="Q95" s="119"/>
      <c r="R95" s="119"/>
      <c r="S95" s="119"/>
      <c r="T95" s="119"/>
      <c r="U95" s="119"/>
      <c r="V95" s="119"/>
      <c r="W95" s="119"/>
    </row>
    <row r="96" spans="1:23">
      <c r="A96" s="119"/>
      <c r="B96" s="119"/>
      <c r="C96" s="119"/>
      <c r="D96" s="119"/>
      <c r="E96" s="119"/>
      <c r="F96" s="119"/>
      <c r="G96" s="119"/>
      <c r="H96" s="119"/>
      <c r="I96" s="119"/>
      <c r="J96" s="119"/>
      <c r="K96" s="119"/>
      <c r="L96" s="119"/>
      <c r="M96" s="119"/>
      <c r="N96" s="119"/>
      <c r="O96" s="119"/>
      <c r="P96" s="119"/>
      <c r="Q96" s="119"/>
      <c r="R96" s="119"/>
      <c r="S96" s="119"/>
      <c r="T96" s="119"/>
      <c r="U96" s="119"/>
      <c r="V96" s="119"/>
      <c r="W96" s="119"/>
    </row>
    <row r="97" spans="1:23">
      <c r="A97" s="119"/>
      <c r="B97" s="119"/>
      <c r="C97" s="119"/>
      <c r="D97" s="119"/>
      <c r="E97" s="119"/>
      <c r="F97" s="119"/>
      <c r="G97" s="119"/>
      <c r="H97" s="119"/>
      <c r="I97" s="119"/>
      <c r="J97" s="119"/>
      <c r="K97" s="119"/>
      <c r="L97" s="119"/>
      <c r="M97" s="119"/>
      <c r="N97" s="119"/>
      <c r="O97" s="119"/>
      <c r="P97" s="119"/>
      <c r="Q97" s="119"/>
      <c r="R97" s="119"/>
      <c r="S97" s="119"/>
      <c r="T97" s="119"/>
      <c r="U97" s="119"/>
      <c r="V97" s="119"/>
      <c r="W97" s="119"/>
    </row>
    <row r="98" spans="1:23">
      <c r="A98" s="119"/>
      <c r="B98" s="119"/>
      <c r="C98" s="119"/>
      <c r="D98" s="119"/>
      <c r="E98" s="119"/>
      <c r="F98" s="119"/>
      <c r="G98" s="119"/>
      <c r="H98" s="119"/>
      <c r="I98" s="119"/>
      <c r="J98" s="119"/>
      <c r="K98" s="119"/>
      <c r="L98" s="119"/>
      <c r="M98" s="119"/>
      <c r="N98" s="119"/>
      <c r="O98" s="119"/>
      <c r="P98" s="119"/>
      <c r="Q98" s="119"/>
      <c r="R98" s="119"/>
      <c r="S98" s="119"/>
      <c r="T98" s="119"/>
      <c r="U98" s="119"/>
      <c r="V98" s="119"/>
      <c r="W98" s="119"/>
    </row>
    <row r="99" spans="1:23">
      <c r="A99" s="119"/>
      <c r="B99" s="119"/>
      <c r="C99" s="119"/>
      <c r="D99" s="119"/>
      <c r="E99" s="119"/>
      <c r="F99" s="119"/>
      <c r="G99" s="119"/>
      <c r="H99" s="119"/>
      <c r="I99" s="119"/>
      <c r="J99" s="119"/>
      <c r="K99" s="119"/>
      <c r="L99" s="119"/>
      <c r="M99" s="119"/>
      <c r="N99" s="119"/>
      <c r="O99" s="119"/>
      <c r="P99" s="119"/>
      <c r="Q99" s="119"/>
      <c r="R99" s="119"/>
      <c r="S99" s="119"/>
      <c r="T99" s="119"/>
      <c r="U99" s="119"/>
      <c r="V99" s="119"/>
      <c r="W99" s="119"/>
    </row>
    <row r="100" spans="1:23">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row>
    <row r="101" spans="1:23">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row>
    <row r="102" spans="1:23">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row>
    <row r="103" spans="1:23">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row>
    <row r="104" spans="1:23">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row>
    <row r="105" spans="1:23">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row>
    <row r="106" spans="1:23">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row>
    <row r="107" spans="1:23">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row>
    <row r="108" spans="1:23">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row>
    <row r="109" spans="1:23">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row>
    <row r="110" spans="1:23">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row>
    <row r="111" spans="1:23">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row>
    <row r="112" spans="1:23">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row>
    <row r="113" spans="1:23">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row>
    <row r="114" spans="1:23">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row>
    <row r="115" spans="1:23">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row>
    <row r="116" spans="1:23">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row>
    <row r="117" spans="1:23">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row>
    <row r="118" spans="1:23">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row>
    <row r="119" spans="1:23">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row>
    <row r="120" spans="1:23">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row>
    <row r="121" spans="1:23">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row>
    <row r="122" spans="1:23">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row>
    <row r="123" spans="1:23">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row>
    <row r="124" spans="1:23">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row>
    <row r="125" spans="1:23">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row>
    <row r="126" spans="1:23">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row>
  </sheetData>
  <pageMargins left="0.7" right="0.7" top="0.75" bottom="0.75" header="0.3" footer="0.3"/>
  <pageSetup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AL277"/>
  <sheetViews>
    <sheetView workbookViewId="0">
      <pane xSplit="3" ySplit="2" topLeftCell="D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2.42578125" style="1" customWidth="1"/>
    <col min="3" max="3" width="37.42578125" style="1" customWidth="1"/>
    <col min="4" max="6" width="4.7109375" style="1" customWidth="1"/>
    <col min="7" max="7" width="10.14062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2" max="32" width="6.85546875" style="1" customWidth="1"/>
    <col min="33" max="33" width="9.570312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66"/>
      <c r="I1" s="66"/>
      <c r="J1" s="66"/>
      <c r="K1" s="66"/>
      <c r="L1" s="66"/>
      <c r="M1" s="66" t="s">
        <v>3</v>
      </c>
      <c r="N1" s="66"/>
      <c r="O1" s="66"/>
      <c r="P1" s="66"/>
      <c r="Q1" s="66"/>
      <c r="R1" s="66"/>
      <c r="S1" s="66"/>
      <c r="T1" s="66"/>
      <c r="U1" s="66"/>
      <c r="V1" s="66"/>
      <c r="W1" s="66"/>
      <c r="X1" s="67"/>
      <c r="Y1" s="89" t="s">
        <v>1027</v>
      </c>
      <c r="Z1" s="68"/>
      <c r="AA1" s="68"/>
      <c r="AB1" s="69"/>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s="2" customFormat="1" ht="11.25">
      <c r="A3" s="2" t="s">
        <v>737</v>
      </c>
      <c r="B3" s="2" t="s">
        <v>738</v>
      </c>
      <c r="C3" s="2" t="s">
        <v>736</v>
      </c>
      <c r="D3" s="2" t="s">
        <v>739</v>
      </c>
      <c r="E3" s="34"/>
      <c r="F3" s="34"/>
      <c r="G3" s="82">
        <v>1</v>
      </c>
      <c r="H3" s="6"/>
      <c r="I3" s="6"/>
      <c r="J3" s="6"/>
      <c r="K3" s="6"/>
      <c r="L3" s="6"/>
      <c r="M3" s="6"/>
      <c r="N3" s="6" t="s">
        <v>388</v>
      </c>
      <c r="O3" s="6"/>
      <c r="P3" s="6"/>
      <c r="Q3" s="6"/>
      <c r="R3" s="6"/>
      <c r="S3" s="6"/>
      <c r="T3" s="6"/>
      <c r="U3" s="6"/>
      <c r="V3" s="6"/>
      <c r="W3" s="6"/>
      <c r="X3" s="6"/>
      <c r="Y3" s="6"/>
      <c r="Z3" s="6"/>
      <c r="AA3" s="6"/>
      <c r="AB3" s="6"/>
      <c r="AC3" s="12" t="s">
        <v>388</v>
      </c>
      <c r="AD3" s="12"/>
      <c r="AE3" s="85">
        <v>3</v>
      </c>
      <c r="AF3" s="2" t="s">
        <v>641</v>
      </c>
      <c r="AG3" s="2" t="s">
        <v>740</v>
      </c>
      <c r="AJ3" s="21"/>
      <c r="AK3" s="38"/>
    </row>
    <row r="4" spans="1:37" s="2" customFormat="1" ht="11.25">
      <c r="A4" s="2" t="s">
        <v>742</v>
      </c>
      <c r="B4" s="2" t="s">
        <v>745</v>
      </c>
      <c r="C4" s="2" t="s">
        <v>741</v>
      </c>
      <c r="D4" s="2" t="s">
        <v>739</v>
      </c>
      <c r="E4" s="34"/>
      <c r="F4" s="34"/>
      <c r="G4" s="82">
        <v>1</v>
      </c>
      <c r="H4" s="6"/>
      <c r="I4" s="6"/>
      <c r="J4" s="6"/>
      <c r="K4" s="6"/>
      <c r="L4" s="6"/>
      <c r="M4" s="6" t="s">
        <v>388</v>
      </c>
      <c r="N4" s="6" t="s">
        <v>388</v>
      </c>
      <c r="O4" s="6"/>
      <c r="P4" s="6"/>
      <c r="Q4" s="6"/>
      <c r="R4" s="6"/>
      <c r="S4" s="6"/>
      <c r="T4" s="6"/>
      <c r="U4" s="6"/>
      <c r="V4" s="6"/>
      <c r="W4" s="6"/>
      <c r="X4" s="6"/>
      <c r="Y4" s="6"/>
      <c r="Z4" s="6"/>
      <c r="AA4" s="6"/>
      <c r="AB4" s="6"/>
      <c r="AC4" s="12" t="s">
        <v>388</v>
      </c>
      <c r="AD4" s="12"/>
      <c r="AE4" s="85">
        <v>3</v>
      </c>
      <c r="AF4" s="2" t="s">
        <v>746</v>
      </c>
      <c r="AG4" s="2" t="s">
        <v>744</v>
      </c>
      <c r="AJ4" s="21"/>
    </row>
    <row r="5" spans="1:37" s="2" customFormat="1" ht="11.25">
      <c r="A5" s="2" t="s">
        <v>749</v>
      </c>
      <c r="B5" s="2" t="s">
        <v>747</v>
      </c>
      <c r="C5" s="2" t="s">
        <v>748</v>
      </c>
      <c r="D5" s="2" t="s">
        <v>739</v>
      </c>
      <c r="E5" s="34"/>
      <c r="F5" s="34"/>
      <c r="G5" s="82">
        <v>1</v>
      </c>
      <c r="H5" s="6"/>
      <c r="I5" s="6"/>
      <c r="J5" s="6"/>
      <c r="K5" s="6"/>
      <c r="L5" s="6"/>
      <c r="M5" s="6"/>
      <c r="N5" s="6" t="s">
        <v>388</v>
      </c>
      <c r="O5" s="6"/>
      <c r="P5" s="6"/>
      <c r="Q5" s="6"/>
      <c r="R5" s="6"/>
      <c r="S5" s="6"/>
      <c r="T5" s="6"/>
      <c r="U5" s="6"/>
      <c r="V5" s="6"/>
      <c r="W5" s="6"/>
      <c r="X5" s="6"/>
      <c r="Y5" s="6"/>
      <c r="Z5" s="6"/>
      <c r="AA5" s="6"/>
      <c r="AB5" s="6"/>
      <c r="AC5" s="12" t="s">
        <v>388</v>
      </c>
      <c r="AD5" s="12"/>
      <c r="AE5" s="85">
        <v>3</v>
      </c>
      <c r="AF5" s="2" t="s">
        <v>394</v>
      </c>
      <c r="AG5" s="2" t="s">
        <v>750</v>
      </c>
      <c r="AJ5" s="21"/>
    </row>
    <row r="6" spans="1:37" s="2" customFormat="1" ht="11.25">
      <c r="A6" s="2" t="s">
        <v>753</v>
      </c>
      <c r="B6" s="2" t="s">
        <v>752</v>
      </c>
      <c r="C6" s="2" t="s">
        <v>751</v>
      </c>
      <c r="D6" s="2" t="s">
        <v>739</v>
      </c>
      <c r="E6" s="34"/>
      <c r="F6" s="34"/>
      <c r="G6" s="82">
        <v>1</v>
      </c>
      <c r="H6" s="6"/>
      <c r="I6" s="6"/>
      <c r="J6" s="6"/>
      <c r="K6" s="6"/>
      <c r="L6" s="6"/>
      <c r="M6" s="6" t="s">
        <v>388</v>
      </c>
      <c r="N6" s="6" t="s">
        <v>388</v>
      </c>
      <c r="O6" s="6"/>
      <c r="P6" s="6"/>
      <c r="Q6" s="6"/>
      <c r="R6" s="6"/>
      <c r="S6" s="6"/>
      <c r="T6" s="6"/>
      <c r="U6" s="6"/>
      <c r="V6" s="6"/>
      <c r="W6" s="6"/>
      <c r="X6" s="6"/>
      <c r="Y6" s="6"/>
      <c r="Z6" s="6"/>
      <c r="AA6" s="6"/>
      <c r="AB6" s="6"/>
      <c r="AC6" s="12" t="s">
        <v>388</v>
      </c>
      <c r="AD6" s="12"/>
      <c r="AE6" s="85">
        <v>3</v>
      </c>
      <c r="AF6" s="2" t="s">
        <v>641</v>
      </c>
      <c r="AG6" s="2" t="s">
        <v>754</v>
      </c>
      <c r="AJ6" s="21"/>
    </row>
    <row r="7" spans="1:37" s="2" customFormat="1" ht="11.25">
      <c r="A7" s="2" t="s">
        <v>757</v>
      </c>
      <c r="B7" s="17" t="s">
        <v>755</v>
      </c>
      <c r="C7" s="2" t="s">
        <v>756</v>
      </c>
      <c r="D7" s="34" t="s">
        <v>739</v>
      </c>
      <c r="E7" s="34"/>
      <c r="F7" s="34"/>
      <c r="G7" s="82">
        <v>1</v>
      </c>
      <c r="H7" s="6"/>
      <c r="I7" s="6"/>
      <c r="J7" s="6"/>
      <c r="K7" s="6"/>
      <c r="L7" s="6"/>
      <c r="M7" s="6"/>
      <c r="N7" s="6" t="s">
        <v>388</v>
      </c>
      <c r="O7" s="6"/>
      <c r="P7" s="6"/>
      <c r="Q7" s="6"/>
      <c r="R7" s="6"/>
      <c r="S7" s="6"/>
      <c r="T7" s="6"/>
      <c r="U7" s="6"/>
      <c r="V7" s="6"/>
      <c r="W7" s="6"/>
      <c r="X7" s="6"/>
      <c r="Y7" s="6"/>
      <c r="Z7" s="6"/>
      <c r="AA7" s="6"/>
      <c r="AB7" s="6"/>
      <c r="AC7" s="12" t="s">
        <v>388</v>
      </c>
      <c r="AD7" s="12"/>
      <c r="AE7" s="85">
        <v>3</v>
      </c>
      <c r="AF7" s="2" t="s">
        <v>641</v>
      </c>
      <c r="AG7" s="2" t="s">
        <v>758</v>
      </c>
      <c r="AJ7" s="21"/>
    </row>
    <row r="8" spans="1:37" s="2" customFormat="1" ht="11.25">
      <c r="A8" s="2" t="s">
        <v>760</v>
      </c>
      <c r="B8" s="17" t="s">
        <v>759</v>
      </c>
      <c r="C8" s="2" t="s">
        <v>761</v>
      </c>
      <c r="D8" s="34" t="s">
        <v>739</v>
      </c>
      <c r="E8" s="34"/>
      <c r="F8" s="34"/>
      <c r="G8" s="82">
        <v>1</v>
      </c>
      <c r="H8" s="6"/>
      <c r="I8" s="6"/>
      <c r="J8" s="6"/>
      <c r="K8" s="6"/>
      <c r="L8" s="6"/>
      <c r="M8" s="6"/>
      <c r="N8" s="6" t="s">
        <v>388</v>
      </c>
      <c r="O8" s="6"/>
      <c r="P8" s="6"/>
      <c r="Q8" s="6"/>
      <c r="R8" s="6"/>
      <c r="S8" s="6"/>
      <c r="T8" s="6"/>
      <c r="U8" s="6"/>
      <c r="V8" s="6"/>
      <c r="W8" s="6"/>
      <c r="X8" s="6"/>
      <c r="Y8" s="6"/>
      <c r="Z8" s="6"/>
      <c r="AA8" s="6"/>
      <c r="AB8" s="6"/>
      <c r="AC8" s="12"/>
      <c r="AD8" s="12"/>
      <c r="AE8" s="85">
        <v>3</v>
      </c>
      <c r="AF8" s="2" t="s">
        <v>641</v>
      </c>
      <c r="AG8" s="2" t="s">
        <v>762</v>
      </c>
      <c r="AJ8" s="21" t="s">
        <v>763</v>
      </c>
    </row>
    <row r="9" spans="1:37" s="2" customFormat="1" ht="11.25">
      <c r="A9" s="2" t="s">
        <v>765</v>
      </c>
      <c r="B9" s="17" t="s">
        <v>764</v>
      </c>
      <c r="C9" s="2" t="s">
        <v>766</v>
      </c>
      <c r="D9" s="34" t="s">
        <v>739</v>
      </c>
      <c r="E9" s="34"/>
      <c r="F9" s="34"/>
      <c r="G9" s="82">
        <v>1</v>
      </c>
      <c r="H9" s="6"/>
      <c r="I9" s="6"/>
      <c r="J9" s="6"/>
      <c r="K9" s="6"/>
      <c r="L9" s="6"/>
      <c r="M9" s="6"/>
      <c r="N9" s="6" t="s">
        <v>388</v>
      </c>
      <c r="O9" s="6"/>
      <c r="P9" s="6"/>
      <c r="Q9" s="6"/>
      <c r="R9" s="6"/>
      <c r="S9" s="6"/>
      <c r="T9" s="6"/>
      <c r="U9" s="6" t="s">
        <v>388</v>
      </c>
      <c r="V9" s="6"/>
      <c r="W9" s="6"/>
      <c r="X9" s="6"/>
      <c r="Y9" s="6"/>
      <c r="Z9" s="6"/>
      <c r="AA9" s="6"/>
      <c r="AB9" s="6"/>
      <c r="AC9" s="6"/>
      <c r="AD9" s="6"/>
      <c r="AE9" s="85">
        <v>3</v>
      </c>
      <c r="AF9" s="2" t="s">
        <v>641</v>
      </c>
      <c r="AG9" s="2" t="s">
        <v>767</v>
      </c>
      <c r="AJ9" s="21" t="s">
        <v>763</v>
      </c>
      <c r="AK9" s="2" t="s">
        <v>768</v>
      </c>
    </row>
    <row r="10" spans="1:37" s="2" customFormat="1" ht="11.25">
      <c r="A10" s="2" t="s">
        <v>769</v>
      </c>
      <c r="B10" s="17" t="s">
        <v>770</v>
      </c>
      <c r="C10" s="2" t="s">
        <v>771</v>
      </c>
      <c r="D10" s="34" t="s">
        <v>739</v>
      </c>
      <c r="E10" s="34"/>
      <c r="F10" s="34"/>
      <c r="G10" s="82">
        <v>1</v>
      </c>
      <c r="H10" s="6"/>
      <c r="I10" s="6"/>
      <c r="J10" s="6"/>
      <c r="K10" s="6"/>
      <c r="L10" s="6"/>
      <c r="M10" s="6"/>
      <c r="N10" s="6" t="s">
        <v>388</v>
      </c>
      <c r="O10" s="6"/>
      <c r="P10" s="6"/>
      <c r="Q10" s="6"/>
      <c r="R10" s="6"/>
      <c r="S10" s="6"/>
      <c r="T10" s="6"/>
      <c r="U10" s="6"/>
      <c r="V10" s="6"/>
      <c r="W10" s="6"/>
      <c r="X10" s="6"/>
      <c r="Y10" s="6"/>
      <c r="Z10" s="6"/>
      <c r="AA10" s="6"/>
      <c r="AB10" s="6"/>
      <c r="AC10" s="12" t="s">
        <v>388</v>
      </c>
      <c r="AD10" s="12"/>
      <c r="AE10" s="85">
        <v>3</v>
      </c>
      <c r="AF10" s="2" t="s">
        <v>389</v>
      </c>
      <c r="AG10" s="2" t="s">
        <v>772</v>
      </c>
      <c r="AJ10" s="21" t="s">
        <v>763</v>
      </c>
    </row>
    <row r="11" spans="1:37" s="2" customFormat="1" ht="11.25">
      <c r="A11" s="2" t="s">
        <v>775</v>
      </c>
      <c r="B11" s="70" t="s">
        <v>773</v>
      </c>
      <c r="C11" s="2" t="s">
        <v>774</v>
      </c>
      <c r="D11" s="34" t="s">
        <v>739</v>
      </c>
      <c r="E11" s="34"/>
      <c r="F11" s="34"/>
      <c r="G11" s="87">
        <v>1</v>
      </c>
      <c r="H11" s="73"/>
      <c r="I11" s="73"/>
      <c r="J11" s="73"/>
      <c r="K11" s="73"/>
      <c r="L11" s="73"/>
      <c r="M11" s="73"/>
      <c r="N11" s="6" t="s">
        <v>388</v>
      </c>
      <c r="O11" s="73"/>
      <c r="P11" s="73"/>
      <c r="Q11" s="73"/>
      <c r="R11" s="73"/>
      <c r="S11" s="73"/>
      <c r="T11" s="73"/>
      <c r="U11" s="73"/>
      <c r="V11" s="73"/>
      <c r="W11" s="73"/>
      <c r="X11" s="73"/>
      <c r="Y11" s="73"/>
      <c r="Z11" s="73"/>
      <c r="AA11" s="73"/>
      <c r="AB11" s="73"/>
      <c r="AC11" s="12" t="s">
        <v>388</v>
      </c>
      <c r="AD11" s="12" t="s">
        <v>388</v>
      </c>
      <c r="AE11" s="84">
        <v>3</v>
      </c>
      <c r="AF11" s="2" t="s">
        <v>394</v>
      </c>
      <c r="AG11" s="74" t="s">
        <v>776</v>
      </c>
      <c r="AH11" s="74"/>
      <c r="AI11" s="74"/>
      <c r="AJ11" s="21" t="s">
        <v>763</v>
      </c>
      <c r="AK11" s="74"/>
    </row>
    <row r="12" spans="1:37" s="2" customFormat="1" ht="11.25">
      <c r="A12" s="2" t="s">
        <v>779</v>
      </c>
      <c r="B12" s="70" t="s">
        <v>777</v>
      </c>
      <c r="C12" s="71" t="s">
        <v>778</v>
      </c>
      <c r="D12" s="34" t="s">
        <v>739</v>
      </c>
      <c r="E12" s="34"/>
      <c r="F12" s="34"/>
      <c r="G12" s="87">
        <v>1</v>
      </c>
      <c r="H12" s="73"/>
      <c r="I12" s="73"/>
      <c r="J12" s="73"/>
      <c r="K12" s="73"/>
      <c r="L12" s="73"/>
      <c r="M12" s="73"/>
      <c r="N12" s="6" t="s">
        <v>388</v>
      </c>
      <c r="O12" s="73"/>
      <c r="P12" s="73"/>
      <c r="Q12" s="73"/>
      <c r="R12" s="73"/>
      <c r="S12" s="73"/>
      <c r="T12" s="73"/>
      <c r="U12" s="73"/>
      <c r="V12" s="73"/>
      <c r="W12" s="73"/>
      <c r="X12" s="73"/>
      <c r="Y12" s="73"/>
      <c r="Z12" s="73"/>
      <c r="AA12" s="73"/>
      <c r="AB12" s="73"/>
      <c r="AC12" s="12" t="s">
        <v>388</v>
      </c>
      <c r="AD12" s="72"/>
      <c r="AE12" s="84">
        <v>3</v>
      </c>
      <c r="AF12" s="2" t="s">
        <v>389</v>
      </c>
      <c r="AG12" s="74" t="s">
        <v>780</v>
      </c>
      <c r="AH12" s="74"/>
      <c r="AI12" s="74"/>
      <c r="AJ12" s="21" t="s">
        <v>763</v>
      </c>
      <c r="AK12" s="74"/>
    </row>
    <row r="13" spans="1:37" s="2" customFormat="1" ht="11.25">
      <c r="A13" s="2" t="s">
        <v>783</v>
      </c>
      <c r="B13" s="17" t="s">
        <v>781</v>
      </c>
      <c r="C13" s="2" t="s">
        <v>782</v>
      </c>
      <c r="D13" s="34" t="s">
        <v>739</v>
      </c>
      <c r="E13" s="34"/>
      <c r="F13" s="34"/>
      <c r="G13" s="82">
        <v>1</v>
      </c>
      <c r="H13" s="6"/>
      <c r="I13" s="6"/>
      <c r="J13" s="6"/>
      <c r="K13" s="6"/>
      <c r="L13" s="6"/>
      <c r="M13" s="6"/>
      <c r="N13" s="6" t="s">
        <v>388</v>
      </c>
      <c r="O13" s="6"/>
      <c r="P13" s="6"/>
      <c r="Q13" s="6"/>
      <c r="R13" s="6"/>
      <c r="S13" s="6"/>
      <c r="T13" s="6"/>
      <c r="U13" s="6"/>
      <c r="V13" s="6"/>
      <c r="W13" s="6"/>
      <c r="X13" s="6"/>
      <c r="Y13" s="6"/>
      <c r="Z13" s="6"/>
      <c r="AA13" s="6"/>
      <c r="AB13" s="6"/>
      <c r="AC13" s="12" t="s">
        <v>388</v>
      </c>
      <c r="AD13" s="12"/>
      <c r="AE13" s="83">
        <v>3</v>
      </c>
      <c r="AF13" s="2" t="s">
        <v>394</v>
      </c>
      <c r="AG13" s="2" t="s">
        <v>780</v>
      </c>
      <c r="AJ13" s="21" t="s">
        <v>788</v>
      </c>
    </row>
    <row r="14" spans="1:37" s="2" customFormat="1" ht="11.25">
      <c r="A14" s="2" t="s">
        <v>779</v>
      </c>
      <c r="B14" s="70" t="s">
        <v>784</v>
      </c>
      <c r="C14" s="74" t="s">
        <v>778</v>
      </c>
      <c r="D14" s="34" t="s">
        <v>739</v>
      </c>
      <c r="E14" s="34"/>
      <c r="F14" s="34"/>
      <c r="G14" s="87">
        <v>1</v>
      </c>
      <c r="H14" s="73"/>
      <c r="I14" s="73"/>
      <c r="J14" s="73"/>
      <c r="K14" s="73"/>
      <c r="L14" s="73"/>
      <c r="M14" s="73"/>
      <c r="N14" s="6" t="s">
        <v>388</v>
      </c>
      <c r="O14" s="73"/>
      <c r="P14" s="73"/>
      <c r="Q14" s="73"/>
      <c r="R14" s="73"/>
      <c r="S14" s="73"/>
      <c r="T14" s="73"/>
      <c r="U14" s="73"/>
      <c r="V14" s="73"/>
      <c r="W14" s="73"/>
      <c r="X14" s="73"/>
      <c r="Y14" s="73"/>
      <c r="Z14" s="73"/>
      <c r="AA14" s="73"/>
      <c r="AB14" s="73"/>
      <c r="AC14" s="12" t="s">
        <v>388</v>
      </c>
      <c r="AD14" s="72"/>
      <c r="AE14" s="84">
        <v>3</v>
      </c>
      <c r="AF14" s="2" t="s">
        <v>389</v>
      </c>
      <c r="AG14" s="74" t="s">
        <v>785</v>
      </c>
      <c r="AH14" s="74"/>
      <c r="AI14" s="74"/>
      <c r="AJ14" s="21" t="s">
        <v>788</v>
      </c>
      <c r="AK14" s="74"/>
    </row>
    <row r="15" spans="1:37" s="2" customFormat="1" ht="11.25">
      <c r="A15" s="2" t="s">
        <v>786</v>
      </c>
      <c r="B15" s="17" t="s">
        <v>787</v>
      </c>
      <c r="C15" s="38" t="s">
        <v>782</v>
      </c>
      <c r="D15" s="34" t="s">
        <v>739</v>
      </c>
      <c r="E15" s="34"/>
      <c r="F15" s="34"/>
      <c r="G15" s="81">
        <v>2</v>
      </c>
      <c r="H15" s="73"/>
      <c r="I15" s="73"/>
      <c r="J15" s="73"/>
      <c r="K15" s="73"/>
      <c r="L15" s="73"/>
      <c r="M15" s="73"/>
      <c r="N15" s="6" t="s">
        <v>388</v>
      </c>
      <c r="O15" s="73"/>
      <c r="P15" s="73"/>
      <c r="Q15" s="73"/>
      <c r="R15" s="73"/>
      <c r="S15" s="73"/>
      <c r="T15" s="73"/>
      <c r="U15" s="73"/>
      <c r="V15" s="73"/>
      <c r="W15" s="73"/>
      <c r="X15" s="73"/>
      <c r="Y15" s="73"/>
      <c r="Z15" s="73"/>
      <c r="AA15" s="73"/>
      <c r="AB15" s="73"/>
      <c r="AC15" s="12" t="s">
        <v>388</v>
      </c>
      <c r="AD15" s="12" t="s">
        <v>388</v>
      </c>
      <c r="AE15" s="84">
        <v>3</v>
      </c>
      <c r="AF15" s="2" t="s">
        <v>394</v>
      </c>
      <c r="AG15" s="74" t="s">
        <v>785</v>
      </c>
      <c r="AH15" s="74"/>
      <c r="AI15" s="74"/>
      <c r="AJ15" s="21" t="s">
        <v>788</v>
      </c>
      <c r="AK15" s="74"/>
    </row>
    <row r="16" spans="1:37" s="2" customFormat="1" ht="11.25">
      <c r="A16" s="2" t="s">
        <v>789</v>
      </c>
      <c r="B16" s="70" t="s">
        <v>790</v>
      </c>
      <c r="C16" s="71" t="s">
        <v>791</v>
      </c>
      <c r="D16" s="34" t="s">
        <v>739</v>
      </c>
      <c r="E16" s="34"/>
      <c r="F16" s="34"/>
      <c r="G16" s="87">
        <v>1</v>
      </c>
      <c r="H16" s="73"/>
      <c r="I16" s="73"/>
      <c r="J16" s="73"/>
      <c r="K16" s="73"/>
      <c r="L16" s="73"/>
      <c r="M16" s="73"/>
      <c r="N16" s="6" t="s">
        <v>388</v>
      </c>
      <c r="O16" s="73"/>
      <c r="P16" s="73"/>
      <c r="Q16" s="73"/>
      <c r="R16" s="73"/>
      <c r="S16" s="73"/>
      <c r="T16" s="73"/>
      <c r="U16" s="73"/>
      <c r="V16" s="73"/>
      <c r="W16" s="73"/>
      <c r="X16" s="73"/>
      <c r="Y16" s="73"/>
      <c r="Z16" s="73"/>
      <c r="AA16" s="73"/>
      <c r="AB16" s="73"/>
      <c r="AC16" s="12" t="s">
        <v>388</v>
      </c>
      <c r="AD16" s="12" t="s">
        <v>388</v>
      </c>
      <c r="AE16" s="84">
        <v>3</v>
      </c>
      <c r="AF16" s="2" t="s">
        <v>389</v>
      </c>
      <c r="AG16" s="74" t="s">
        <v>792</v>
      </c>
      <c r="AH16" s="74"/>
      <c r="AI16" s="74"/>
      <c r="AJ16" s="21" t="s">
        <v>788</v>
      </c>
      <c r="AK16" s="74"/>
    </row>
    <row r="17" spans="1:36" s="2" customFormat="1" ht="11.25">
      <c r="A17" s="2" t="s">
        <v>795</v>
      </c>
      <c r="B17" s="17" t="s">
        <v>793</v>
      </c>
      <c r="C17" s="2" t="s">
        <v>794</v>
      </c>
      <c r="D17" s="34" t="s">
        <v>739</v>
      </c>
      <c r="E17" s="34"/>
      <c r="F17" s="34"/>
      <c r="G17" s="82">
        <v>1</v>
      </c>
      <c r="H17" s="6"/>
      <c r="I17" s="6"/>
      <c r="J17" s="6"/>
      <c r="K17" s="6"/>
      <c r="L17" s="6"/>
      <c r="M17" s="6"/>
      <c r="N17" s="6" t="s">
        <v>388</v>
      </c>
      <c r="O17" s="6" t="s">
        <v>388</v>
      </c>
      <c r="P17" s="6"/>
      <c r="Q17" s="6"/>
      <c r="R17" s="6"/>
      <c r="S17" s="6"/>
      <c r="T17" s="6"/>
      <c r="U17" s="6"/>
      <c r="V17" s="6"/>
      <c r="W17" s="6"/>
      <c r="X17" s="6"/>
      <c r="Y17" s="6"/>
      <c r="Z17" s="6"/>
      <c r="AA17" s="6"/>
      <c r="AB17" s="6"/>
      <c r="AC17" s="12"/>
      <c r="AD17" s="12"/>
      <c r="AE17" s="83">
        <v>3</v>
      </c>
      <c r="AF17" s="2" t="s">
        <v>389</v>
      </c>
      <c r="AG17" s="2" t="s">
        <v>796</v>
      </c>
      <c r="AJ17" s="21" t="s">
        <v>763</v>
      </c>
    </row>
    <row r="18" spans="1:36" s="2" customFormat="1" ht="11.25">
      <c r="A18" s="2" t="s">
        <v>798</v>
      </c>
      <c r="B18" s="17" t="s">
        <v>797</v>
      </c>
      <c r="C18" s="3" t="s">
        <v>799</v>
      </c>
      <c r="D18" s="13" t="s">
        <v>739</v>
      </c>
      <c r="E18" s="13"/>
      <c r="F18" s="13"/>
      <c r="G18" s="82">
        <v>2</v>
      </c>
      <c r="H18" s="6" t="s">
        <v>388</v>
      </c>
      <c r="I18" s="6"/>
      <c r="J18" s="6"/>
      <c r="K18" s="6"/>
      <c r="L18" s="6"/>
      <c r="M18" s="6" t="s">
        <v>388</v>
      </c>
      <c r="N18" s="6" t="s">
        <v>388</v>
      </c>
      <c r="O18" s="6"/>
      <c r="P18" s="6"/>
      <c r="Q18" s="6"/>
      <c r="R18" s="6"/>
      <c r="S18" s="6"/>
      <c r="T18" s="6"/>
      <c r="U18" s="6"/>
      <c r="V18" s="6"/>
      <c r="W18" s="6"/>
      <c r="X18" s="6"/>
      <c r="Y18" s="6"/>
      <c r="Z18" s="6"/>
      <c r="AA18" s="6"/>
      <c r="AB18" s="6"/>
      <c r="AC18" s="12"/>
      <c r="AD18" s="12"/>
      <c r="AE18" s="83">
        <v>3</v>
      </c>
      <c r="AF18" s="2" t="s">
        <v>394</v>
      </c>
      <c r="AG18" s="2" t="s">
        <v>800</v>
      </c>
      <c r="AJ18" s="21" t="s">
        <v>763</v>
      </c>
    </row>
    <row r="19" spans="1:36" s="2" customFormat="1" ht="11.25">
      <c r="A19" s="2" t="s">
        <v>803</v>
      </c>
      <c r="B19" s="17" t="s">
        <v>801</v>
      </c>
      <c r="C19" s="3" t="s">
        <v>802</v>
      </c>
      <c r="D19" s="13" t="s">
        <v>739</v>
      </c>
      <c r="E19" s="13"/>
      <c r="F19" s="13"/>
      <c r="G19" s="82">
        <v>1</v>
      </c>
      <c r="H19" s="6" t="s">
        <v>388</v>
      </c>
      <c r="I19" s="6"/>
      <c r="J19" s="6"/>
      <c r="K19" s="6"/>
      <c r="L19" s="6"/>
      <c r="M19" s="6"/>
      <c r="N19" s="6" t="s">
        <v>388</v>
      </c>
      <c r="O19" s="6"/>
      <c r="P19" s="6"/>
      <c r="Q19" s="6"/>
      <c r="R19" s="6"/>
      <c r="S19" s="6"/>
      <c r="T19" s="6"/>
      <c r="U19" s="6"/>
      <c r="V19" s="6"/>
      <c r="W19" s="6"/>
      <c r="X19" s="6"/>
      <c r="Y19" s="6"/>
      <c r="Z19" s="6"/>
      <c r="AA19" s="6"/>
      <c r="AB19" s="6"/>
      <c r="AC19" s="12"/>
      <c r="AD19" s="12"/>
      <c r="AE19" s="83">
        <v>3</v>
      </c>
      <c r="AF19" s="2" t="s">
        <v>389</v>
      </c>
      <c r="AG19" s="2" t="s">
        <v>804</v>
      </c>
      <c r="AJ19" s="21" t="s">
        <v>763</v>
      </c>
    </row>
    <row r="20" spans="1:36" s="2" customFormat="1" ht="11.25">
      <c r="A20" s="2" t="s">
        <v>657</v>
      </c>
      <c r="B20" s="17" t="s">
        <v>805</v>
      </c>
      <c r="C20" s="2" t="s">
        <v>806</v>
      </c>
      <c r="D20" s="34" t="s">
        <v>739</v>
      </c>
      <c r="E20" s="34"/>
      <c r="F20" s="34"/>
      <c r="G20" s="82">
        <v>1</v>
      </c>
      <c r="H20" s="6" t="s">
        <v>388</v>
      </c>
      <c r="I20" s="6"/>
      <c r="J20" s="6" t="s">
        <v>388</v>
      </c>
      <c r="K20" s="6"/>
      <c r="L20" s="6"/>
      <c r="M20" s="6"/>
      <c r="N20" s="6" t="s">
        <v>388</v>
      </c>
      <c r="O20" s="6"/>
      <c r="P20" s="6"/>
      <c r="Q20" s="6"/>
      <c r="R20" s="6"/>
      <c r="S20" s="6"/>
      <c r="T20" s="6"/>
      <c r="U20" s="6"/>
      <c r="V20" s="6"/>
      <c r="W20" s="6"/>
      <c r="X20" s="6"/>
      <c r="Y20" s="6"/>
      <c r="Z20" s="6"/>
      <c r="AA20" s="6"/>
      <c r="AB20" s="6"/>
      <c r="AC20" s="12"/>
      <c r="AD20" s="12" t="s">
        <v>388</v>
      </c>
      <c r="AE20" s="83">
        <v>3</v>
      </c>
      <c r="AF20" s="2" t="s">
        <v>394</v>
      </c>
      <c r="AG20" s="2" t="s">
        <v>807</v>
      </c>
      <c r="AJ20" s="21" t="s">
        <v>763</v>
      </c>
    </row>
    <row r="21" spans="1:36" s="2" customFormat="1" ht="11.25">
      <c r="A21" s="2" t="s">
        <v>808</v>
      </c>
      <c r="B21" s="17" t="s">
        <v>809</v>
      </c>
      <c r="C21" s="2" t="s">
        <v>810</v>
      </c>
      <c r="D21" s="34" t="s">
        <v>739</v>
      </c>
      <c r="E21" s="34"/>
      <c r="F21" s="34"/>
      <c r="G21" s="82">
        <v>2</v>
      </c>
      <c r="H21" s="6"/>
      <c r="I21" s="6"/>
      <c r="J21" s="6" t="s">
        <v>388</v>
      </c>
      <c r="K21" s="6" t="s">
        <v>388</v>
      </c>
      <c r="L21" s="6"/>
      <c r="M21" s="6" t="s">
        <v>388</v>
      </c>
      <c r="N21" s="6" t="s">
        <v>388</v>
      </c>
      <c r="O21" s="6"/>
      <c r="P21" s="6"/>
      <c r="Q21" s="6"/>
      <c r="R21" s="6"/>
      <c r="S21" s="6"/>
      <c r="T21" s="6"/>
      <c r="U21" s="6"/>
      <c r="V21" s="6"/>
      <c r="W21" s="6"/>
      <c r="X21" s="6"/>
      <c r="Y21" s="6"/>
      <c r="Z21" s="6"/>
      <c r="AA21" s="6"/>
      <c r="AB21" s="6"/>
      <c r="AC21" s="12"/>
      <c r="AD21" s="12"/>
      <c r="AE21" s="12" t="s">
        <v>648</v>
      </c>
      <c r="AF21" s="2" t="s">
        <v>394</v>
      </c>
      <c r="AG21" s="2" t="s">
        <v>811</v>
      </c>
      <c r="AJ21" s="21" t="s">
        <v>763</v>
      </c>
    </row>
    <row r="22" spans="1:36" s="2" customFormat="1" ht="11.25">
      <c r="A22" s="2" t="s">
        <v>812</v>
      </c>
      <c r="B22" s="17" t="s">
        <v>813</v>
      </c>
      <c r="C22" s="2" t="s">
        <v>814</v>
      </c>
      <c r="D22" s="34" t="s">
        <v>739</v>
      </c>
      <c r="E22" s="34"/>
      <c r="F22" s="34"/>
      <c r="G22" s="82">
        <v>2</v>
      </c>
      <c r="H22" s="6"/>
      <c r="I22" s="6"/>
      <c r="J22" s="6" t="s">
        <v>388</v>
      </c>
      <c r="K22" s="6"/>
      <c r="L22" s="6"/>
      <c r="M22" s="6" t="s">
        <v>388</v>
      </c>
      <c r="N22" s="6" t="s">
        <v>388</v>
      </c>
      <c r="O22" s="6"/>
      <c r="P22" s="6"/>
      <c r="Q22" s="6"/>
      <c r="R22" s="6"/>
      <c r="S22" s="6"/>
      <c r="T22" s="6"/>
      <c r="U22" s="6" t="s">
        <v>388</v>
      </c>
      <c r="V22" s="6"/>
      <c r="W22" s="6"/>
      <c r="X22" s="6"/>
      <c r="Y22" s="6" t="s">
        <v>388</v>
      </c>
      <c r="Z22" s="6"/>
      <c r="AA22" s="6"/>
      <c r="AB22" s="6"/>
      <c r="AC22" s="12"/>
      <c r="AD22" s="12"/>
      <c r="AE22" s="12" t="s">
        <v>648</v>
      </c>
      <c r="AF22" s="2" t="s">
        <v>389</v>
      </c>
      <c r="AG22" s="2" t="s">
        <v>815</v>
      </c>
      <c r="AJ22" s="21" t="s">
        <v>763</v>
      </c>
    </row>
    <row r="23" spans="1:36" s="2" customFormat="1" ht="11.25">
      <c r="A23" s="2" t="s">
        <v>818</v>
      </c>
      <c r="B23" s="17" t="s">
        <v>817</v>
      </c>
      <c r="C23" s="2" t="s">
        <v>816</v>
      </c>
      <c r="D23" s="34" t="s">
        <v>739</v>
      </c>
      <c r="E23" s="34"/>
      <c r="F23" s="34"/>
      <c r="G23" s="2">
        <v>1</v>
      </c>
      <c r="H23" s="6"/>
      <c r="I23" s="6"/>
      <c r="J23" s="6" t="s">
        <v>388</v>
      </c>
      <c r="K23" s="6"/>
      <c r="L23" s="6"/>
      <c r="M23" s="6" t="s">
        <v>388</v>
      </c>
      <c r="N23" s="6" t="s">
        <v>388</v>
      </c>
      <c r="O23" s="6"/>
      <c r="P23" s="6"/>
      <c r="Q23" s="6"/>
      <c r="R23" s="6"/>
      <c r="S23" s="6"/>
      <c r="T23" s="6"/>
      <c r="U23" s="6" t="s">
        <v>388</v>
      </c>
      <c r="V23" s="6"/>
      <c r="W23" s="6"/>
      <c r="X23" s="6"/>
      <c r="Y23" s="6"/>
      <c r="Z23" s="6"/>
      <c r="AA23" s="6"/>
      <c r="AB23" s="6"/>
      <c r="AC23" s="12"/>
      <c r="AD23" s="12"/>
      <c r="AE23" s="12" t="s">
        <v>648</v>
      </c>
      <c r="AF23" s="2" t="s">
        <v>394</v>
      </c>
      <c r="AG23" s="2" t="s">
        <v>819</v>
      </c>
      <c r="AJ23" s="21" t="s">
        <v>763</v>
      </c>
    </row>
    <row r="24" spans="1:36" s="2" customFormat="1" ht="11.25">
      <c r="A24" s="2" t="s">
        <v>175</v>
      </c>
      <c r="B24" s="17" t="s">
        <v>820</v>
      </c>
      <c r="C24" s="2" t="s">
        <v>821</v>
      </c>
      <c r="D24" s="34" t="s">
        <v>739</v>
      </c>
      <c r="E24" s="34"/>
      <c r="F24" s="34"/>
      <c r="G24" s="2">
        <v>4</v>
      </c>
      <c r="H24" s="6"/>
      <c r="I24" s="6"/>
      <c r="J24" s="6"/>
      <c r="K24" s="6" t="s">
        <v>388</v>
      </c>
      <c r="L24" s="6"/>
      <c r="M24" s="6" t="s">
        <v>388</v>
      </c>
      <c r="N24" s="6" t="s">
        <v>388</v>
      </c>
      <c r="O24" s="6" t="s">
        <v>388</v>
      </c>
      <c r="P24" s="6"/>
      <c r="Q24" s="6"/>
      <c r="R24" s="6" t="s">
        <v>388</v>
      </c>
      <c r="S24" s="6"/>
      <c r="T24" s="6" t="s">
        <v>388</v>
      </c>
      <c r="U24" s="6" t="s">
        <v>388</v>
      </c>
      <c r="V24" s="6"/>
      <c r="W24" s="6" t="s">
        <v>388</v>
      </c>
      <c r="X24" s="6" t="s">
        <v>388</v>
      </c>
      <c r="Y24" s="6"/>
      <c r="Z24" s="6" t="s">
        <v>388</v>
      </c>
      <c r="AA24" s="6" t="s">
        <v>388</v>
      </c>
      <c r="AB24" s="6" t="s">
        <v>388</v>
      </c>
      <c r="AC24" s="12"/>
      <c r="AD24" s="12"/>
      <c r="AE24" s="12" t="s">
        <v>648</v>
      </c>
      <c r="AF24" s="2" t="s">
        <v>389</v>
      </c>
      <c r="AG24" s="2" t="s">
        <v>822</v>
      </c>
      <c r="AJ24" s="21"/>
    </row>
    <row r="25" spans="1:36" s="2" customFormat="1" ht="11.25">
      <c r="A25" s="2" t="s">
        <v>823</v>
      </c>
      <c r="B25" s="17" t="s">
        <v>824</v>
      </c>
      <c r="C25" s="2" t="s">
        <v>825</v>
      </c>
      <c r="D25" s="34" t="s">
        <v>739</v>
      </c>
      <c r="E25" s="34"/>
      <c r="F25" s="34"/>
      <c r="G25" s="2">
        <v>3</v>
      </c>
      <c r="H25" s="6"/>
      <c r="I25" s="6"/>
      <c r="J25" s="6" t="s">
        <v>388</v>
      </c>
      <c r="K25" s="6" t="s">
        <v>388</v>
      </c>
      <c r="L25" s="6"/>
      <c r="M25" s="6" t="s">
        <v>388</v>
      </c>
      <c r="N25" s="6" t="s">
        <v>388</v>
      </c>
      <c r="O25" s="6"/>
      <c r="P25" s="6"/>
      <c r="Q25" s="6"/>
      <c r="R25" s="6" t="s">
        <v>388</v>
      </c>
      <c r="S25" s="6"/>
      <c r="T25" s="6" t="s">
        <v>388</v>
      </c>
      <c r="U25" s="6" t="s">
        <v>388</v>
      </c>
      <c r="V25" s="6"/>
      <c r="W25" s="6" t="s">
        <v>388</v>
      </c>
      <c r="X25" s="6" t="s">
        <v>388</v>
      </c>
      <c r="Y25" s="6"/>
      <c r="Z25" s="6"/>
      <c r="AA25" s="6"/>
      <c r="AB25" s="6"/>
      <c r="AC25" s="12"/>
      <c r="AD25" s="12" t="s">
        <v>388</v>
      </c>
      <c r="AE25" s="12" t="s">
        <v>648</v>
      </c>
      <c r="AF25" s="2" t="s">
        <v>394</v>
      </c>
      <c r="AG25" s="2" t="s">
        <v>826</v>
      </c>
      <c r="AJ25" s="21" t="s">
        <v>831</v>
      </c>
    </row>
    <row r="26" spans="1:36" s="2" customFormat="1" ht="11.25">
      <c r="A26" s="2" t="s">
        <v>868</v>
      </c>
      <c r="B26" s="17" t="s">
        <v>865</v>
      </c>
      <c r="C26" s="86" t="s">
        <v>867</v>
      </c>
      <c r="D26" s="34" t="s">
        <v>739</v>
      </c>
      <c r="E26" s="34"/>
      <c r="F26" s="34"/>
      <c r="G26" s="87">
        <v>1</v>
      </c>
      <c r="H26" s="6"/>
      <c r="I26" s="6"/>
      <c r="J26" s="6"/>
      <c r="K26" s="6"/>
      <c r="L26" s="6"/>
      <c r="M26" s="6"/>
      <c r="N26" s="6" t="s">
        <v>388</v>
      </c>
      <c r="O26" s="6"/>
      <c r="P26" s="6"/>
      <c r="Q26" s="6"/>
      <c r="R26" s="6"/>
      <c r="S26" s="6"/>
      <c r="T26" s="6"/>
      <c r="U26" s="6"/>
      <c r="V26" s="6"/>
      <c r="W26" s="6"/>
      <c r="X26" s="6"/>
      <c r="Y26" s="6"/>
      <c r="Z26" s="6"/>
      <c r="AA26" s="6"/>
      <c r="AB26" s="6"/>
      <c r="AC26" s="12" t="s">
        <v>388</v>
      </c>
      <c r="AD26" s="12" t="s">
        <v>388</v>
      </c>
      <c r="AE26" s="12" t="s">
        <v>648</v>
      </c>
      <c r="AF26" s="2" t="s">
        <v>394</v>
      </c>
      <c r="AG26" s="2" t="s">
        <v>869</v>
      </c>
      <c r="AJ26" s="21" t="s">
        <v>870</v>
      </c>
    </row>
    <row r="27" spans="1:36" s="2" customFormat="1" ht="11.25">
      <c r="A27" s="2" t="s">
        <v>827</v>
      </c>
      <c r="B27" s="17" t="s">
        <v>828</v>
      </c>
      <c r="C27" s="2" t="s">
        <v>829</v>
      </c>
      <c r="D27" s="34" t="s">
        <v>739</v>
      </c>
      <c r="E27" s="34"/>
      <c r="F27" s="34"/>
      <c r="G27" s="82">
        <v>1</v>
      </c>
      <c r="H27" s="6"/>
      <c r="I27" s="6"/>
      <c r="J27" s="6"/>
      <c r="K27" s="6"/>
      <c r="L27" s="6"/>
      <c r="M27" s="6"/>
      <c r="N27" s="6" t="s">
        <v>388</v>
      </c>
      <c r="O27" s="6"/>
      <c r="P27" s="6"/>
      <c r="Q27" s="6"/>
      <c r="R27" s="6"/>
      <c r="S27" s="6"/>
      <c r="T27" s="6"/>
      <c r="U27" s="6" t="s">
        <v>388</v>
      </c>
      <c r="V27" s="6"/>
      <c r="W27" s="6"/>
      <c r="X27" s="6"/>
      <c r="Y27" s="6"/>
      <c r="Z27" s="6"/>
      <c r="AA27" s="6"/>
      <c r="AB27" s="6"/>
      <c r="AC27" s="12"/>
      <c r="AD27" s="12" t="s">
        <v>388</v>
      </c>
      <c r="AE27" s="12" t="s">
        <v>648</v>
      </c>
      <c r="AF27" s="2" t="s">
        <v>394</v>
      </c>
      <c r="AG27" s="2" t="s">
        <v>830</v>
      </c>
      <c r="AJ27" s="21" t="s">
        <v>832</v>
      </c>
    </row>
    <row r="28" spans="1:36" s="2" customFormat="1" ht="11.25">
      <c r="A28" s="2" t="s">
        <v>833</v>
      </c>
      <c r="B28" s="17" t="s">
        <v>834</v>
      </c>
      <c r="C28" s="2" t="s">
        <v>835</v>
      </c>
      <c r="D28" s="34" t="s">
        <v>739</v>
      </c>
      <c r="E28" s="34"/>
      <c r="F28" s="34"/>
      <c r="G28" s="82">
        <v>1</v>
      </c>
      <c r="H28" s="6"/>
      <c r="I28" s="6"/>
      <c r="J28" s="6"/>
      <c r="K28" s="6"/>
      <c r="L28" s="6"/>
      <c r="M28" s="6" t="s">
        <v>388</v>
      </c>
      <c r="N28" s="6" t="s">
        <v>388</v>
      </c>
      <c r="O28" s="6"/>
      <c r="P28" s="6"/>
      <c r="Q28" s="6"/>
      <c r="R28" s="6"/>
      <c r="S28" s="6"/>
      <c r="T28" s="6"/>
      <c r="U28" s="6" t="s">
        <v>388</v>
      </c>
      <c r="V28" s="6"/>
      <c r="W28" s="6"/>
      <c r="X28" s="6"/>
      <c r="Y28" s="6"/>
      <c r="Z28" s="6"/>
      <c r="AA28" s="6"/>
      <c r="AB28" s="6"/>
      <c r="AC28" s="12" t="s">
        <v>388</v>
      </c>
      <c r="AD28" s="12" t="s">
        <v>388</v>
      </c>
      <c r="AE28" s="12" t="s">
        <v>648</v>
      </c>
      <c r="AF28" s="2" t="s">
        <v>394</v>
      </c>
      <c r="AG28" s="2" t="s">
        <v>836</v>
      </c>
      <c r="AJ28" s="21" t="s">
        <v>837</v>
      </c>
    </row>
    <row r="29" spans="1:36" s="2" customFormat="1" ht="11.25">
      <c r="A29" s="2" t="s">
        <v>840</v>
      </c>
      <c r="B29" s="17" t="s">
        <v>838</v>
      </c>
      <c r="C29" s="2" t="s">
        <v>839</v>
      </c>
      <c r="D29" s="34" t="s">
        <v>739</v>
      </c>
      <c r="E29" s="34"/>
      <c r="F29" s="34"/>
      <c r="G29" s="82">
        <v>1</v>
      </c>
      <c r="H29" s="6" t="s">
        <v>388</v>
      </c>
      <c r="I29" s="6"/>
      <c r="J29" s="6"/>
      <c r="K29" s="6"/>
      <c r="L29" s="6"/>
      <c r="M29" s="6"/>
      <c r="N29" s="6" t="s">
        <v>388</v>
      </c>
      <c r="O29" s="6"/>
      <c r="P29" s="6"/>
      <c r="Q29" s="6"/>
      <c r="R29" s="6"/>
      <c r="S29" s="6"/>
      <c r="T29" s="6"/>
      <c r="U29" s="6"/>
      <c r="V29" s="6"/>
      <c r="W29" s="6"/>
      <c r="X29" s="6"/>
      <c r="Y29" s="6"/>
      <c r="Z29" s="6"/>
      <c r="AA29" s="6"/>
      <c r="AB29" s="6"/>
      <c r="AC29" s="12"/>
      <c r="AD29" s="12"/>
      <c r="AE29" s="12" t="s">
        <v>648</v>
      </c>
      <c r="AF29" s="2" t="s">
        <v>389</v>
      </c>
      <c r="AG29" s="2" t="s">
        <v>841</v>
      </c>
      <c r="AJ29" s="21"/>
    </row>
    <row r="30" spans="1:36" s="2" customFormat="1" ht="11.25">
      <c r="A30" s="2" t="s">
        <v>842</v>
      </c>
      <c r="B30" s="17" t="s">
        <v>843</v>
      </c>
      <c r="C30" s="2" t="s">
        <v>844</v>
      </c>
      <c r="D30" s="34" t="s">
        <v>739</v>
      </c>
      <c r="E30" s="34"/>
      <c r="F30" s="34"/>
      <c r="G30" s="82">
        <v>1</v>
      </c>
      <c r="H30" s="6"/>
      <c r="I30" s="6"/>
      <c r="J30" s="6" t="s">
        <v>388</v>
      </c>
      <c r="K30" s="6"/>
      <c r="L30" s="6"/>
      <c r="M30" s="6"/>
      <c r="N30" s="6" t="s">
        <v>388</v>
      </c>
      <c r="O30" s="6"/>
      <c r="P30" s="6"/>
      <c r="Q30" s="6"/>
      <c r="R30" s="6"/>
      <c r="S30" s="6"/>
      <c r="T30" s="6"/>
      <c r="U30" s="6"/>
      <c r="V30" s="6"/>
      <c r="W30" s="6"/>
      <c r="X30" s="6"/>
      <c r="Y30" s="6"/>
      <c r="Z30" s="6"/>
      <c r="AA30" s="6"/>
      <c r="AB30" s="6"/>
      <c r="AC30" s="12" t="s">
        <v>388</v>
      </c>
      <c r="AD30" s="12" t="s">
        <v>388</v>
      </c>
      <c r="AE30" s="12" t="s">
        <v>648</v>
      </c>
      <c r="AF30" s="2" t="s">
        <v>389</v>
      </c>
      <c r="AG30" s="2" t="s">
        <v>845</v>
      </c>
      <c r="AJ30" s="21" t="s">
        <v>832</v>
      </c>
    </row>
    <row r="31" spans="1:36" s="2" customFormat="1" ht="11.25">
      <c r="A31" s="2" t="s">
        <v>847</v>
      </c>
      <c r="B31" s="17" t="s">
        <v>846</v>
      </c>
      <c r="C31" s="2" t="s">
        <v>442</v>
      </c>
      <c r="D31" s="34" t="s">
        <v>739</v>
      </c>
      <c r="E31" s="34"/>
      <c r="F31" s="34"/>
      <c r="G31" s="82">
        <v>1</v>
      </c>
      <c r="H31" s="6" t="s">
        <v>388</v>
      </c>
      <c r="I31" s="6"/>
      <c r="J31" s="6" t="s">
        <v>388</v>
      </c>
      <c r="K31" s="6"/>
      <c r="L31" s="6"/>
      <c r="M31" s="6"/>
      <c r="N31" s="6" t="s">
        <v>388</v>
      </c>
      <c r="O31" s="6"/>
      <c r="P31" s="6"/>
      <c r="Q31" s="6"/>
      <c r="R31" s="6"/>
      <c r="S31" s="6"/>
      <c r="T31" s="6"/>
      <c r="U31" s="6"/>
      <c r="V31" s="6"/>
      <c r="W31" s="6"/>
      <c r="X31" s="6"/>
      <c r="Y31" s="6"/>
      <c r="Z31" s="6"/>
      <c r="AA31" s="6"/>
      <c r="AB31" s="6"/>
      <c r="AC31" s="12"/>
      <c r="AD31" s="12"/>
      <c r="AE31" s="12" t="s">
        <v>648</v>
      </c>
      <c r="AF31" s="2" t="s">
        <v>394</v>
      </c>
      <c r="AG31" s="2" t="s">
        <v>848</v>
      </c>
      <c r="AJ31" s="21" t="s">
        <v>763</v>
      </c>
    </row>
    <row r="32" spans="1:36" s="2" customFormat="1" ht="11.25">
      <c r="A32" s="2" t="s">
        <v>851</v>
      </c>
      <c r="B32" s="17" t="s">
        <v>849</v>
      </c>
      <c r="C32" s="2" t="s">
        <v>850</v>
      </c>
      <c r="D32" s="34" t="s">
        <v>739</v>
      </c>
      <c r="E32" s="34"/>
      <c r="F32" s="34"/>
      <c r="G32" s="82">
        <v>1</v>
      </c>
      <c r="H32" s="6"/>
      <c r="I32" s="6"/>
      <c r="J32" s="6"/>
      <c r="K32" s="6"/>
      <c r="L32" s="6"/>
      <c r="M32" s="6"/>
      <c r="N32" s="6" t="s">
        <v>388</v>
      </c>
      <c r="O32" s="6"/>
      <c r="P32" s="6"/>
      <c r="Q32" s="6"/>
      <c r="R32" s="6"/>
      <c r="S32" s="6"/>
      <c r="T32" s="6"/>
      <c r="U32" s="6" t="s">
        <v>388</v>
      </c>
      <c r="V32" s="6"/>
      <c r="W32" s="6"/>
      <c r="X32" s="6"/>
      <c r="Y32" s="6"/>
      <c r="Z32" s="6"/>
      <c r="AA32" s="6"/>
      <c r="AB32" s="6"/>
      <c r="AC32" s="12"/>
      <c r="AD32" s="12" t="s">
        <v>388</v>
      </c>
      <c r="AE32" s="12" t="s">
        <v>648</v>
      </c>
      <c r="AF32" s="2" t="s">
        <v>394</v>
      </c>
      <c r="AG32" s="2" t="s">
        <v>852</v>
      </c>
      <c r="AJ32" s="21" t="s">
        <v>832</v>
      </c>
    </row>
    <row r="33" spans="1:38" s="2" customFormat="1" ht="11.25">
      <c r="A33" s="2" t="s">
        <v>779</v>
      </c>
      <c r="B33" s="17" t="s">
        <v>853</v>
      </c>
      <c r="C33" s="2" t="s">
        <v>854</v>
      </c>
      <c r="D33" s="34" t="s">
        <v>739</v>
      </c>
      <c r="E33" s="34"/>
      <c r="F33" s="34"/>
      <c r="G33" s="82">
        <v>1</v>
      </c>
      <c r="H33" s="6"/>
      <c r="I33" s="6"/>
      <c r="J33" s="6"/>
      <c r="K33" s="6"/>
      <c r="L33" s="6"/>
      <c r="M33" s="6"/>
      <c r="N33" s="6" t="s">
        <v>388</v>
      </c>
      <c r="O33" s="6"/>
      <c r="P33" s="6"/>
      <c r="Q33" s="6"/>
      <c r="R33" s="6"/>
      <c r="S33" s="6"/>
      <c r="T33" s="6"/>
      <c r="U33" s="6" t="s">
        <v>388</v>
      </c>
      <c r="V33" s="6"/>
      <c r="W33" s="6"/>
      <c r="X33" s="6"/>
      <c r="Y33" s="6"/>
      <c r="Z33" s="6"/>
      <c r="AA33" s="6"/>
      <c r="AB33" s="6"/>
      <c r="AC33" s="12"/>
      <c r="AD33" s="12" t="s">
        <v>388</v>
      </c>
      <c r="AE33" s="12" t="s">
        <v>648</v>
      </c>
      <c r="AF33" s="2" t="s">
        <v>389</v>
      </c>
      <c r="AG33" s="2" t="s">
        <v>855</v>
      </c>
      <c r="AJ33" s="21" t="s">
        <v>831</v>
      </c>
    </row>
    <row r="34" spans="1:38" s="2" customFormat="1" ht="11.25">
      <c r="A34" s="2" t="s">
        <v>856</v>
      </c>
      <c r="B34" s="17" t="s">
        <v>857</v>
      </c>
      <c r="C34" s="2" t="s">
        <v>858</v>
      </c>
      <c r="D34" s="34" t="s">
        <v>739</v>
      </c>
      <c r="E34" s="34"/>
      <c r="F34" s="34"/>
      <c r="G34" s="82">
        <v>1</v>
      </c>
      <c r="H34" s="48" t="s">
        <v>388</v>
      </c>
      <c r="I34" s="6"/>
      <c r="J34" s="6" t="s">
        <v>388</v>
      </c>
      <c r="K34" s="6" t="s">
        <v>388</v>
      </c>
      <c r="L34" s="6"/>
      <c r="M34" s="6" t="s">
        <v>388</v>
      </c>
      <c r="N34" s="6" t="s">
        <v>388</v>
      </c>
      <c r="O34" s="6"/>
      <c r="P34" s="6"/>
      <c r="Q34" s="6"/>
      <c r="R34" s="6"/>
      <c r="S34" s="6"/>
      <c r="T34" s="6"/>
      <c r="U34" s="6" t="s">
        <v>388</v>
      </c>
      <c r="V34" s="6"/>
      <c r="W34" s="6"/>
      <c r="X34" s="6"/>
      <c r="Y34" s="6"/>
      <c r="Z34" s="6"/>
      <c r="AA34" s="6"/>
      <c r="AB34" s="6"/>
      <c r="AC34" s="12"/>
      <c r="AD34" s="12"/>
      <c r="AE34" s="12" t="s">
        <v>648</v>
      </c>
      <c r="AF34" s="2" t="s">
        <v>389</v>
      </c>
      <c r="AG34" s="2" t="s">
        <v>859</v>
      </c>
      <c r="AJ34" s="21" t="s">
        <v>763</v>
      </c>
    </row>
    <row r="35" spans="1:38" s="2" customFormat="1" ht="11.25">
      <c r="A35" s="2" t="s">
        <v>861</v>
      </c>
      <c r="B35" s="17" t="s">
        <v>860</v>
      </c>
      <c r="C35" s="2" t="s">
        <v>862</v>
      </c>
      <c r="D35" s="34" t="s">
        <v>739</v>
      </c>
      <c r="E35" s="34"/>
      <c r="F35" s="34"/>
      <c r="G35" s="82">
        <v>1</v>
      </c>
      <c r="H35" s="6"/>
      <c r="I35" s="6"/>
      <c r="J35" s="6" t="s">
        <v>388</v>
      </c>
      <c r="K35" s="6"/>
      <c r="L35" s="6"/>
      <c r="M35" s="6"/>
      <c r="N35" s="6" t="s">
        <v>388</v>
      </c>
      <c r="O35" s="6"/>
      <c r="P35" s="6"/>
      <c r="Q35" s="6"/>
      <c r="R35" s="6"/>
      <c r="S35" s="6"/>
      <c r="T35" s="6"/>
      <c r="U35" s="6"/>
      <c r="V35" s="6"/>
      <c r="W35" s="6"/>
      <c r="X35" s="6"/>
      <c r="Y35" s="6"/>
      <c r="Z35" s="6"/>
      <c r="AA35" s="6"/>
      <c r="AB35" s="6"/>
      <c r="AC35" s="12"/>
      <c r="AD35" s="12" t="s">
        <v>388</v>
      </c>
      <c r="AE35" s="12" t="s">
        <v>648</v>
      </c>
      <c r="AF35" s="2" t="s">
        <v>394</v>
      </c>
      <c r="AG35" s="2" t="s">
        <v>863</v>
      </c>
      <c r="AJ35" s="21" t="s">
        <v>866</v>
      </c>
    </row>
    <row r="36" spans="1:38" s="2" customFormat="1" ht="11.25">
      <c r="A36" s="2" t="s">
        <v>769</v>
      </c>
      <c r="B36" s="17" t="s">
        <v>864</v>
      </c>
      <c r="C36" s="2" t="s">
        <v>871</v>
      </c>
      <c r="D36" s="34" t="s">
        <v>739</v>
      </c>
      <c r="E36" s="34"/>
      <c r="F36" s="34"/>
      <c r="G36" s="2">
        <v>1</v>
      </c>
      <c r="H36" s="6"/>
      <c r="I36" s="6"/>
      <c r="J36" s="6"/>
      <c r="K36" s="6"/>
      <c r="L36" s="6"/>
      <c r="M36" s="6" t="s">
        <v>388</v>
      </c>
      <c r="N36" s="6" t="s">
        <v>388</v>
      </c>
      <c r="O36" s="6"/>
      <c r="P36" s="6"/>
      <c r="Q36" s="6"/>
      <c r="R36" s="6"/>
      <c r="S36" s="6"/>
      <c r="T36" s="6"/>
      <c r="U36" s="6"/>
      <c r="V36" s="6"/>
      <c r="W36" s="6"/>
      <c r="X36" s="6"/>
      <c r="Y36" s="6"/>
      <c r="Z36" s="6"/>
      <c r="AA36" s="6"/>
      <c r="AB36" s="6"/>
      <c r="AC36" s="12"/>
      <c r="AD36" s="12" t="s">
        <v>388</v>
      </c>
      <c r="AE36" s="12" t="s">
        <v>648</v>
      </c>
      <c r="AF36" s="2" t="s">
        <v>389</v>
      </c>
      <c r="AG36" s="2" t="s">
        <v>872</v>
      </c>
      <c r="AJ36" s="21" t="s">
        <v>831</v>
      </c>
    </row>
    <row r="37" spans="1:38" s="2" customFormat="1" ht="11.25">
      <c r="A37" s="2" t="s">
        <v>874</v>
      </c>
      <c r="B37" s="17" t="s">
        <v>873</v>
      </c>
      <c r="C37" s="2" t="s">
        <v>875</v>
      </c>
      <c r="D37" s="34" t="s">
        <v>739</v>
      </c>
      <c r="E37" s="34"/>
      <c r="F37" s="34"/>
      <c r="G37" s="82">
        <v>1</v>
      </c>
      <c r="H37" s="6"/>
      <c r="I37" s="6"/>
      <c r="J37" s="6"/>
      <c r="K37" s="6"/>
      <c r="L37" s="6" t="s">
        <v>388</v>
      </c>
      <c r="M37" s="6"/>
      <c r="N37" s="6" t="s">
        <v>388</v>
      </c>
      <c r="O37" s="6"/>
      <c r="P37" s="6"/>
      <c r="Q37" s="6"/>
      <c r="R37" s="6"/>
      <c r="S37" s="6"/>
      <c r="T37" s="6"/>
      <c r="U37" s="6"/>
      <c r="V37" s="6"/>
      <c r="W37" s="6"/>
      <c r="X37" s="6"/>
      <c r="Y37" s="6"/>
      <c r="Z37" s="6"/>
      <c r="AA37" s="6"/>
      <c r="AB37" s="6"/>
      <c r="AC37" s="12"/>
      <c r="AD37" s="12"/>
      <c r="AE37" s="12" t="s">
        <v>648</v>
      </c>
      <c r="AF37" s="2" t="s">
        <v>394</v>
      </c>
      <c r="AG37" s="2" t="s">
        <v>876</v>
      </c>
      <c r="AJ37" s="21" t="s">
        <v>831</v>
      </c>
    </row>
    <row r="38" spans="1:38" s="2" customFormat="1" ht="11.25">
      <c r="A38" s="2" t="s">
        <v>877</v>
      </c>
      <c r="B38" s="17" t="s">
        <v>878</v>
      </c>
      <c r="C38" s="2" t="s">
        <v>879</v>
      </c>
      <c r="D38" s="34" t="s">
        <v>739</v>
      </c>
      <c r="E38" s="34"/>
      <c r="F38" s="34"/>
      <c r="G38" s="2">
        <v>1</v>
      </c>
      <c r="H38" s="6"/>
      <c r="I38" s="6"/>
      <c r="J38" s="6"/>
      <c r="K38" s="6"/>
      <c r="L38" s="6"/>
      <c r="M38" s="6" t="s">
        <v>388</v>
      </c>
      <c r="N38" s="6" t="s">
        <v>388</v>
      </c>
      <c r="O38" s="6"/>
      <c r="P38" s="6"/>
      <c r="Q38" s="6"/>
      <c r="R38" s="6"/>
      <c r="S38" s="6"/>
      <c r="T38" s="6"/>
      <c r="U38" s="6" t="s">
        <v>388</v>
      </c>
      <c r="V38" s="6"/>
      <c r="W38" s="6"/>
      <c r="X38" s="6"/>
      <c r="Y38" s="6"/>
      <c r="Z38" s="6"/>
      <c r="AA38" s="6"/>
      <c r="AB38" s="6"/>
      <c r="AC38" s="12"/>
      <c r="AD38" s="12"/>
      <c r="AE38" s="12" t="s">
        <v>648</v>
      </c>
      <c r="AF38" s="2" t="s">
        <v>389</v>
      </c>
      <c r="AG38" s="2" t="s">
        <v>880</v>
      </c>
      <c r="AJ38" s="21" t="s">
        <v>763</v>
      </c>
    </row>
    <row r="39" spans="1:38" s="2" customFormat="1" ht="11.25">
      <c r="A39" s="2" t="s">
        <v>882</v>
      </c>
      <c r="B39" s="17" t="s">
        <v>881</v>
      </c>
      <c r="C39" s="2" t="s">
        <v>883</v>
      </c>
      <c r="D39" s="34" t="s">
        <v>739</v>
      </c>
      <c r="E39" s="34"/>
      <c r="F39" s="34"/>
      <c r="G39" s="2">
        <v>1</v>
      </c>
      <c r="H39" s="6"/>
      <c r="I39" s="6"/>
      <c r="J39" s="6"/>
      <c r="K39" s="6"/>
      <c r="L39" s="6"/>
      <c r="M39" s="6" t="s">
        <v>388</v>
      </c>
      <c r="N39" s="6" t="s">
        <v>388</v>
      </c>
      <c r="O39" s="6"/>
      <c r="P39" s="6"/>
      <c r="Q39" s="6"/>
      <c r="R39" s="6"/>
      <c r="S39" s="6"/>
      <c r="T39" s="6"/>
      <c r="U39" s="6" t="s">
        <v>388</v>
      </c>
      <c r="V39" s="6"/>
      <c r="W39" s="6"/>
      <c r="X39" s="6"/>
      <c r="Y39" s="6"/>
      <c r="Z39" s="6"/>
      <c r="AA39" s="6"/>
      <c r="AB39" s="6"/>
      <c r="AC39" s="12"/>
      <c r="AD39" s="12"/>
      <c r="AE39" s="12" t="s">
        <v>648</v>
      </c>
      <c r="AF39" s="2" t="s">
        <v>389</v>
      </c>
      <c r="AG39" s="2" t="s">
        <v>884</v>
      </c>
      <c r="AJ39" s="21" t="s">
        <v>763</v>
      </c>
    </row>
    <row r="40" spans="1:38" s="2" customFormat="1" ht="11.25">
      <c r="A40" s="2" t="s">
        <v>886</v>
      </c>
      <c r="B40" s="17" t="s">
        <v>885</v>
      </c>
      <c r="C40" s="2" t="s">
        <v>887</v>
      </c>
      <c r="D40" s="34" t="s">
        <v>739</v>
      </c>
      <c r="E40" s="34"/>
      <c r="F40" s="34"/>
      <c r="G40" s="82">
        <v>1</v>
      </c>
      <c r="H40" s="6"/>
      <c r="I40" s="6"/>
      <c r="J40" s="6"/>
      <c r="K40" s="6"/>
      <c r="L40" s="6"/>
      <c r="M40" s="6"/>
      <c r="N40" s="6" t="s">
        <v>388</v>
      </c>
      <c r="O40" s="6"/>
      <c r="P40" s="6"/>
      <c r="Q40" s="6"/>
      <c r="R40" s="6"/>
      <c r="S40" s="6"/>
      <c r="T40" s="6"/>
      <c r="U40" s="6" t="s">
        <v>388</v>
      </c>
      <c r="V40" s="6"/>
      <c r="W40" s="6"/>
      <c r="X40" s="6"/>
      <c r="Y40" s="6"/>
      <c r="Z40" s="6"/>
      <c r="AA40" s="6"/>
      <c r="AB40" s="6"/>
      <c r="AC40" s="12"/>
      <c r="AD40" s="12"/>
      <c r="AE40" s="12" t="s">
        <v>648</v>
      </c>
      <c r="AF40" s="2" t="s">
        <v>389</v>
      </c>
      <c r="AG40" s="2" t="s">
        <v>888</v>
      </c>
      <c r="AJ40" s="21" t="s">
        <v>763</v>
      </c>
    </row>
    <row r="41" spans="1:38" ht="11.25">
      <c r="A41" s="20" t="s">
        <v>1498</v>
      </c>
      <c r="B41" s="16" t="s">
        <v>1499</v>
      </c>
      <c r="C41" s="1" t="s">
        <v>1500</v>
      </c>
      <c r="D41" s="4" t="s">
        <v>387</v>
      </c>
      <c r="E41" s="4"/>
      <c r="F41" s="4"/>
      <c r="G41" s="1" t="s">
        <v>743</v>
      </c>
      <c r="N41" s="5" t="s">
        <v>388</v>
      </c>
      <c r="AB41" s="5"/>
      <c r="AC41" s="8"/>
      <c r="AD41" s="8" t="s">
        <v>388</v>
      </c>
      <c r="AE41" s="8" t="s">
        <v>648</v>
      </c>
      <c r="AF41" s="1" t="s">
        <v>641</v>
      </c>
      <c r="AG41" s="1" t="s">
        <v>1501</v>
      </c>
      <c r="AI41" s="1"/>
      <c r="AJ41" s="20"/>
      <c r="AK41" s="21"/>
      <c r="AL41" s="16"/>
    </row>
    <row r="42" spans="1:38" ht="11.25">
      <c r="A42" s="20" t="s">
        <v>1502</v>
      </c>
      <c r="B42" s="16" t="s">
        <v>1503</v>
      </c>
      <c r="C42" s="1" t="s">
        <v>1504</v>
      </c>
      <c r="D42" s="4" t="s">
        <v>387</v>
      </c>
      <c r="E42" s="4"/>
      <c r="F42" s="4"/>
      <c r="G42" s="1" t="s">
        <v>743</v>
      </c>
      <c r="J42" s="5" t="s">
        <v>388</v>
      </c>
      <c r="N42" s="5" t="s">
        <v>388</v>
      </c>
      <c r="AB42" s="5"/>
      <c r="AC42" s="8"/>
      <c r="AD42" s="8" t="s">
        <v>388</v>
      </c>
      <c r="AE42" s="8" t="s">
        <v>648</v>
      </c>
      <c r="AF42" s="1" t="s">
        <v>641</v>
      </c>
      <c r="AG42" s="1" t="s">
        <v>1505</v>
      </c>
      <c r="AI42" s="1"/>
      <c r="AJ42" s="20"/>
      <c r="AK42" s="21"/>
      <c r="AL42" s="16"/>
    </row>
    <row r="43" spans="1:38" ht="11.25">
      <c r="A43" s="20" t="s">
        <v>1506</v>
      </c>
      <c r="B43" s="16" t="s">
        <v>1507</v>
      </c>
      <c r="C43" s="1" t="s">
        <v>1508</v>
      </c>
      <c r="D43" s="4" t="s">
        <v>387</v>
      </c>
      <c r="E43" s="4"/>
      <c r="F43" s="4"/>
      <c r="G43" s="1" t="s">
        <v>743</v>
      </c>
      <c r="N43" s="5" t="s">
        <v>388</v>
      </c>
      <c r="AB43" s="5"/>
      <c r="AC43" s="8"/>
      <c r="AD43" s="8" t="s">
        <v>388</v>
      </c>
      <c r="AE43" s="8" t="s">
        <v>648</v>
      </c>
      <c r="AF43" s="1" t="s">
        <v>394</v>
      </c>
      <c r="AG43" s="100" t="s">
        <v>1509</v>
      </c>
      <c r="AI43" s="1"/>
      <c r="AJ43" s="20"/>
      <c r="AK43" s="21"/>
      <c r="AL43" s="16"/>
    </row>
    <row r="44" spans="1:38" ht="11.25">
      <c r="A44" s="20" t="s">
        <v>1510</v>
      </c>
      <c r="B44" s="17" t="s">
        <v>1511</v>
      </c>
      <c r="C44" s="1" t="s">
        <v>1512</v>
      </c>
      <c r="D44" s="4" t="s">
        <v>387</v>
      </c>
      <c r="E44" s="4"/>
      <c r="F44" s="4"/>
      <c r="G44" s="1" t="s">
        <v>743</v>
      </c>
      <c r="J44" s="5" t="s">
        <v>388</v>
      </c>
      <c r="N44" s="5" t="s">
        <v>388</v>
      </c>
      <c r="T44" s="5" t="s">
        <v>388</v>
      </c>
      <c r="AB44" s="5"/>
      <c r="AC44" s="8"/>
      <c r="AD44" s="8" t="s">
        <v>388</v>
      </c>
      <c r="AE44" s="8"/>
      <c r="AF44" s="1" t="s">
        <v>394</v>
      </c>
      <c r="AG44" s="1" t="s">
        <v>1513</v>
      </c>
      <c r="AH44" s="2"/>
      <c r="AI44" s="2"/>
      <c r="AJ44" s="20"/>
      <c r="AK44" s="21"/>
      <c r="AL44" s="16"/>
    </row>
    <row r="45" spans="1:38" ht="11.25">
      <c r="A45" s="20" t="s">
        <v>1514</v>
      </c>
      <c r="B45" s="16" t="s">
        <v>1515</v>
      </c>
      <c r="C45" s="1" t="s">
        <v>1516</v>
      </c>
      <c r="D45" s="4" t="s">
        <v>387</v>
      </c>
      <c r="E45" s="4"/>
      <c r="F45" s="4"/>
      <c r="G45" s="1">
        <v>1</v>
      </c>
      <c r="N45" s="5" t="s">
        <v>388</v>
      </c>
      <c r="AB45" s="5"/>
      <c r="AC45" s="8"/>
      <c r="AD45" s="8" t="s">
        <v>388</v>
      </c>
      <c r="AE45" s="8" t="s">
        <v>648</v>
      </c>
      <c r="AF45" s="1" t="s">
        <v>389</v>
      </c>
      <c r="AG45" s="100" t="s">
        <v>1517</v>
      </c>
      <c r="AI45" s="1"/>
      <c r="AJ45" s="20"/>
      <c r="AK45" s="21"/>
      <c r="AL45" s="16"/>
    </row>
    <row r="46" spans="1:38" ht="11.25">
      <c r="A46" s="20" t="s">
        <v>1518</v>
      </c>
      <c r="B46" s="16" t="s">
        <v>1519</v>
      </c>
      <c r="C46" s="1" t="s">
        <v>1520</v>
      </c>
      <c r="D46" s="4" t="s">
        <v>387</v>
      </c>
      <c r="E46" s="4"/>
      <c r="F46" s="4"/>
      <c r="G46" s="1">
        <v>1</v>
      </c>
      <c r="N46" s="5" t="s">
        <v>388</v>
      </c>
      <c r="S46" s="5" t="s">
        <v>388</v>
      </c>
      <c r="AB46" s="5"/>
      <c r="AC46" s="8"/>
      <c r="AD46" s="8" t="s">
        <v>388</v>
      </c>
      <c r="AE46" s="8" t="s">
        <v>648</v>
      </c>
      <c r="AF46" s="1" t="s">
        <v>389</v>
      </c>
      <c r="AG46" s="100" t="s">
        <v>1521</v>
      </c>
      <c r="AI46" s="1"/>
      <c r="AJ46" s="20"/>
      <c r="AK46" s="21"/>
      <c r="AL46" s="16"/>
    </row>
    <row r="47" spans="1:38" ht="11.25">
      <c r="A47" s="20" t="s">
        <v>1522</v>
      </c>
      <c r="B47" s="17" t="s">
        <v>1523</v>
      </c>
      <c r="C47" s="1" t="s">
        <v>821</v>
      </c>
      <c r="D47" s="4" t="s">
        <v>387</v>
      </c>
      <c r="E47" s="4"/>
      <c r="F47" s="4"/>
      <c r="G47" s="1">
        <v>5</v>
      </c>
      <c r="K47" s="5" t="s">
        <v>388</v>
      </c>
      <c r="N47" s="5" t="s">
        <v>388</v>
      </c>
      <c r="T47" s="5" t="s">
        <v>388</v>
      </c>
      <c r="W47" s="5" t="s">
        <v>388</v>
      </c>
      <c r="Z47" s="5" t="s">
        <v>388</v>
      </c>
      <c r="AA47" s="5" t="s">
        <v>388</v>
      </c>
      <c r="AB47" s="5" t="s">
        <v>388</v>
      </c>
      <c r="AC47" s="8"/>
      <c r="AD47" s="8" t="s">
        <v>388</v>
      </c>
      <c r="AE47" s="8" t="s">
        <v>648</v>
      </c>
      <c r="AF47" s="1" t="s">
        <v>389</v>
      </c>
      <c r="AG47" s="1" t="s">
        <v>1524</v>
      </c>
      <c r="AI47" s="1"/>
      <c r="AJ47" s="20"/>
      <c r="AK47" s="21"/>
      <c r="AL47" s="16"/>
    </row>
    <row r="48" spans="1:38" ht="11.25">
      <c r="A48" s="20" t="s">
        <v>1525</v>
      </c>
      <c r="B48" s="17" t="s">
        <v>1526</v>
      </c>
      <c r="C48" s="1" t="s">
        <v>1527</v>
      </c>
      <c r="D48" s="4" t="s">
        <v>387</v>
      </c>
      <c r="E48" s="4"/>
      <c r="F48" s="4"/>
      <c r="G48" s="1">
        <v>5</v>
      </c>
      <c r="K48" s="5" t="s">
        <v>388</v>
      </c>
      <c r="N48" s="5" t="s">
        <v>388</v>
      </c>
      <c r="T48" s="5" t="s">
        <v>388</v>
      </c>
      <c r="W48" s="5" t="s">
        <v>388</v>
      </c>
      <c r="Z48" s="5" t="s">
        <v>388</v>
      </c>
      <c r="AA48" s="5" t="s">
        <v>388</v>
      </c>
      <c r="AB48" s="5" t="s">
        <v>388</v>
      </c>
      <c r="AC48" s="8"/>
      <c r="AD48" s="8" t="s">
        <v>388</v>
      </c>
      <c r="AE48" s="8"/>
      <c r="AF48" s="1" t="s">
        <v>389</v>
      </c>
      <c r="AI48" s="1"/>
      <c r="AJ48" s="20"/>
      <c r="AK48" s="21"/>
      <c r="AL48" s="16"/>
    </row>
    <row r="49" spans="1:38" ht="11.25">
      <c r="A49" s="20" t="s">
        <v>1528</v>
      </c>
      <c r="B49" s="17" t="s">
        <v>1529</v>
      </c>
      <c r="C49" s="3" t="s">
        <v>1530</v>
      </c>
      <c r="D49" s="13" t="s">
        <v>387</v>
      </c>
      <c r="E49" s="13"/>
      <c r="F49" s="13"/>
      <c r="G49" s="1" t="s">
        <v>743</v>
      </c>
      <c r="M49" s="5" t="s">
        <v>388</v>
      </c>
      <c r="N49" s="5" t="s">
        <v>388</v>
      </c>
      <c r="U49" s="5" t="s">
        <v>388</v>
      </c>
      <c r="AB49" s="5"/>
      <c r="AC49" s="8"/>
      <c r="AD49" s="8" t="s">
        <v>388</v>
      </c>
      <c r="AE49" s="8" t="s">
        <v>648</v>
      </c>
      <c r="AF49" s="1" t="s">
        <v>389</v>
      </c>
      <c r="AG49" s="100" t="s">
        <v>1531</v>
      </c>
      <c r="AI49" s="1"/>
      <c r="AJ49" s="20"/>
      <c r="AK49" s="21"/>
      <c r="AL49" s="16"/>
    </row>
    <row r="50" spans="1:38" ht="11.25">
      <c r="A50" s="20" t="s">
        <v>1532</v>
      </c>
      <c r="B50" s="16" t="s">
        <v>1533</v>
      </c>
      <c r="C50" s="1" t="s">
        <v>1534</v>
      </c>
      <c r="D50" s="4" t="s">
        <v>387</v>
      </c>
      <c r="E50" s="4"/>
      <c r="F50" s="4"/>
      <c r="G50" s="1" t="s">
        <v>743</v>
      </c>
      <c r="N50" s="5" t="s">
        <v>388</v>
      </c>
      <c r="U50" s="5" t="s">
        <v>388</v>
      </c>
      <c r="AB50" s="5"/>
      <c r="AC50" s="8"/>
      <c r="AD50" s="8" t="s">
        <v>388</v>
      </c>
      <c r="AE50" s="8" t="s">
        <v>648</v>
      </c>
      <c r="AF50" s="1" t="s">
        <v>389</v>
      </c>
      <c r="AG50" s="1" t="s">
        <v>1535</v>
      </c>
      <c r="AI50" s="1"/>
      <c r="AJ50" s="20"/>
      <c r="AK50" s="21"/>
      <c r="AL50" s="16"/>
    </row>
    <row r="51" spans="1:38" ht="11.25">
      <c r="A51" s="20" t="s">
        <v>1536</v>
      </c>
      <c r="B51" s="19" t="s">
        <v>1537</v>
      </c>
      <c r="C51" s="14" t="s">
        <v>1538</v>
      </c>
      <c r="D51" s="36" t="s">
        <v>387</v>
      </c>
      <c r="E51" s="36"/>
      <c r="F51" s="36"/>
      <c r="G51" s="1" t="s">
        <v>743</v>
      </c>
      <c r="J51" s="5" t="s">
        <v>388</v>
      </c>
      <c r="N51" s="5" t="s">
        <v>388</v>
      </c>
      <c r="AB51" s="5"/>
      <c r="AC51" s="8"/>
      <c r="AD51" s="8" t="s">
        <v>388</v>
      </c>
      <c r="AE51" s="8" t="s">
        <v>648</v>
      </c>
      <c r="AF51" s="1" t="s">
        <v>389</v>
      </c>
      <c r="AI51" s="1"/>
      <c r="AJ51" s="22"/>
      <c r="AK51" s="21"/>
      <c r="AL51" s="16"/>
    </row>
    <row r="52" spans="1:38" ht="11.25">
      <c r="A52" s="20" t="s">
        <v>1539</v>
      </c>
      <c r="B52" s="17" t="s">
        <v>1540</v>
      </c>
      <c r="C52" s="1" t="s">
        <v>1541</v>
      </c>
      <c r="D52" s="4" t="s">
        <v>387</v>
      </c>
      <c r="E52" s="4"/>
      <c r="F52" s="4"/>
      <c r="G52" s="1" t="s">
        <v>743</v>
      </c>
      <c r="M52" s="5" t="s">
        <v>388</v>
      </c>
      <c r="N52" s="5" t="s">
        <v>388</v>
      </c>
      <c r="U52" s="5" t="s">
        <v>388</v>
      </c>
      <c r="AB52" s="5"/>
      <c r="AC52" s="8"/>
      <c r="AD52" s="8" t="s">
        <v>388</v>
      </c>
      <c r="AE52" s="8" t="s">
        <v>648</v>
      </c>
      <c r="AF52" s="1" t="s">
        <v>394</v>
      </c>
      <c r="AG52" s="100" t="s">
        <v>1542</v>
      </c>
      <c r="AI52" s="1"/>
      <c r="AJ52" s="20"/>
      <c r="AK52" s="21"/>
      <c r="AL52" s="16"/>
    </row>
    <row r="53" spans="1:38" ht="11.25">
      <c r="A53" s="20" t="s">
        <v>1543</v>
      </c>
      <c r="B53" s="17" t="s">
        <v>1544</v>
      </c>
      <c r="C53" s="1" t="s">
        <v>1545</v>
      </c>
      <c r="D53" s="4" t="s">
        <v>387</v>
      </c>
      <c r="E53" s="4"/>
      <c r="F53" s="4"/>
      <c r="G53" s="1" t="s">
        <v>743</v>
      </c>
      <c r="N53" s="5" t="s">
        <v>388</v>
      </c>
      <c r="U53" s="5" t="s">
        <v>388</v>
      </c>
      <c r="AB53" s="5"/>
      <c r="AC53" s="8"/>
      <c r="AD53" s="8" t="s">
        <v>388</v>
      </c>
      <c r="AE53" s="8" t="s">
        <v>648</v>
      </c>
      <c r="AF53" s="1" t="s">
        <v>394</v>
      </c>
      <c r="AG53" s="1" t="s">
        <v>1546</v>
      </c>
      <c r="AI53" s="1"/>
      <c r="AJ53" s="20"/>
      <c r="AK53" s="21"/>
      <c r="AL53" s="16"/>
    </row>
    <row r="54" spans="1:38" s="2" customFormat="1" ht="11.25">
      <c r="B54" s="17"/>
      <c r="D54" s="34"/>
      <c r="E54" s="34"/>
      <c r="F54" s="34"/>
      <c r="H54" s="6"/>
      <c r="I54" s="6"/>
      <c r="J54" s="6"/>
      <c r="K54" s="6"/>
      <c r="L54" s="6"/>
      <c r="M54" s="6"/>
      <c r="N54" s="6"/>
      <c r="O54" s="6"/>
      <c r="P54" s="6"/>
      <c r="Q54" s="6"/>
      <c r="R54" s="6"/>
      <c r="S54" s="6"/>
      <c r="T54" s="6"/>
      <c r="U54" s="6"/>
      <c r="V54" s="6"/>
      <c r="W54" s="6"/>
      <c r="X54" s="6"/>
      <c r="Y54" s="6"/>
      <c r="Z54" s="6"/>
      <c r="AA54" s="6"/>
      <c r="AB54" s="6"/>
      <c r="AC54" s="12"/>
      <c r="AD54" s="12"/>
      <c r="AE54" s="12"/>
      <c r="AJ54" s="21"/>
    </row>
    <row r="55" spans="1:38" s="2" customFormat="1" ht="11.25">
      <c r="B55" s="17"/>
      <c r="D55" s="34"/>
      <c r="E55" s="34"/>
      <c r="F55" s="34"/>
      <c r="H55" s="6"/>
      <c r="I55" s="6"/>
      <c r="J55" s="6"/>
      <c r="K55" s="6"/>
      <c r="L55" s="6"/>
      <c r="M55" s="6"/>
      <c r="N55" s="6"/>
      <c r="O55" s="6"/>
      <c r="P55" s="6"/>
      <c r="Q55" s="6"/>
      <c r="R55" s="6"/>
      <c r="S55" s="6"/>
      <c r="T55" s="6"/>
      <c r="U55" s="6"/>
      <c r="V55" s="6"/>
      <c r="W55" s="6"/>
      <c r="X55" s="6"/>
      <c r="Y55" s="6"/>
      <c r="Z55" s="6"/>
      <c r="AA55" s="6"/>
      <c r="AB55" s="6"/>
      <c r="AC55" s="12"/>
      <c r="AD55" s="12"/>
      <c r="AE55" s="12"/>
      <c r="AJ55" s="21"/>
    </row>
    <row r="56" spans="1:38" s="2" customFormat="1" ht="11.25">
      <c r="B56" s="17"/>
      <c r="D56" s="34"/>
      <c r="E56" s="34"/>
      <c r="F56" s="34"/>
      <c r="H56" s="6"/>
      <c r="I56" s="6"/>
      <c r="J56" s="6"/>
      <c r="K56" s="6"/>
      <c r="L56" s="6"/>
      <c r="M56" s="6"/>
      <c r="N56" s="6"/>
      <c r="O56" s="6"/>
      <c r="P56" s="6"/>
      <c r="Q56" s="6"/>
      <c r="R56" s="6"/>
      <c r="S56" s="6"/>
      <c r="T56" s="6"/>
      <c r="U56" s="6"/>
      <c r="V56" s="6"/>
      <c r="W56" s="6"/>
      <c r="X56" s="6"/>
      <c r="Y56" s="6"/>
      <c r="Z56" s="6"/>
      <c r="AA56" s="6"/>
      <c r="AB56" s="6"/>
      <c r="AC56" s="12"/>
      <c r="AD56" s="12"/>
      <c r="AE56" s="12"/>
      <c r="AJ56" s="21"/>
    </row>
    <row r="57" spans="1:38" s="2" customFormat="1" ht="11.25">
      <c r="B57" s="17"/>
      <c r="D57" s="34"/>
      <c r="E57" s="34"/>
      <c r="F57" s="34"/>
      <c r="H57" s="6"/>
      <c r="I57" s="6"/>
      <c r="J57" s="6"/>
      <c r="K57" s="6"/>
      <c r="L57" s="6"/>
      <c r="M57" s="6"/>
      <c r="N57" s="6"/>
      <c r="O57" s="6"/>
      <c r="P57" s="6"/>
      <c r="Q57" s="6"/>
      <c r="R57" s="6"/>
      <c r="S57" s="6"/>
      <c r="T57" s="6"/>
      <c r="U57" s="6"/>
      <c r="V57" s="6"/>
      <c r="W57" s="6"/>
      <c r="X57" s="6"/>
      <c r="Y57" s="6"/>
      <c r="Z57" s="6"/>
      <c r="AA57" s="6"/>
      <c r="AB57" s="6"/>
      <c r="AC57" s="12"/>
      <c r="AD57" s="12"/>
      <c r="AE57" s="12"/>
      <c r="AJ57" s="21"/>
    </row>
    <row r="58" spans="1:38" s="2" customFormat="1" ht="11.25">
      <c r="B58" s="17"/>
      <c r="D58" s="34"/>
      <c r="E58" s="34"/>
      <c r="F58" s="34"/>
      <c r="H58" s="6"/>
      <c r="I58" s="6"/>
      <c r="J58" s="6"/>
      <c r="K58" s="6"/>
      <c r="L58" s="6"/>
      <c r="M58" s="6"/>
      <c r="N58" s="6"/>
      <c r="O58" s="6"/>
      <c r="P58" s="6"/>
      <c r="Q58" s="6"/>
      <c r="R58" s="6"/>
      <c r="S58" s="6"/>
      <c r="T58" s="6"/>
      <c r="U58" s="6"/>
      <c r="V58" s="6"/>
      <c r="W58" s="6"/>
      <c r="X58" s="6"/>
      <c r="Y58" s="6"/>
      <c r="Z58" s="6"/>
      <c r="AA58" s="6"/>
      <c r="AB58" s="6"/>
      <c r="AC58" s="12"/>
      <c r="AD58" s="12"/>
      <c r="AE58" s="12"/>
      <c r="AJ58" s="21"/>
    </row>
    <row r="59" spans="1:38" s="2" customFormat="1" ht="11.25">
      <c r="B59" s="17"/>
      <c r="D59" s="34"/>
      <c r="E59" s="34"/>
      <c r="F59" s="34"/>
      <c r="H59" s="6"/>
      <c r="I59" s="6"/>
      <c r="J59" s="6"/>
      <c r="K59" s="6"/>
      <c r="L59" s="6"/>
      <c r="M59" s="6"/>
      <c r="N59" s="6"/>
      <c r="O59" s="6"/>
      <c r="P59" s="6"/>
      <c r="Q59" s="6"/>
      <c r="R59" s="6"/>
      <c r="S59" s="6"/>
      <c r="T59" s="6"/>
      <c r="U59" s="6"/>
      <c r="V59" s="6"/>
      <c r="W59" s="6"/>
      <c r="X59" s="6"/>
      <c r="Y59" s="6"/>
      <c r="Z59" s="6"/>
      <c r="AA59" s="6"/>
      <c r="AB59" s="6"/>
      <c r="AC59" s="12"/>
      <c r="AD59" s="12"/>
      <c r="AE59" s="12"/>
      <c r="AJ59" s="21"/>
    </row>
    <row r="60" spans="1:38" s="2" customFormat="1" ht="11.25">
      <c r="B60" s="17"/>
      <c r="D60" s="34"/>
      <c r="E60" s="34"/>
      <c r="F60" s="34"/>
      <c r="H60" s="6"/>
      <c r="I60" s="6"/>
      <c r="J60" s="6"/>
      <c r="K60" s="6"/>
      <c r="L60" s="6"/>
      <c r="M60" s="6"/>
      <c r="N60" s="6"/>
      <c r="O60" s="6"/>
      <c r="P60" s="6"/>
      <c r="Q60" s="6"/>
      <c r="R60" s="6"/>
      <c r="S60" s="6"/>
      <c r="T60" s="6"/>
      <c r="U60" s="6"/>
      <c r="V60" s="6"/>
      <c r="W60" s="6"/>
      <c r="X60" s="6"/>
      <c r="Y60" s="6"/>
      <c r="Z60" s="6"/>
      <c r="AA60" s="6"/>
      <c r="AB60" s="6"/>
      <c r="AC60" s="12"/>
      <c r="AD60" s="12"/>
      <c r="AE60" s="12"/>
      <c r="AJ60" s="21"/>
    </row>
    <row r="61" spans="1:38" s="2" customFormat="1" ht="11.25">
      <c r="B61" s="17"/>
      <c r="D61" s="34"/>
      <c r="E61" s="34"/>
      <c r="F61" s="34"/>
      <c r="H61" s="6"/>
      <c r="I61" s="6"/>
      <c r="J61" s="6"/>
      <c r="K61" s="6"/>
      <c r="L61" s="6"/>
      <c r="M61" s="6"/>
      <c r="N61" s="6"/>
      <c r="O61" s="6"/>
      <c r="P61" s="6"/>
      <c r="Q61" s="6"/>
      <c r="R61" s="6"/>
      <c r="S61" s="6"/>
      <c r="T61" s="6"/>
      <c r="U61" s="6"/>
      <c r="V61" s="6"/>
      <c r="W61" s="6"/>
      <c r="X61" s="6"/>
      <c r="Y61" s="6"/>
      <c r="Z61" s="6"/>
      <c r="AA61" s="6"/>
      <c r="AB61" s="6"/>
      <c r="AC61" s="12"/>
      <c r="AD61" s="12"/>
      <c r="AE61" s="12"/>
      <c r="AJ61" s="21"/>
    </row>
    <row r="62" spans="1:38" s="2" customFormat="1" ht="11.25">
      <c r="B62" s="17"/>
      <c r="D62" s="34"/>
      <c r="E62" s="34"/>
      <c r="F62" s="34"/>
      <c r="H62" s="6"/>
      <c r="I62" s="6"/>
      <c r="J62" s="6"/>
      <c r="K62" s="6"/>
      <c r="L62" s="6"/>
      <c r="M62" s="6"/>
      <c r="N62" s="6"/>
      <c r="O62" s="6"/>
      <c r="P62" s="6"/>
      <c r="Q62" s="6"/>
      <c r="R62" s="6"/>
      <c r="S62" s="6"/>
      <c r="T62" s="6"/>
      <c r="U62" s="6"/>
      <c r="V62" s="6"/>
      <c r="W62" s="6"/>
      <c r="X62" s="6"/>
      <c r="Y62" s="6"/>
      <c r="Z62" s="6"/>
      <c r="AA62" s="6"/>
      <c r="AB62" s="6"/>
      <c r="AC62" s="12"/>
      <c r="AD62" s="12"/>
      <c r="AE62" s="12"/>
      <c r="AJ62" s="21"/>
    </row>
    <row r="63" spans="1:38" s="2" customFormat="1" ht="11.25">
      <c r="B63" s="17"/>
      <c r="D63" s="34"/>
      <c r="E63" s="34"/>
      <c r="F63" s="34"/>
      <c r="H63" s="6"/>
      <c r="I63" s="6"/>
      <c r="J63" s="6"/>
      <c r="K63" s="6"/>
      <c r="L63" s="6"/>
      <c r="M63" s="6"/>
      <c r="N63" s="6"/>
      <c r="O63" s="6"/>
      <c r="P63" s="6"/>
      <c r="Q63" s="6"/>
      <c r="R63" s="6"/>
      <c r="S63" s="6"/>
      <c r="T63" s="6"/>
      <c r="U63" s="6"/>
      <c r="V63" s="6"/>
      <c r="W63" s="6"/>
      <c r="X63" s="6"/>
      <c r="Y63" s="6"/>
      <c r="Z63" s="6"/>
      <c r="AA63" s="6"/>
      <c r="AB63" s="6"/>
      <c r="AC63" s="12"/>
      <c r="AD63" s="12"/>
      <c r="AE63" s="12"/>
      <c r="AJ63" s="21"/>
    </row>
    <row r="64" spans="1:38" s="2" customFormat="1" ht="11.25">
      <c r="B64" s="17"/>
      <c r="D64" s="34"/>
      <c r="E64" s="34"/>
      <c r="F64" s="34"/>
      <c r="H64" s="6"/>
      <c r="I64" s="6"/>
      <c r="J64" s="6"/>
      <c r="K64" s="6"/>
      <c r="L64" s="6"/>
      <c r="M64" s="6"/>
      <c r="N64" s="6"/>
      <c r="O64" s="6"/>
      <c r="P64" s="6"/>
      <c r="Q64" s="6"/>
      <c r="R64" s="6"/>
      <c r="S64" s="6"/>
      <c r="T64" s="6"/>
      <c r="U64" s="6"/>
      <c r="V64" s="6"/>
      <c r="W64" s="6"/>
      <c r="X64" s="6"/>
      <c r="Y64" s="6"/>
      <c r="Z64" s="6"/>
      <c r="AA64" s="6"/>
      <c r="AB64" s="6"/>
      <c r="AC64" s="12"/>
      <c r="AD64" s="12"/>
      <c r="AE64" s="12"/>
      <c r="AJ64" s="21"/>
    </row>
    <row r="65" spans="2:36" s="2" customFormat="1" ht="11.25">
      <c r="B65" s="17"/>
      <c r="D65" s="34"/>
      <c r="E65" s="34"/>
      <c r="F65" s="34"/>
      <c r="H65" s="6"/>
      <c r="I65" s="6"/>
      <c r="J65" s="6"/>
      <c r="K65" s="6"/>
      <c r="L65" s="6"/>
      <c r="M65" s="6"/>
      <c r="N65" s="6"/>
      <c r="O65" s="6"/>
      <c r="P65" s="6"/>
      <c r="Q65" s="6"/>
      <c r="R65" s="6"/>
      <c r="S65" s="6"/>
      <c r="T65" s="6"/>
      <c r="U65" s="6"/>
      <c r="V65" s="6"/>
      <c r="W65" s="6"/>
      <c r="X65" s="6"/>
      <c r="Y65" s="6"/>
      <c r="Z65" s="6"/>
      <c r="AA65" s="6"/>
      <c r="AB65" s="6"/>
      <c r="AC65" s="12"/>
      <c r="AD65" s="12"/>
      <c r="AE65" s="12"/>
      <c r="AJ65" s="21"/>
    </row>
    <row r="66" spans="2:36" s="2" customFormat="1" ht="11.25">
      <c r="B66" s="17"/>
      <c r="D66" s="34"/>
      <c r="E66" s="34"/>
      <c r="F66" s="34"/>
      <c r="H66" s="6"/>
      <c r="I66" s="6"/>
      <c r="J66" s="6"/>
      <c r="K66" s="6"/>
      <c r="L66" s="6"/>
      <c r="M66" s="6"/>
      <c r="N66" s="6"/>
      <c r="O66" s="6"/>
      <c r="P66" s="6"/>
      <c r="Q66" s="6"/>
      <c r="R66" s="6"/>
      <c r="S66" s="6"/>
      <c r="T66" s="6"/>
      <c r="U66" s="6"/>
      <c r="V66" s="6"/>
      <c r="W66" s="6"/>
      <c r="X66" s="6"/>
      <c r="Y66" s="6"/>
      <c r="Z66" s="6"/>
      <c r="AA66" s="6"/>
      <c r="AB66" s="6"/>
      <c r="AC66" s="12"/>
      <c r="AD66" s="12"/>
      <c r="AE66" s="12"/>
      <c r="AJ66" s="21"/>
    </row>
    <row r="67" spans="2:36" s="2" customFormat="1" ht="11.25">
      <c r="B67" s="17"/>
      <c r="D67" s="34"/>
      <c r="E67" s="34"/>
      <c r="F67" s="34"/>
      <c r="H67" s="6"/>
      <c r="I67" s="6"/>
      <c r="J67" s="6"/>
      <c r="K67" s="6"/>
      <c r="L67" s="6"/>
      <c r="M67" s="6"/>
      <c r="N67" s="6"/>
      <c r="O67" s="6"/>
      <c r="P67" s="6"/>
      <c r="Q67" s="6"/>
      <c r="R67" s="6"/>
      <c r="S67" s="6"/>
      <c r="T67" s="6"/>
      <c r="U67" s="6"/>
      <c r="V67" s="6"/>
      <c r="W67" s="6"/>
      <c r="X67" s="6"/>
      <c r="Y67" s="6"/>
      <c r="Z67" s="6"/>
      <c r="AA67" s="6"/>
      <c r="AB67" s="6"/>
      <c r="AC67" s="12"/>
      <c r="AD67" s="12"/>
      <c r="AE67" s="12"/>
      <c r="AJ67" s="21"/>
    </row>
    <row r="68" spans="2:36" s="2" customFormat="1" ht="11.25">
      <c r="B68" s="17"/>
      <c r="D68" s="34"/>
      <c r="E68" s="34"/>
      <c r="F68" s="34"/>
      <c r="H68" s="6"/>
      <c r="I68" s="6"/>
      <c r="J68" s="6"/>
      <c r="K68" s="6"/>
      <c r="L68" s="6"/>
      <c r="M68" s="6"/>
      <c r="N68" s="6"/>
      <c r="O68" s="6"/>
      <c r="P68" s="6"/>
      <c r="Q68" s="6"/>
      <c r="R68" s="6"/>
      <c r="S68" s="6"/>
      <c r="T68" s="6"/>
      <c r="U68" s="6"/>
      <c r="V68" s="6"/>
      <c r="W68" s="6"/>
      <c r="X68" s="6"/>
      <c r="Y68" s="6"/>
      <c r="Z68" s="6"/>
      <c r="AA68" s="6"/>
      <c r="AB68" s="6"/>
      <c r="AC68" s="12"/>
      <c r="AD68" s="12"/>
      <c r="AE68" s="12"/>
      <c r="AJ68" s="21"/>
    </row>
    <row r="69" spans="2:36" s="2" customFormat="1" ht="11.25">
      <c r="B69" s="17"/>
      <c r="D69" s="34"/>
      <c r="E69" s="34"/>
      <c r="F69" s="34"/>
      <c r="H69" s="6"/>
      <c r="I69" s="6"/>
      <c r="J69" s="6"/>
      <c r="K69" s="6"/>
      <c r="L69" s="6"/>
      <c r="M69" s="6"/>
      <c r="N69" s="6"/>
      <c r="O69" s="6"/>
      <c r="P69" s="6"/>
      <c r="Q69" s="6"/>
      <c r="R69" s="6"/>
      <c r="S69" s="6"/>
      <c r="T69" s="6"/>
      <c r="U69" s="6"/>
      <c r="V69" s="6"/>
      <c r="W69" s="6"/>
      <c r="X69" s="6"/>
      <c r="Y69" s="6"/>
      <c r="Z69" s="6"/>
      <c r="AA69" s="6"/>
      <c r="AB69" s="6"/>
      <c r="AC69" s="12"/>
      <c r="AD69" s="12"/>
      <c r="AE69" s="12"/>
      <c r="AJ69" s="21"/>
    </row>
    <row r="70" spans="2:36" s="2" customFormat="1" ht="11.25">
      <c r="B70" s="17"/>
      <c r="D70" s="34"/>
      <c r="E70" s="34"/>
      <c r="F70" s="34"/>
      <c r="H70" s="6"/>
      <c r="I70" s="6"/>
      <c r="J70" s="6"/>
      <c r="K70" s="6"/>
      <c r="L70" s="6"/>
      <c r="M70" s="6"/>
      <c r="N70" s="6"/>
      <c r="O70" s="6"/>
      <c r="P70" s="6"/>
      <c r="Q70" s="6"/>
      <c r="R70" s="6"/>
      <c r="S70" s="6"/>
      <c r="T70" s="6"/>
      <c r="U70" s="6"/>
      <c r="V70" s="6"/>
      <c r="W70" s="6"/>
      <c r="X70" s="6"/>
      <c r="Y70" s="6"/>
      <c r="Z70" s="6"/>
      <c r="AA70" s="6"/>
      <c r="AB70" s="6"/>
      <c r="AC70" s="12"/>
      <c r="AD70" s="12"/>
      <c r="AE70" s="12"/>
      <c r="AJ70" s="21"/>
    </row>
    <row r="71" spans="2:36" s="2" customFormat="1" ht="11.25">
      <c r="B71" s="17"/>
      <c r="D71" s="34"/>
      <c r="E71" s="34"/>
      <c r="F71" s="34"/>
      <c r="H71" s="6"/>
      <c r="I71" s="6"/>
      <c r="J71" s="6"/>
      <c r="K71" s="6"/>
      <c r="L71" s="6"/>
      <c r="M71" s="6"/>
      <c r="N71" s="6"/>
      <c r="O71" s="6"/>
      <c r="P71" s="6"/>
      <c r="Q71" s="6"/>
      <c r="R71" s="6"/>
      <c r="S71" s="6"/>
      <c r="T71" s="6"/>
      <c r="U71" s="6"/>
      <c r="V71" s="6"/>
      <c r="W71" s="6"/>
      <c r="X71" s="6"/>
      <c r="Y71" s="6"/>
      <c r="Z71" s="6"/>
      <c r="AA71" s="6"/>
      <c r="AB71" s="6"/>
      <c r="AC71" s="12"/>
      <c r="AD71" s="12"/>
      <c r="AE71" s="12"/>
      <c r="AJ71" s="21"/>
    </row>
    <row r="72" spans="2:36" s="2" customFormat="1" ht="11.25">
      <c r="B72" s="17"/>
      <c r="D72" s="34"/>
      <c r="E72" s="34"/>
      <c r="F72" s="34"/>
      <c r="H72" s="6"/>
      <c r="I72" s="6"/>
      <c r="J72" s="6"/>
      <c r="K72" s="6"/>
      <c r="L72" s="6"/>
      <c r="M72" s="6"/>
      <c r="N72" s="6"/>
      <c r="O72" s="6"/>
      <c r="P72" s="6"/>
      <c r="Q72" s="6"/>
      <c r="R72" s="6"/>
      <c r="S72" s="6"/>
      <c r="T72" s="6"/>
      <c r="U72" s="6"/>
      <c r="V72" s="6"/>
      <c r="W72" s="6"/>
      <c r="X72" s="6"/>
      <c r="Y72" s="6"/>
      <c r="Z72" s="6"/>
      <c r="AA72" s="6"/>
      <c r="AB72" s="6"/>
      <c r="AC72" s="12"/>
      <c r="AD72" s="12"/>
      <c r="AE72" s="12"/>
      <c r="AJ72" s="21"/>
    </row>
    <row r="73" spans="2:36" s="2" customFormat="1" ht="11.25">
      <c r="B73" s="17"/>
      <c r="D73" s="34"/>
      <c r="E73" s="34"/>
      <c r="F73" s="34"/>
      <c r="H73" s="6"/>
      <c r="I73" s="6"/>
      <c r="J73" s="6"/>
      <c r="K73" s="6"/>
      <c r="L73" s="6"/>
      <c r="M73" s="6"/>
      <c r="N73" s="6"/>
      <c r="O73" s="6"/>
      <c r="P73" s="6"/>
      <c r="Q73" s="6"/>
      <c r="R73" s="6"/>
      <c r="S73" s="6"/>
      <c r="T73" s="6"/>
      <c r="U73" s="6"/>
      <c r="V73" s="6"/>
      <c r="W73" s="6"/>
      <c r="X73" s="6"/>
      <c r="Y73" s="6"/>
      <c r="Z73" s="6"/>
      <c r="AA73" s="6"/>
      <c r="AB73" s="6"/>
      <c r="AC73" s="12"/>
      <c r="AD73" s="12"/>
      <c r="AE73" s="12"/>
      <c r="AJ73" s="21"/>
    </row>
    <row r="74" spans="2:36" s="2" customFormat="1" ht="11.25">
      <c r="B74" s="17"/>
      <c r="D74" s="34"/>
      <c r="E74" s="34"/>
      <c r="F74" s="34"/>
      <c r="H74" s="6"/>
      <c r="I74" s="6"/>
      <c r="J74" s="6"/>
      <c r="K74" s="6"/>
      <c r="L74" s="6"/>
      <c r="M74" s="6"/>
      <c r="N74" s="6"/>
      <c r="O74" s="6"/>
      <c r="P74" s="6"/>
      <c r="Q74" s="6"/>
      <c r="R74" s="6"/>
      <c r="S74" s="6"/>
      <c r="T74" s="6"/>
      <c r="U74" s="6"/>
      <c r="V74" s="6"/>
      <c r="W74" s="6"/>
      <c r="X74" s="6"/>
      <c r="Y74" s="6"/>
      <c r="Z74" s="6"/>
      <c r="AA74" s="6"/>
      <c r="AB74" s="6"/>
      <c r="AC74" s="12"/>
      <c r="AD74" s="12"/>
      <c r="AE74" s="12"/>
      <c r="AJ74" s="21"/>
    </row>
    <row r="75" spans="2:36" s="2" customFormat="1" ht="11.25">
      <c r="B75" s="17"/>
      <c r="D75" s="34"/>
      <c r="E75" s="34"/>
      <c r="F75" s="34"/>
      <c r="H75" s="6"/>
      <c r="I75" s="6"/>
      <c r="J75" s="6"/>
      <c r="K75" s="6"/>
      <c r="L75" s="6"/>
      <c r="M75" s="6"/>
      <c r="N75" s="6"/>
      <c r="O75" s="6"/>
      <c r="P75" s="6"/>
      <c r="Q75" s="6"/>
      <c r="R75" s="6"/>
      <c r="S75" s="6"/>
      <c r="T75" s="6"/>
      <c r="U75" s="6"/>
      <c r="V75" s="6"/>
      <c r="W75" s="6"/>
      <c r="X75" s="6"/>
      <c r="Y75" s="6"/>
      <c r="Z75" s="6"/>
      <c r="AA75" s="6"/>
      <c r="AB75" s="6"/>
      <c r="AC75" s="12"/>
      <c r="AD75" s="12"/>
      <c r="AE75" s="12"/>
      <c r="AJ75" s="21"/>
    </row>
    <row r="76" spans="2:36" s="2" customFormat="1" ht="11.25">
      <c r="B76" s="17"/>
      <c r="D76" s="34"/>
      <c r="E76" s="34"/>
      <c r="F76" s="34"/>
      <c r="H76" s="6"/>
      <c r="I76" s="6"/>
      <c r="J76" s="6"/>
      <c r="K76" s="6"/>
      <c r="L76" s="6"/>
      <c r="M76" s="6"/>
      <c r="N76" s="6"/>
      <c r="O76" s="6"/>
      <c r="P76" s="6"/>
      <c r="Q76" s="6"/>
      <c r="R76" s="6"/>
      <c r="S76" s="6"/>
      <c r="T76" s="6"/>
      <c r="U76" s="6"/>
      <c r="V76" s="6"/>
      <c r="W76" s="6"/>
      <c r="X76" s="6"/>
      <c r="Y76" s="6"/>
      <c r="Z76" s="6"/>
      <c r="AA76" s="6"/>
      <c r="AB76" s="6"/>
      <c r="AC76" s="12"/>
      <c r="AD76" s="12"/>
      <c r="AE76" s="12"/>
      <c r="AJ76" s="21"/>
    </row>
    <row r="77" spans="2:36" s="2" customFormat="1" ht="11.25">
      <c r="B77" s="17"/>
      <c r="D77" s="34"/>
      <c r="E77" s="34"/>
      <c r="F77" s="34"/>
      <c r="H77" s="6"/>
      <c r="I77" s="6"/>
      <c r="J77" s="6"/>
      <c r="K77" s="6"/>
      <c r="L77" s="6"/>
      <c r="M77" s="6"/>
      <c r="N77" s="6"/>
      <c r="O77" s="6"/>
      <c r="P77" s="6"/>
      <c r="Q77" s="6"/>
      <c r="R77" s="6"/>
      <c r="S77" s="6"/>
      <c r="T77" s="6"/>
      <c r="U77" s="6"/>
      <c r="V77" s="6"/>
      <c r="W77" s="6"/>
      <c r="X77" s="6"/>
      <c r="Y77" s="6"/>
      <c r="Z77" s="6"/>
      <c r="AA77" s="6"/>
      <c r="AB77" s="6"/>
      <c r="AC77" s="12"/>
      <c r="AD77" s="12"/>
      <c r="AE77" s="12"/>
      <c r="AJ77" s="21"/>
    </row>
    <row r="78" spans="2:36" s="2" customFormat="1" ht="11.25">
      <c r="B78" s="17"/>
      <c r="D78" s="34"/>
      <c r="E78" s="34"/>
      <c r="F78" s="34"/>
      <c r="H78" s="6"/>
      <c r="I78" s="6"/>
      <c r="J78" s="6"/>
      <c r="K78" s="6"/>
      <c r="L78" s="6"/>
      <c r="M78" s="6"/>
      <c r="N78" s="6"/>
      <c r="O78" s="6"/>
      <c r="P78" s="6"/>
      <c r="Q78" s="6"/>
      <c r="R78" s="6"/>
      <c r="S78" s="6"/>
      <c r="T78" s="6"/>
      <c r="U78" s="6"/>
      <c r="V78" s="6"/>
      <c r="W78" s="6"/>
      <c r="X78" s="6"/>
      <c r="Y78" s="6"/>
      <c r="Z78" s="6"/>
      <c r="AA78" s="6"/>
      <c r="AB78" s="6"/>
      <c r="AC78" s="12"/>
      <c r="AD78" s="12"/>
      <c r="AE78" s="12"/>
      <c r="AJ78" s="21"/>
    </row>
    <row r="79" spans="2:36" s="2" customFormat="1" ht="11.25">
      <c r="B79" s="17"/>
      <c r="D79" s="34"/>
      <c r="E79" s="34"/>
      <c r="F79" s="34"/>
      <c r="H79" s="6"/>
      <c r="I79" s="6"/>
      <c r="J79" s="6"/>
      <c r="K79" s="6"/>
      <c r="L79" s="6"/>
      <c r="M79" s="6"/>
      <c r="N79" s="6"/>
      <c r="O79" s="6"/>
      <c r="P79" s="6"/>
      <c r="Q79" s="6"/>
      <c r="R79" s="6"/>
      <c r="S79" s="6"/>
      <c r="T79" s="6"/>
      <c r="U79" s="6"/>
      <c r="V79" s="6"/>
      <c r="W79" s="6"/>
      <c r="X79" s="6"/>
      <c r="Y79" s="6"/>
      <c r="Z79" s="6"/>
      <c r="AA79" s="6"/>
      <c r="AB79" s="6"/>
      <c r="AC79" s="12"/>
      <c r="AD79" s="12"/>
      <c r="AE79" s="12"/>
      <c r="AJ79" s="21"/>
    </row>
    <row r="80" spans="2:36" s="2" customFormat="1" ht="11.25">
      <c r="B80" s="17"/>
      <c r="D80" s="34"/>
      <c r="E80" s="34"/>
      <c r="F80" s="34"/>
      <c r="H80" s="6"/>
      <c r="I80" s="6"/>
      <c r="J80" s="6"/>
      <c r="K80" s="6"/>
      <c r="L80" s="6"/>
      <c r="M80" s="6"/>
      <c r="N80" s="6"/>
      <c r="O80" s="6"/>
      <c r="P80" s="6"/>
      <c r="Q80" s="6"/>
      <c r="R80" s="6"/>
      <c r="S80" s="6"/>
      <c r="T80" s="6"/>
      <c r="U80" s="6"/>
      <c r="V80" s="6"/>
      <c r="W80" s="6"/>
      <c r="X80" s="6"/>
      <c r="Y80" s="6"/>
      <c r="Z80" s="6"/>
      <c r="AA80" s="6"/>
      <c r="AB80" s="6"/>
      <c r="AC80" s="12"/>
      <c r="AD80" s="12"/>
      <c r="AE80" s="12"/>
      <c r="AJ80" s="21"/>
    </row>
    <row r="81" spans="2:36" s="2" customFormat="1" ht="11.25">
      <c r="B81" s="17"/>
      <c r="D81" s="34"/>
      <c r="E81" s="34"/>
      <c r="F81" s="34"/>
      <c r="H81" s="6"/>
      <c r="I81" s="6"/>
      <c r="J81" s="6"/>
      <c r="K81" s="6"/>
      <c r="L81" s="6"/>
      <c r="M81" s="6"/>
      <c r="N81" s="6"/>
      <c r="O81" s="6"/>
      <c r="P81" s="6"/>
      <c r="Q81" s="6"/>
      <c r="R81" s="6"/>
      <c r="S81" s="6"/>
      <c r="T81" s="6"/>
      <c r="U81" s="6"/>
      <c r="V81" s="6"/>
      <c r="W81" s="6"/>
      <c r="X81" s="6"/>
      <c r="Y81" s="6"/>
      <c r="Z81" s="6"/>
      <c r="AA81" s="6"/>
      <c r="AB81" s="6"/>
      <c r="AC81" s="12"/>
      <c r="AD81" s="12"/>
      <c r="AE81" s="12"/>
      <c r="AJ81" s="21"/>
    </row>
    <row r="82" spans="2:36" s="2" customFormat="1" ht="11.25">
      <c r="B82" s="17"/>
      <c r="D82" s="34"/>
      <c r="E82" s="34"/>
      <c r="F82" s="34"/>
      <c r="H82" s="6"/>
      <c r="I82" s="6"/>
      <c r="J82" s="6"/>
      <c r="K82" s="6"/>
      <c r="L82" s="6"/>
      <c r="M82" s="6"/>
      <c r="N82" s="6"/>
      <c r="O82" s="6"/>
      <c r="P82" s="6"/>
      <c r="Q82" s="6"/>
      <c r="R82" s="6"/>
      <c r="S82" s="6"/>
      <c r="T82" s="6"/>
      <c r="U82" s="6"/>
      <c r="V82" s="6"/>
      <c r="W82" s="6"/>
      <c r="X82" s="6"/>
      <c r="Y82" s="6"/>
      <c r="Z82" s="6"/>
      <c r="AA82" s="6"/>
      <c r="AB82" s="6"/>
      <c r="AC82" s="6"/>
      <c r="AD82" s="6"/>
      <c r="AE82" s="6"/>
      <c r="AJ82" s="21"/>
    </row>
    <row r="83" spans="2:36" s="2" customFormat="1" ht="11.25">
      <c r="B83" s="17"/>
      <c r="D83" s="34"/>
      <c r="E83" s="34"/>
      <c r="F83" s="34"/>
      <c r="H83" s="6"/>
      <c r="I83" s="6"/>
      <c r="J83" s="6"/>
      <c r="K83" s="6"/>
      <c r="L83" s="6"/>
      <c r="M83" s="6"/>
      <c r="N83" s="6"/>
      <c r="O83" s="6"/>
      <c r="P83" s="6"/>
      <c r="Q83" s="6"/>
      <c r="R83" s="6"/>
      <c r="S83" s="6"/>
      <c r="T83" s="6"/>
      <c r="U83" s="6"/>
      <c r="V83" s="6"/>
      <c r="W83" s="6"/>
      <c r="X83" s="6"/>
      <c r="Y83" s="6"/>
      <c r="Z83" s="6"/>
      <c r="AA83" s="6"/>
      <c r="AB83" s="6"/>
      <c r="AC83" s="6"/>
      <c r="AD83" s="6"/>
      <c r="AE83" s="6"/>
      <c r="AJ83" s="21"/>
    </row>
    <row r="84" spans="2:36" s="2" customFormat="1" ht="11.25">
      <c r="B84" s="17"/>
      <c r="D84" s="34"/>
      <c r="E84" s="34"/>
      <c r="F84" s="34"/>
      <c r="H84" s="6"/>
      <c r="I84" s="6"/>
      <c r="J84" s="6"/>
      <c r="K84" s="6"/>
      <c r="L84" s="6"/>
      <c r="M84" s="6"/>
      <c r="N84" s="6"/>
      <c r="O84" s="6"/>
      <c r="P84" s="6"/>
      <c r="Q84" s="6"/>
      <c r="R84" s="6"/>
      <c r="S84" s="6"/>
      <c r="T84" s="6"/>
      <c r="U84" s="6"/>
      <c r="V84" s="6"/>
      <c r="W84" s="6"/>
      <c r="X84" s="6"/>
      <c r="Y84" s="6"/>
      <c r="Z84" s="6"/>
      <c r="AA84" s="6"/>
      <c r="AB84" s="6"/>
      <c r="AC84" s="6"/>
      <c r="AD84" s="6"/>
      <c r="AE84" s="6"/>
      <c r="AJ84" s="21"/>
    </row>
    <row r="85" spans="2:36" s="2" customFormat="1" ht="11.25">
      <c r="B85" s="17"/>
      <c r="D85" s="34"/>
      <c r="E85" s="34"/>
      <c r="F85" s="34"/>
      <c r="H85" s="6"/>
      <c r="I85" s="6"/>
      <c r="J85" s="6"/>
      <c r="K85" s="6"/>
      <c r="L85" s="6"/>
      <c r="M85" s="6"/>
      <c r="N85" s="6"/>
      <c r="O85" s="6"/>
      <c r="P85" s="6"/>
      <c r="Q85" s="6"/>
      <c r="R85" s="6"/>
      <c r="S85" s="6"/>
      <c r="T85" s="6"/>
      <c r="U85" s="6"/>
      <c r="V85" s="6"/>
      <c r="W85" s="6"/>
      <c r="X85" s="6"/>
      <c r="Y85" s="6"/>
      <c r="Z85" s="6"/>
      <c r="AA85" s="6"/>
      <c r="AB85" s="6"/>
      <c r="AC85" s="6"/>
      <c r="AD85" s="6"/>
      <c r="AE85" s="6"/>
      <c r="AJ85" s="21"/>
    </row>
    <row r="86" spans="2:36" s="2" customFormat="1" ht="11.25">
      <c r="B86" s="17"/>
      <c r="D86" s="34"/>
      <c r="E86" s="34"/>
      <c r="F86" s="34"/>
      <c r="H86" s="6"/>
      <c r="I86" s="6"/>
      <c r="J86" s="6"/>
      <c r="K86" s="6"/>
      <c r="L86" s="6"/>
      <c r="M86" s="6"/>
      <c r="N86" s="6"/>
      <c r="O86" s="6"/>
      <c r="P86" s="6"/>
      <c r="Q86" s="6"/>
      <c r="R86" s="6"/>
      <c r="S86" s="6"/>
      <c r="T86" s="6"/>
      <c r="U86" s="6"/>
      <c r="V86" s="6"/>
      <c r="W86" s="6"/>
      <c r="X86" s="6"/>
      <c r="Y86" s="6"/>
      <c r="Z86" s="6"/>
      <c r="AA86" s="6"/>
      <c r="AB86" s="6"/>
      <c r="AC86" s="12"/>
      <c r="AD86" s="12"/>
      <c r="AE86" s="12"/>
      <c r="AJ86" s="21"/>
    </row>
    <row r="87" spans="2:36" s="2" customFormat="1" ht="11.25">
      <c r="B87" s="17"/>
      <c r="D87" s="34"/>
      <c r="E87" s="34"/>
      <c r="F87" s="34"/>
      <c r="H87" s="6"/>
      <c r="I87" s="6"/>
      <c r="J87" s="6"/>
      <c r="K87" s="6"/>
      <c r="L87" s="6"/>
      <c r="M87" s="6"/>
      <c r="N87" s="6"/>
      <c r="O87" s="6"/>
      <c r="P87" s="6"/>
      <c r="Q87" s="6"/>
      <c r="R87" s="6"/>
      <c r="S87" s="6"/>
      <c r="T87" s="6"/>
      <c r="U87" s="6"/>
      <c r="V87" s="6"/>
      <c r="W87" s="6"/>
      <c r="X87" s="6"/>
      <c r="Y87" s="6"/>
      <c r="Z87" s="6"/>
      <c r="AA87" s="6"/>
      <c r="AB87" s="6"/>
      <c r="AC87" s="12"/>
      <c r="AD87" s="12"/>
      <c r="AE87" s="12"/>
      <c r="AJ87" s="21"/>
    </row>
    <row r="88" spans="2:36" s="2" customFormat="1" ht="11.25">
      <c r="B88" s="17"/>
      <c r="D88" s="34"/>
      <c r="E88" s="34"/>
      <c r="F88" s="34"/>
      <c r="H88" s="6"/>
      <c r="I88" s="6"/>
      <c r="J88" s="6"/>
      <c r="K88" s="6"/>
      <c r="L88" s="6"/>
      <c r="M88" s="6"/>
      <c r="N88" s="6"/>
      <c r="O88" s="6"/>
      <c r="P88" s="6"/>
      <c r="Q88" s="6"/>
      <c r="R88" s="6"/>
      <c r="S88" s="6"/>
      <c r="T88" s="6"/>
      <c r="U88" s="6"/>
      <c r="V88" s="6"/>
      <c r="W88" s="6"/>
      <c r="X88" s="6"/>
      <c r="Y88" s="6"/>
      <c r="Z88" s="6"/>
      <c r="AA88" s="6"/>
      <c r="AB88" s="6"/>
      <c r="AC88" s="12"/>
      <c r="AD88" s="12"/>
      <c r="AE88" s="12"/>
      <c r="AJ88" s="21"/>
    </row>
    <row r="89" spans="2:36" s="2" customFormat="1" ht="11.25">
      <c r="B89" s="17"/>
      <c r="C89" s="14"/>
      <c r="D89" s="36"/>
      <c r="E89" s="36"/>
      <c r="F89" s="36"/>
      <c r="H89" s="6"/>
      <c r="I89" s="6"/>
      <c r="J89" s="6"/>
      <c r="K89" s="6"/>
      <c r="L89" s="6"/>
      <c r="M89" s="6"/>
      <c r="N89" s="6"/>
      <c r="O89" s="6"/>
      <c r="P89" s="6"/>
      <c r="Q89" s="6"/>
      <c r="R89" s="6"/>
      <c r="S89" s="6"/>
      <c r="T89" s="6"/>
      <c r="U89" s="6"/>
      <c r="V89" s="6"/>
      <c r="W89" s="6"/>
      <c r="X89" s="6"/>
      <c r="Y89" s="6"/>
      <c r="Z89" s="6"/>
      <c r="AA89" s="6"/>
      <c r="AB89" s="6"/>
      <c r="AC89" s="12"/>
      <c r="AD89" s="12"/>
      <c r="AE89" s="12"/>
      <c r="AJ89" s="21"/>
    </row>
    <row r="90" spans="2:36" s="2" customFormat="1" ht="11.25">
      <c r="B90" s="17"/>
      <c r="D90" s="34"/>
      <c r="E90" s="34"/>
      <c r="F90" s="34"/>
      <c r="H90" s="6"/>
      <c r="I90" s="6"/>
      <c r="J90" s="6"/>
      <c r="K90" s="6"/>
      <c r="L90" s="6"/>
      <c r="M90" s="6"/>
      <c r="N90" s="6"/>
      <c r="O90" s="6"/>
      <c r="P90" s="6"/>
      <c r="Q90" s="6"/>
      <c r="R90" s="6"/>
      <c r="S90" s="6"/>
      <c r="T90" s="6"/>
      <c r="U90" s="6"/>
      <c r="V90" s="6"/>
      <c r="W90" s="6"/>
      <c r="X90" s="6"/>
      <c r="Y90" s="6"/>
      <c r="Z90" s="6"/>
      <c r="AA90" s="6"/>
      <c r="AB90" s="6"/>
      <c r="AC90" s="6"/>
      <c r="AD90" s="6"/>
      <c r="AE90" s="6"/>
      <c r="AJ90" s="21"/>
    </row>
    <row r="91" spans="2:36" s="2" customFormat="1" ht="11.25">
      <c r="B91" s="17"/>
      <c r="D91" s="34"/>
      <c r="E91" s="34"/>
      <c r="F91" s="34"/>
      <c r="H91" s="6"/>
      <c r="I91" s="6"/>
      <c r="J91" s="6"/>
      <c r="K91" s="6"/>
      <c r="L91" s="6"/>
      <c r="M91" s="6"/>
      <c r="N91" s="6"/>
      <c r="O91" s="6"/>
      <c r="P91" s="6"/>
      <c r="Q91" s="6"/>
      <c r="R91" s="6"/>
      <c r="S91" s="6"/>
      <c r="T91" s="6"/>
      <c r="U91" s="6"/>
      <c r="V91" s="6"/>
      <c r="W91" s="6"/>
      <c r="X91" s="6"/>
      <c r="Y91" s="6"/>
      <c r="Z91" s="6"/>
      <c r="AA91" s="6"/>
      <c r="AB91" s="6"/>
      <c r="AC91" s="12"/>
      <c r="AD91" s="12"/>
      <c r="AE91" s="12"/>
      <c r="AJ91" s="21"/>
    </row>
    <row r="92" spans="2:36" s="2" customFormat="1" ht="11.25">
      <c r="B92" s="17"/>
      <c r="D92" s="34"/>
      <c r="E92" s="34"/>
      <c r="F92" s="34"/>
      <c r="H92" s="6"/>
      <c r="I92" s="6"/>
      <c r="J92" s="6"/>
      <c r="K92" s="6"/>
      <c r="L92" s="6"/>
      <c r="M92" s="6"/>
      <c r="N92" s="6"/>
      <c r="O92" s="6"/>
      <c r="P92" s="6"/>
      <c r="Q92" s="6"/>
      <c r="R92" s="6"/>
      <c r="S92" s="6"/>
      <c r="T92" s="6"/>
      <c r="U92" s="6"/>
      <c r="V92" s="6"/>
      <c r="W92" s="6"/>
      <c r="X92" s="6"/>
      <c r="Y92" s="6"/>
      <c r="Z92" s="6"/>
      <c r="AA92" s="6"/>
      <c r="AB92" s="6"/>
      <c r="AC92" s="12"/>
      <c r="AD92" s="12"/>
      <c r="AE92" s="12"/>
      <c r="AJ92" s="21"/>
    </row>
    <row r="93" spans="2:36" s="2" customFormat="1" ht="11.25">
      <c r="B93" s="17"/>
      <c r="D93" s="34"/>
      <c r="E93" s="34"/>
      <c r="F93" s="34"/>
      <c r="H93" s="6"/>
      <c r="I93" s="6"/>
      <c r="J93" s="6"/>
      <c r="K93" s="6"/>
      <c r="L93" s="6"/>
      <c r="M93" s="6"/>
      <c r="N93" s="6"/>
      <c r="O93" s="6"/>
      <c r="P93" s="6"/>
      <c r="Q93" s="6"/>
      <c r="R93" s="6"/>
      <c r="S93" s="6"/>
      <c r="T93" s="6"/>
      <c r="U93" s="6"/>
      <c r="V93" s="6"/>
      <c r="W93" s="6"/>
      <c r="X93" s="6"/>
      <c r="Y93" s="6"/>
      <c r="Z93" s="6"/>
      <c r="AA93" s="6"/>
      <c r="AB93" s="6"/>
      <c r="AC93" s="12"/>
      <c r="AD93" s="12"/>
      <c r="AE93" s="12"/>
      <c r="AJ93" s="21"/>
    </row>
    <row r="94" spans="2:36" s="2" customFormat="1" ht="11.25">
      <c r="B94" s="17"/>
      <c r="D94" s="34"/>
      <c r="E94" s="34"/>
      <c r="F94" s="34"/>
      <c r="H94" s="6"/>
      <c r="I94" s="6"/>
      <c r="J94" s="6"/>
      <c r="K94" s="6"/>
      <c r="L94" s="6"/>
      <c r="M94" s="6"/>
      <c r="N94" s="6"/>
      <c r="O94" s="6"/>
      <c r="P94" s="6"/>
      <c r="Q94" s="6"/>
      <c r="R94" s="6"/>
      <c r="S94" s="6"/>
      <c r="T94" s="6"/>
      <c r="U94" s="6"/>
      <c r="V94" s="6"/>
      <c r="W94" s="6"/>
      <c r="X94" s="6"/>
      <c r="Y94" s="6"/>
      <c r="Z94" s="6"/>
      <c r="AA94" s="6"/>
      <c r="AB94" s="6"/>
      <c r="AC94" s="12"/>
      <c r="AD94" s="12"/>
      <c r="AE94" s="12"/>
      <c r="AJ94" s="21"/>
    </row>
    <row r="95" spans="2:36" s="2" customFormat="1" ht="11.25">
      <c r="B95" s="17"/>
      <c r="D95" s="34"/>
      <c r="E95" s="34"/>
      <c r="F95" s="34"/>
      <c r="H95" s="6"/>
      <c r="I95" s="6"/>
      <c r="J95" s="6"/>
      <c r="K95" s="6"/>
      <c r="L95" s="6"/>
      <c r="M95" s="6"/>
      <c r="N95" s="6"/>
      <c r="O95" s="6"/>
      <c r="P95" s="6"/>
      <c r="Q95" s="6"/>
      <c r="R95" s="6"/>
      <c r="S95" s="6"/>
      <c r="T95" s="6"/>
      <c r="U95" s="6"/>
      <c r="V95" s="6"/>
      <c r="W95" s="6"/>
      <c r="X95" s="6"/>
      <c r="Y95" s="6"/>
      <c r="Z95" s="6"/>
      <c r="AA95" s="6"/>
      <c r="AB95" s="6"/>
      <c r="AC95" s="12"/>
      <c r="AD95" s="12"/>
      <c r="AE95" s="12"/>
      <c r="AJ95" s="21"/>
    </row>
    <row r="96" spans="2:36" s="2" customFormat="1" ht="11.25">
      <c r="B96" s="17"/>
      <c r="D96" s="34"/>
      <c r="E96" s="34"/>
      <c r="F96" s="34"/>
      <c r="H96" s="6"/>
      <c r="I96" s="6"/>
      <c r="J96" s="6"/>
      <c r="K96" s="6"/>
      <c r="L96" s="6"/>
      <c r="M96" s="6"/>
      <c r="N96" s="6"/>
      <c r="O96" s="6"/>
      <c r="P96" s="6"/>
      <c r="Q96" s="6"/>
      <c r="R96" s="6"/>
      <c r="S96" s="6"/>
      <c r="T96" s="6"/>
      <c r="U96" s="6"/>
      <c r="V96" s="6"/>
      <c r="W96" s="6"/>
      <c r="X96" s="6"/>
      <c r="Y96" s="6"/>
      <c r="Z96" s="6"/>
      <c r="AA96" s="6"/>
      <c r="AB96" s="6"/>
      <c r="AC96" s="12"/>
      <c r="AD96" s="12"/>
      <c r="AE96" s="12"/>
      <c r="AJ96" s="21"/>
    </row>
    <row r="97" spans="2:36" s="2" customFormat="1" ht="11.25">
      <c r="B97" s="17"/>
      <c r="D97" s="34"/>
      <c r="E97" s="34"/>
      <c r="F97" s="34"/>
      <c r="H97" s="6"/>
      <c r="I97" s="6"/>
      <c r="J97" s="6"/>
      <c r="K97" s="6"/>
      <c r="L97" s="6"/>
      <c r="M97" s="6"/>
      <c r="N97" s="6"/>
      <c r="O97" s="6"/>
      <c r="P97" s="6"/>
      <c r="Q97" s="6"/>
      <c r="R97" s="6"/>
      <c r="S97" s="6"/>
      <c r="T97" s="6"/>
      <c r="U97" s="6"/>
      <c r="V97" s="6"/>
      <c r="W97" s="6"/>
      <c r="X97" s="6"/>
      <c r="Y97" s="6"/>
      <c r="Z97" s="6"/>
      <c r="AA97" s="6"/>
      <c r="AB97" s="6"/>
      <c r="AC97" s="12"/>
      <c r="AD97" s="12"/>
      <c r="AE97" s="12"/>
      <c r="AJ97" s="21"/>
    </row>
    <row r="98" spans="2:36" s="2" customFormat="1" ht="11.25">
      <c r="B98" s="17"/>
      <c r="D98" s="34"/>
      <c r="E98" s="34"/>
      <c r="F98" s="34"/>
      <c r="H98" s="6"/>
      <c r="I98" s="6"/>
      <c r="J98" s="6"/>
      <c r="K98" s="6"/>
      <c r="L98" s="6"/>
      <c r="M98" s="6"/>
      <c r="N98" s="6"/>
      <c r="O98" s="6"/>
      <c r="P98" s="6"/>
      <c r="Q98" s="6"/>
      <c r="R98" s="6"/>
      <c r="S98" s="6"/>
      <c r="T98" s="6"/>
      <c r="U98" s="6"/>
      <c r="V98" s="6"/>
      <c r="W98" s="6"/>
      <c r="X98" s="6"/>
      <c r="Y98" s="6"/>
      <c r="Z98" s="6"/>
      <c r="AA98" s="6"/>
      <c r="AB98" s="6"/>
      <c r="AC98" s="12"/>
      <c r="AD98" s="12"/>
      <c r="AE98" s="12"/>
      <c r="AJ98" s="21"/>
    </row>
    <row r="99" spans="2:36" s="2" customFormat="1" ht="11.25">
      <c r="B99" s="17"/>
      <c r="D99" s="34"/>
      <c r="E99" s="34"/>
      <c r="F99" s="34"/>
      <c r="H99" s="6"/>
      <c r="I99" s="6"/>
      <c r="J99" s="6"/>
      <c r="K99" s="6"/>
      <c r="L99" s="6"/>
      <c r="M99" s="6"/>
      <c r="N99" s="6"/>
      <c r="O99" s="6"/>
      <c r="P99" s="6"/>
      <c r="Q99" s="6"/>
      <c r="R99" s="6"/>
      <c r="S99" s="6"/>
      <c r="T99" s="6"/>
      <c r="U99" s="6"/>
      <c r="V99" s="6"/>
      <c r="W99" s="6"/>
      <c r="X99" s="6"/>
      <c r="Y99" s="6"/>
      <c r="Z99" s="6"/>
      <c r="AA99" s="6"/>
      <c r="AB99" s="6"/>
      <c r="AC99" s="12"/>
      <c r="AD99" s="12"/>
      <c r="AE99" s="12"/>
      <c r="AJ99" s="21"/>
    </row>
    <row r="100" spans="2:36" s="2" customFormat="1" ht="11.25">
      <c r="B100" s="17"/>
      <c r="D100" s="34"/>
      <c r="E100" s="34"/>
      <c r="F100" s="34"/>
      <c r="H100" s="6"/>
      <c r="I100" s="6"/>
      <c r="J100" s="6"/>
      <c r="K100" s="6"/>
      <c r="L100" s="6"/>
      <c r="M100" s="6"/>
      <c r="N100" s="6"/>
      <c r="O100" s="6"/>
      <c r="P100" s="6"/>
      <c r="Q100" s="6"/>
      <c r="R100" s="6"/>
      <c r="S100" s="6"/>
      <c r="T100" s="6"/>
      <c r="U100" s="6"/>
      <c r="V100" s="6"/>
      <c r="W100" s="6"/>
      <c r="X100" s="6"/>
      <c r="Y100" s="6"/>
      <c r="Z100" s="6"/>
      <c r="AA100" s="6"/>
      <c r="AB100" s="6"/>
      <c r="AC100" s="12"/>
      <c r="AD100" s="12"/>
      <c r="AE100" s="12"/>
      <c r="AJ100" s="21"/>
    </row>
    <row r="101" spans="2:36" s="2" customFormat="1" ht="11.25">
      <c r="B101" s="17"/>
      <c r="D101" s="34"/>
      <c r="E101" s="34"/>
      <c r="F101" s="34"/>
      <c r="H101" s="6"/>
      <c r="I101" s="6"/>
      <c r="J101" s="6"/>
      <c r="K101" s="6"/>
      <c r="L101" s="6"/>
      <c r="M101" s="6"/>
      <c r="N101" s="6"/>
      <c r="O101" s="6"/>
      <c r="P101" s="6"/>
      <c r="Q101" s="6"/>
      <c r="R101" s="6"/>
      <c r="S101" s="6"/>
      <c r="T101" s="6"/>
      <c r="U101" s="6"/>
      <c r="V101" s="6"/>
      <c r="W101" s="6"/>
      <c r="X101" s="6"/>
      <c r="Y101" s="6"/>
      <c r="Z101" s="6"/>
      <c r="AA101" s="6"/>
      <c r="AB101" s="6"/>
      <c r="AC101" s="12"/>
      <c r="AD101" s="12"/>
      <c r="AE101" s="12"/>
      <c r="AJ101" s="21"/>
    </row>
    <row r="102" spans="2:36" s="2" customFormat="1" ht="11.25">
      <c r="B102" s="17"/>
      <c r="D102" s="34"/>
      <c r="E102" s="34"/>
      <c r="F102" s="34"/>
      <c r="H102" s="6"/>
      <c r="I102" s="6"/>
      <c r="J102" s="6"/>
      <c r="K102" s="6"/>
      <c r="L102" s="6"/>
      <c r="M102" s="6"/>
      <c r="N102" s="6"/>
      <c r="O102" s="6"/>
      <c r="P102" s="6"/>
      <c r="Q102" s="6"/>
      <c r="R102" s="6"/>
      <c r="S102" s="6"/>
      <c r="T102" s="6"/>
      <c r="U102" s="6"/>
      <c r="V102" s="6"/>
      <c r="W102" s="6"/>
      <c r="X102" s="6"/>
      <c r="Y102" s="6"/>
      <c r="Z102" s="6"/>
      <c r="AA102" s="6"/>
      <c r="AB102" s="6"/>
      <c r="AC102" s="12"/>
      <c r="AD102" s="12"/>
      <c r="AE102" s="12"/>
      <c r="AJ102" s="21"/>
    </row>
    <row r="103" spans="2:36" s="2" customFormat="1" ht="11.25">
      <c r="B103" s="17"/>
      <c r="D103" s="34"/>
      <c r="E103" s="34"/>
      <c r="F103" s="34"/>
      <c r="H103" s="6"/>
      <c r="I103" s="6"/>
      <c r="J103" s="6"/>
      <c r="K103" s="6"/>
      <c r="L103" s="6"/>
      <c r="M103" s="6"/>
      <c r="N103" s="6"/>
      <c r="O103" s="6"/>
      <c r="P103" s="6"/>
      <c r="Q103" s="6"/>
      <c r="R103" s="6"/>
      <c r="S103" s="6"/>
      <c r="T103" s="6"/>
      <c r="U103" s="6"/>
      <c r="V103" s="6"/>
      <c r="W103" s="6"/>
      <c r="X103" s="6"/>
      <c r="Y103" s="6"/>
      <c r="Z103" s="6"/>
      <c r="AA103" s="6"/>
      <c r="AB103" s="6"/>
      <c r="AC103" s="12"/>
      <c r="AD103" s="12"/>
      <c r="AE103" s="12"/>
      <c r="AJ103" s="21"/>
    </row>
    <row r="104" spans="2:36" s="2" customFormat="1" ht="11.25">
      <c r="B104" s="17"/>
      <c r="D104" s="34"/>
      <c r="E104" s="34"/>
      <c r="F104" s="34"/>
      <c r="H104" s="6"/>
      <c r="I104" s="6"/>
      <c r="J104" s="6"/>
      <c r="K104" s="6"/>
      <c r="L104" s="6"/>
      <c r="M104" s="6"/>
      <c r="N104" s="6"/>
      <c r="O104" s="6"/>
      <c r="P104" s="6"/>
      <c r="Q104" s="6"/>
      <c r="R104" s="6"/>
      <c r="S104" s="6"/>
      <c r="T104" s="6"/>
      <c r="U104" s="6"/>
      <c r="V104" s="6"/>
      <c r="W104" s="6"/>
      <c r="X104" s="6"/>
      <c r="Y104" s="6"/>
      <c r="Z104" s="6"/>
      <c r="AA104" s="6"/>
      <c r="AB104" s="6"/>
      <c r="AC104" s="12"/>
      <c r="AD104" s="12"/>
      <c r="AE104" s="12"/>
      <c r="AJ104" s="21"/>
    </row>
    <row r="105" spans="2:36" s="2" customFormat="1" ht="11.25">
      <c r="B105" s="17"/>
      <c r="D105" s="34"/>
      <c r="E105" s="34"/>
      <c r="F105" s="34"/>
      <c r="H105" s="6"/>
      <c r="I105" s="6"/>
      <c r="J105" s="6"/>
      <c r="K105" s="6"/>
      <c r="L105" s="6"/>
      <c r="M105" s="6"/>
      <c r="N105" s="6"/>
      <c r="O105" s="6"/>
      <c r="P105" s="6"/>
      <c r="Q105" s="6"/>
      <c r="R105" s="6"/>
      <c r="S105" s="6"/>
      <c r="T105" s="6"/>
      <c r="U105" s="6"/>
      <c r="V105" s="6"/>
      <c r="W105" s="6"/>
      <c r="X105" s="6"/>
      <c r="Y105" s="6"/>
      <c r="Z105" s="6"/>
      <c r="AA105" s="6"/>
      <c r="AB105" s="6"/>
      <c r="AC105" s="12"/>
      <c r="AD105" s="12"/>
      <c r="AE105" s="12"/>
      <c r="AJ105" s="21"/>
    </row>
    <row r="106" spans="2:36" s="2" customFormat="1" ht="11.25" customHeight="1">
      <c r="B106" s="17"/>
      <c r="D106" s="34"/>
      <c r="E106" s="34"/>
      <c r="F106" s="34"/>
      <c r="H106" s="6"/>
      <c r="I106" s="6"/>
      <c r="J106" s="6"/>
      <c r="K106" s="6"/>
      <c r="L106" s="6"/>
      <c r="M106" s="6"/>
      <c r="N106" s="6"/>
      <c r="O106" s="6"/>
      <c r="P106" s="6"/>
      <c r="Q106" s="6"/>
      <c r="R106" s="6"/>
      <c r="S106" s="6"/>
      <c r="T106" s="6"/>
      <c r="U106" s="6"/>
      <c r="V106" s="6"/>
      <c r="W106" s="6"/>
      <c r="X106" s="6"/>
      <c r="Y106" s="6"/>
      <c r="Z106" s="6"/>
      <c r="AA106" s="6"/>
      <c r="AB106" s="6"/>
      <c r="AC106" s="12"/>
      <c r="AD106" s="12"/>
      <c r="AE106" s="12"/>
      <c r="AJ106" s="21"/>
    </row>
    <row r="107" spans="2:36" s="2" customFormat="1" ht="11.25" customHeight="1">
      <c r="B107" s="17"/>
      <c r="D107" s="34"/>
      <c r="E107" s="34"/>
      <c r="F107" s="34"/>
      <c r="H107" s="6"/>
      <c r="I107" s="6"/>
      <c r="J107" s="6"/>
      <c r="K107" s="6"/>
      <c r="L107" s="6"/>
      <c r="M107" s="6"/>
      <c r="N107" s="6"/>
      <c r="O107" s="6"/>
      <c r="P107" s="6"/>
      <c r="Q107" s="6"/>
      <c r="R107" s="6"/>
      <c r="S107" s="6"/>
      <c r="T107" s="6"/>
      <c r="U107" s="6"/>
      <c r="V107" s="6"/>
      <c r="W107" s="6"/>
      <c r="X107" s="6"/>
      <c r="Y107" s="6"/>
      <c r="Z107" s="6"/>
      <c r="AA107" s="6"/>
      <c r="AB107" s="6"/>
      <c r="AC107" s="12"/>
      <c r="AD107" s="12"/>
      <c r="AE107" s="12"/>
      <c r="AJ107" s="21"/>
    </row>
    <row r="108" spans="2:36" s="2" customFormat="1" ht="11.25">
      <c r="B108" s="17"/>
      <c r="D108" s="34"/>
      <c r="E108" s="34"/>
      <c r="F108" s="34"/>
      <c r="H108" s="6"/>
      <c r="I108" s="6"/>
      <c r="J108" s="6"/>
      <c r="K108" s="6"/>
      <c r="L108" s="6"/>
      <c r="M108" s="6"/>
      <c r="N108" s="6"/>
      <c r="O108" s="6"/>
      <c r="P108" s="6"/>
      <c r="Q108" s="6"/>
      <c r="R108" s="6"/>
      <c r="S108" s="6"/>
      <c r="T108" s="6"/>
      <c r="U108" s="6"/>
      <c r="V108" s="6"/>
      <c r="W108" s="6"/>
      <c r="X108" s="6"/>
      <c r="Y108" s="6"/>
      <c r="Z108" s="6"/>
      <c r="AA108" s="6"/>
      <c r="AB108" s="6"/>
      <c r="AC108" s="12"/>
      <c r="AD108" s="12"/>
      <c r="AE108" s="12"/>
      <c r="AJ108" s="21"/>
    </row>
    <row r="109" spans="2:36" s="2" customFormat="1" ht="11.25">
      <c r="B109" s="17"/>
      <c r="D109" s="34"/>
      <c r="E109" s="34"/>
      <c r="F109" s="34"/>
      <c r="H109" s="6"/>
      <c r="I109" s="6"/>
      <c r="J109" s="6"/>
      <c r="K109" s="6"/>
      <c r="L109" s="6"/>
      <c r="M109" s="6"/>
      <c r="N109" s="6"/>
      <c r="O109" s="6"/>
      <c r="P109" s="6"/>
      <c r="Q109" s="6"/>
      <c r="R109" s="6"/>
      <c r="S109" s="6"/>
      <c r="T109" s="6"/>
      <c r="U109" s="6"/>
      <c r="V109" s="6"/>
      <c r="W109" s="6"/>
      <c r="X109" s="6"/>
      <c r="Y109" s="6"/>
      <c r="Z109" s="6"/>
      <c r="AA109" s="6"/>
      <c r="AB109" s="6"/>
      <c r="AC109" s="12"/>
      <c r="AD109" s="12"/>
      <c r="AE109" s="12"/>
      <c r="AJ109" s="21"/>
    </row>
    <row r="110" spans="2:36" s="2" customFormat="1" ht="11.25">
      <c r="B110" s="17"/>
      <c r="D110" s="34"/>
      <c r="E110" s="34"/>
      <c r="F110" s="34"/>
      <c r="H110" s="6"/>
      <c r="I110" s="6"/>
      <c r="J110" s="6"/>
      <c r="K110" s="6"/>
      <c r="L110" s="6"/>
      <c r="M110" s="6"/>
      <c r="N110" s="6"/>
      <c r="O110" s="6"/>
      <c r="P110" s="6"/>
      <c r="Q110" s="6"/>
      <c r="R110" s="6"/>
      <c r="S110" s="6"/>
      <c r="T110" s="6"/>
      <c r="U110" s="6"/>
      <c r="V110" s="6"/>
      <c r="W110" s="6"/>
      <c r="X110" s="6"/>
      <c r="Y110" s="6"/>
      <c r="Z110" s="6"/>
      <c r="AA110" s="6"/>
      <c r="AB110" s="6"/>
      <c r="AC110" s="12"/>
      <c r="AD110" s="12"/>
      <c r="AE110" s="12"/>
      <c r="AJ110" s="21"/>
    </row>
    <row r="111" spans="2:36" s="2" customFormat="1" ht="11.25">
      <c r="B111" s="17"/>
      <c r="D111" s="34"/>
      <c r="E111" s="34"/>
      <c r="F111" s="34"/>
      <c r="H111" s="6"/>
      <c r="I111" s="6"/>
      <c r="J111" s="6"/>
      <c r="K111" s="6"/>
      <c r="L111" s="6"/>
      <c r="M111" s="6"/>
      <c r="N111" s="6"/>
      <c r="O111" s="6"/>
      <c r="P111" s="6"/>
      <c r="Q111" s="6"/>
      <c r="R111" s="6"/>
      <c r="S111" s="6"/>
      <c r="T111" s="6"/>
      <c r="U111" s="6"/>
      <c r="V111" s="6"/>
      <c r="W111" s="6"/>
      <c r="X111" s="6"/>
      <c r="Y111" s="6"/>
      <c r="Z111" s="6"/>
      <c r="AA111" s="6"/>
      <c r="AB111" s="6"/>
      <c r="AC111" s="12"/>
      <c r="AD111" s="12"/>
      <c r="AE111" s="12"/>
      <c r="AJ111" s="21"/>
    </row>
    <row r="112" spans="2:36" s="2" customFormat="1" ht="11.25">
      <c r="B112" s="17"/>
      <c r="D112" s="34"/>
      <c r="E112" s="34"/>
      <c r="F112" s="34"/>
      <c r="H112" s="6"/>
      <c r="I112" s="6"/>
      <c r="J112" s="6"/>
      <c r="K112" s="6"/>
      <c r="L112" s="6"/>
      <c r="M112" s="6"/>
      <c r="N112" s="6"/>
      <c r="O112" s="6"/>
      <c r="P112" s="6"/>
      <c r="Q112" s="6"/>
      <c r="R112" s="6"/>
      <c r="S112" s="6"/>
      <c r="T112" s="6"/>
      <c r="U112" s="6"/>
      <c r="V112" s="6"/>
      <c r="W112" s="6"/>
      <c r="X112" s="6"/>
      <c r="Y112" s="6"/>
      <c r="Z112" s="6"/>
      <c r="AA112" s="6"/>
      <c r="AB112" s="6"/>
      <c r="AC112" s="12"/>
      <c r="AD112" s="12"/>
      <c r="AE112" s="12"/>
      <c r="AJ112" s="21"/>
    </row>
    <row r="113" spans="2:36" s="2" customFormat="1" ht="11.25">
      <c r="B113" s="17"/>
      <c r="D113" s="34"/>
      <c r="E113" s="34"/>
      <c r="F113" s="34"/>
      <c r="H113" s="6"/>
      <c r="I113" s="6"/>
      <c r="J113" s="6"/>
      <c r="K113" s="6"/>
      <c r="L113" s="6"/>
      <c r="M113" s="6"/>
      <c r="N113" s="6"/>
      <c r="O113" s="6"/>
      <c r="P113" s="6"/>
      <c r="Q113" s="6"/>
      <c r="R113" s="6"/>
      <c r="S113" s="6"/>
      <c r="T113" s="6"/>
      <c r="U113" s="6"/>
      <c r="V113" s="6"/>
      <c r="W113" s="6"/>
      <c r="X113" s="6"/>
      <c r="Y113" s="6"/>
      <c r="Z113" s="6"/>
      <c r="AA113" s="6"/>
      <c r="AB113" s="6"/>
      <c r="AC113" s="12"/>
      <c r="AD113" s="12"/>
      <c r="AE113" s="12"/>
      <c r="AJ113" s="21"/>
    </row>
    <row r="114" spans="2:36" s="2" customFormat="1" ht="11.25">
      <c r="B114" s="17"/>
      <c r="D114" s="34"/>
      <c r="E114" s="34"/>
      <c r="F114" s="34"/>
      <c r="H114" s="6"/>
      <c r="I114" s="6"/>
      <c r="J114" s="6"/>
      <c r="K114" s="6"/>
      <c r="L114" s="6"/>
      <c r="M114" s="6"/>
      <c r="N114" s="6"/>
      <c r="O114" s="6"/>
      <c r="P114" s="6"/>
      <c r="Q114" s="6"/>
      <c r="R114" s="6"/>
      <c r="S114" s="6"/>
      <c r="T114" s="6"/>
      <c r="U114" s="6"/>
      <c r="V114" s="6"/>
      <c r="W114" s="6"/>
      <c r="X114" s="6"/>
      <c r="Y114" s="6"/>
      <c r="Z114" s="6"/>
      <c r="AA114" s="6"/>
      <c r="AB114" s="6"/>
      <c r="AC114" s="6"/>
      <c r="AD114" s="6"/>
      <c r="AE114" s="6"/>
      <c r="AJ114" s="21"/>
    </row>
    <row r="115" spans="2:36" s="2" customFormat="1" ht="11.25">
      <c r="B115" s="17"/>
      <c r="D115" s="34"/>
      <c r="E115" s="34"/>
      <c r="F115" s="34"/>
      <c r="H115" s="6"/>
      <c r="I115" s="6"/>
      <c r="J115" s="6"/>
      <c r="K115" s="6"/>
      <c r="L115" s="6"/>
      <c r="M115" s="6"/>
      <c r="N115" s="6"/>
      <c r="O115" s="6"/>
      <c r="P115" s="6"/>
      <c r="Q115" s="6"/>
      <c r="R115" s="6"/>
      <c r="S115" s="6"/>
      <c r="T115" s="6"/>
      <c r="U115" s="6"/>
      <c r="V115" s="6"/>
      <c r="W115" s="6"/>
      <c r="X115" s="6"/>
      <c r="Y115" s="6"/>
      <c r="Z115" s="6"/>
      <c r="AA115" s="6"/>
      <c r="AB115" s="6"/>
      <c r="AC115" s="12"/>
      <c r="AD115" s="12"/>
      <c r="AE115" s="12"/>
      <c r="AJ115" s="21"/>
    </row>
    <row r="116" spans="2:36" s="2" customFormat="1" ht="11.25">
      <c r="B116" s="17"/>
      <c r="D116" s="34"/>
      <c r="E116" s="34"/>
      <c r="F116" s="34"/>
      <c r="H116" s="6"/>
      <c r="I116" s="6"/>
      <c r="J116" s="6"/>
      <c r="K116" s="6"/>
      <c r="L116" s="6"/>
      <c r="M116" s="6"/>
      <c r="N116" s="6"/>
      <c r="O116" s="6"/>
      <c r="P116" s="6"/>
      <c r="Q116" s="6"/>
      <c r="R116" s="6"/>
      <c r="S116" s="6"/>
      <c r="T116" s="6"/>
      <c r="U116" s="6"/>
      <c r="V116" s="6"/>
      <c r="W116" s="6"/>
      <c r="X116" s="6"/>
      <c r="Y116" s="6"/>
      <c r="Z116" s="6"/>
      <c r="AA116" s="6"/>
      <c r="AB116" s="6"/>
      <c r="AC116" s="12"/>
      <c r="AD116" s="12"/>
      <c r="AE116" s="12"/>
      <c r="AJ116" s="21"/>
    </row>
    <row r="117" spans="2:36" s="2" customFormat="1" ht="11.25">
      <c r="B117" s="17"/>
      <c r="D117" s="34"/>
      <c r="E117" s="34"/>
      <c r="F117" s="34"/>
      <c r="H117" s="6"/>
      <c r="I117" s="6"/>
      <c r="J117" s="6"/>
      <c r="K117" s="6"/>
      <c r="L117" s="6"/>
      <c r="M117" s="6"/>
      <c r="N117" s="6"/>
      <c r="O117" s="6"/>
      <c r="P117" s="6"/>
      <c r="Q117" s="6"/>
      <c r="R117" s="6"/>
      <c r="S117" s="6"/>
      <c r="T117" s="6"/>
      <c r="U117" s="6"/>
      <c r="V117" s="6"/>
      <c r="W117" s="6"/>
      <c r="X117" s="6"/>
      <c r="Y117" s="6"/>
      <c r="Z117" s="6"/>
      <c r="AA117" s="6"/>
      <c r="AB117" s="6"/>
      <c r="AC117" s="12"/>
      <c r="AD117" s="12"/>
      <c r="AE117" s="12"/>
      <c r="AJ117" s="21"/>
    </row>
    <row r="118" spans="2:36" s="2" customFormat="1" ht="11.25">
      <c r="B118" s="17"/>
      <c r="D118" s="34"/>
      <c r="E118" s="34"/>
      <c r="F118" s="34"/>
      <c r="H118" s="6"/>
      <c r="I118" s="6"/>
      <c r="J118" s="6"/>
      <c r="K118" s="6"/>
      <c r="L118" s="6"/>
      <c r="M118" s="6"/>
      <c r="N118" s="6"/>
      <c r="O118" s="6"/>
      <c r="P118" s="6"/>
      <c r="Q118" s="6"/>
      <c r="R118" s="6"/>
      <c r="S118" s="6"/>
      <c r="T118" s="6"/>
      <c r="U118" s="6"/>
      <c r="V118" s="6"/>
      <c r="W118" s="6"/>
      <c r="X118" s="6"/>
      <c r="Y118" s="6"/>
      <c r="Z118" s="6"/>
      <c r="AA118" s="6"/>
      <c r="AB118" s="6"/>
      <c r="AC118" s="12"/>
      <c r="AD118" s="12"/>
      <c r="AE118" s="12"/>
      <c r="AJ118" s="21"/>
    </row>
    <row r="119" spans="2:36" s="2" customFormat="1" ht="11.25">
      <c r="B119" s="17"/>
      <c r="D119" s="34"/>
      <c r="E119" s="34"/>
      <c r="F119" s="34"/>
      <c r="H119" s="6"/>
      <c r="I119" s="6"/>
      <c r="J119" s="6"/>
      <c r="K119" s="6"/>
      <c r="L119" s="6"/>
      <c r="M119" s="6"/>
      <c r="N119" s="6"/>
      <c r="O119" s="6"/>
      <c r="P119" s="6"/>
      <c r="Q119" s="6"/>
      <c r="R119" s="6"/>
      <c r="S119" s="6"/>
      <c r="T119" s="6"/>
      <c r="U119" s="6"/>
      <c r="V119" s="6"/>
      <c r="W119" s="6"/>
      <c r="X119" s="6"/>
      <c r="Y119" s="6"/>
      <c r="Z119" s="6"/>
      <c r="AA119" s="6"/>
      <c r="AB119" s="6"/>
      <c r="AC119" s="12"/>
      <c r="AD119" s="12"/>
      <c r="AE119" s="12"/>
      <c r="AJ119" s="21"/>
    </row>
    <row r="120" spans="2:36" s="2" customFormat="1" ht="11.25">
      <c r="B120" s="17"/>
      <c r="D120" s="34"/>
      <c r="E120" s="34"/>
      <c r="F120" s="34"/>
      <c r="H120" s="6"/>
      <c r="I120" s="6"/>
      <c r="J120" s="6"/>
      <c r="K120" s="6"/>
      <c r="L120" s="6"/>
      <c r="M120" s="6"/>
      <c r="N120" s="6"/>
      <c r="O120" s="6"/>
      <c r="P120" s="6"/>
      <c r="Q120" s="6"/>
      <c r="R120" s="6"/>
      <c r="S120" s="6"/>
      <c r="T120" s="6"/>
      <c r="U120" s="6"/>
      <c r="V120" s="6"/>
      <c r="W120" s="6"/>
      <c r="X120" s="6"/>
      <c r="Y120" s="6"/>
      <c r="Z120" s="6"/>
      <c r="AA120" s="6"/>
      <c r="AB120" s="6"/>
      <c r="AC120" s="12"/>
      <c r="AD120" s="12"/>
      <c r="AE120" s="12"/>
      <c r="AJ120" s="21"/>
    </row>
    <row r="121" spans="2:36" s="2" customFormat="1" ht="11.25">
      <c r="B121" s="17"/>
      <c r="C121" s="14"/>
      <c r="D121" s="36"/>
      <c r="E121" s="36"/>
      <c r="F121" s="36"/>
      <c r="H121" s="6"/>
      <c r="I121" s="6"/>
      <c r="J121" s="6"/>
      <c r="K121" s="6"/>
      <c r="L121" s="6"/>
      <c r="M121" s="6"/>
      <c r="N121" s="6"/>
      <c r="O121" s="6"/>
      <c r="P121" s="6"/>
      <c r="Q121" s="6"/>
      <c r="R121" s="6"/>
      <c r="S121" s="6"/>
      <c r="T121" s="6"/>
      <c r="U121" s="6"/>
      <c r="V121" s="6"/>
      <c r="W121" s="6"/>
      <c r="X121" s="6"/>
      <c r="Y121" s="6"/>
      <c r="Z121" s="6"/>
      <c r="AA121" s="6"/>
      <c r="AB121" s="6"/>
      <c r="AC121" s="12"/>
      <c r="AD121" s="12"/>
      <c r="AE121" s="12"/>
      <c r="AJ121" s="21"/>
    </row>
    <row r="122" spans="2:36" s="2" customFormat="1" ht="11.25">
      <c r="B122" s="17"/>
      <c r="C122" s="14"/>
      <c r="D122" s="36"/>
      <c r="E122" s="36"/>
      <c r="F122" s="36"/>
      <c r="H122" s="6"/>
      <c r="I122" s="6"/>
      <c r="J122" s="6"/>
      <c r="K122" s="6"/>
      <c r="L122" s="6"/>
      <c r="M122" s="6"/>
      <c r="N122" s="6"/>
      <c r="O122" s="6"/>
      <c r="P122" s="6"/>
      <c r="Q122" s="6"/>
      <c r="R122" s="6"/>
      <c r="S122" s="6"/>
      <c r="T122" s="6"/>
      <c r="U122" s="6"/>
      <c r="V122" s="6"/>
      <c r="W122" s="6"/>
      <c r="X122" s="6"/>
      <c r="Y122" s="6"/>
      <c r="Z122" s="6"/>
      <c r="AA122" s="6"/>
      <c r="AB122" s="6"/>
      <c r="AC122" s="12"/>
      <c r="AD122" s="12"/>
      <c r="AE122" s="12"/>
      <c r="AJ122" s="21"/>
    </row>
    <row r="123" spans="2:36" s="2" customFormat="1" ht="11.25">
      <c r="B123" s="17"/>
      <c r="C123" s="3"/>
      <c r="D123" s="13"/>
      <c r="E123" s="13"/>
      <c r="F123" s="13"/>
      <c r="H123" s="6"/>
      <c r="I123" s="6"/>
      <c r="J123" s="6"/>
      <c r="K123" s="6"/>
      <c r="L123" s="6"/>
      <c r="M123" s="6"/>
      <c r="N123" s="6"/>
      <c r="O123" s="6"/>
      <c r="P123" s="6"/>
      <c r="Q123" s="6"/>
      <c r="R123" s="6"/>
      <c r="S123" s="6"/>
      <c r="T123" s="6"/>
      <c r="U123" s="6"/>
      <c r="V123" s="6"/>
      <c r="W123" s="6"/>
      <c r="X123" s="6"/>
      <c r="Y123" s="6"/>
      <c r="Z123" s="6"/>
      <c r="AA123" s="6"/>
      <c r="AB123" s="6"/>
      <c r="AC123" s="12"/>
      <c r="AD123" s="12"/>
      <c r="AE123" s="12"/>
      <c r="AG123" s="17"/>
      <c r="AJ123" s="21"/>
    </row>
    <row r="124" spans="2:36" s="2" customFormat="1" ht="11.25">
      <c r="B124" s="17"/>
      <c r="D124" s="34"/>
      <c r="E124" s="34"/>
      <c r="F124" s="34"/>
      <c r="H124" s="6"/>
      <c r="I124" s="6"/>
      <c r="J124" s="6"/>
      <c r="K124" s="6"/>
      <c r="L124" s="6"/>
      <c r="M124" s="6"/>
      <c r="N124" s="6"/>
      <c r="O124" s="6"/>
      <c r="P124" s="6"/>
      <c r="Q124" s="6"/>
      <c r="R124" s="6"/>
      <c r="S124" s="6"/>
      <c r="T124" s="6"/>
      <c r="U124" s="6"/>
      <c r="V124" s="6"/>
      <c r="W124" s="6"/>
      <c r="X124" s="6"/>
      <c r="Y124" s="6"/>
      <c r="Z124" s="6"/>
      <c r="AA124" s="6"/>
      <c r="AB124" s="6"/>
      <c r="AC124" s="12"/>
      <c r="AD124" s="12"/>
      <c r="AE124" s="12"/>
      <c r="AG124" s="17"/>
      <c r="AJ124" s="21"/>
    </row>
    <row r="125" spans="2:36" s="2" customFormat="1" ht="11.25">
      <c r="B125" s="17"/>
      <c r="D125" s="34"/>
      <c r="E125" s="34"/>
      <c r="F125" s="34"/>
      <c r="H125" s="6"/>
      <c r="I125" s="6"/>
      <c r="J125" s="6"/>
      <c r="K125" s="6"/>
      <c r="L125" s="6"/>
      <c r="M125" s="6"/>
      <c r="N125" s="6"/>
      <c r="O125" s="6"/>
      <c r="P125" s="6"/>
      <c r="Q125" s="6"/>
      <c r="R125" s="6"/>
      <c r="S125" s="6"/>
      <c r="T125" s="6"/>
      <c r="U125" s="6"/>
      <c r="V125" s="6"/>
      <c r="W125" s="6"/>
      <c r="X125" s="6"/>
      <c r="Y125" s="6"/>
      <c r="Z125" s="6"/>
      <c r="AA125" s="6"/>
      <c r="AB125" s="6"/>
      <c r="AC125" s="12"/>
      <c r="AD125" s="12"/>
      <c r="AE125" s="12"/>
      <c r="AG125" s="17"/>
      <c r="AJ125" s="21"/>
    </row>
    <row r="126" spans="2:36" s="2" customFormat="1" ht="11.25">
      <c r="B126" s="17"/>
      <c r="D126" s="34"/>
      <c r="E126" s="34"/>
      <c r="F126" s="34"/>
      <c r="H126" s="6"/>
      <c r="I126" s="6"/>
      <c r="J126" s="6"/>
      <c r="K126" s="6"/>
      <c r="L126" s="6"/>
      <c r="M126" s="6"/>
      <c r="N126" s="6"/>
      <c r="O126" s="6"/>
      <c r="P126" s="6"/>
      <c r="Q126" s="6"/>
      <c r="R126" s="6"/>
      <c r="S126" s="6"/>
      <c r="T126" s="6"/>
      <c r="U126" s="6"/>
      <c r="V126" s="6"/>
      <c r="W126" s="6"/>
      <c r="X126" s="6"/>
      <c r="Y126" s="6"/>
      <c r="Z126" s="6"/>
      <c r="AA126" s="6"/>
      <c r="AB126" s="6"/>
      <c r="AC126" s="12"/>
      <c r="AD126" s="12"/>
      <c r="AE126" s="12"/>
      <c r="AG126" s="17"/>
      <c r="AJ126" s="21"/>
    </row>
    <row r="127" spans="2:36" s="2" customFormat="1" ht="11.25">
      <c r="B127" s="17"/>
      <c r="D127" s="34"/>
      <c r="E127" s="34"/>
      <c r="F127" s="34"/>
      <c r="H127" s="6"/>
      <c r="I127" s="6"/>
      <c r="J127" s="6"/>
      <c r="K127" s="6"/>
      <c r="L127" s="6"/>
      <c r="M127" s="6"/>
      <c r="N127" s="6"/>
      <c r="O127" s="6"/>
      <c r="P127" s="6"/>
      <c r="Q127" s="6"/>
      <c r="R127" s="6"/>
      <c r="S127" s="6"/>
      <c r="T127" s="6"/>
      <c r="U127" s="6"/>
      <c r="V127" s="6"/>
      <c r="W127" s="6"/>
      <c r="X127" s="6"/>
      <c r="Y127" s="6"/>
      <c r="Z127" s="6"/>
      <c r="AA127" s="6"/>
      <c r="AB127" s="6"/>
      <c r="AC127" s="12"/>
      <c r="AD127" s="12"/>
      <c r="AE127" s="12"/>
      <c r="AG127" s="17"/>
      <c r="AJ127" s="21"/>
    </row>
    <row r="128" spans="2:36" s="2" customFormat="1" ht="11.25">
      <c r="B128" s="17"/>
      <c r="D128" s="34"/>
      <c r="E128" s="34"/>
      <c r="F128" s="34"/>
      <c r="H128" s="6"/>
      <c r="I128" s="6"/>
      <c r="J128" s="6"/>
      <c r="K128" s="6"/>
      <c r="L128" s="6"/>
      <c r="M128" s="6"/>
      <c r="N128" s="6"/>
      <c r="O128" s="6"/>
      <c r="P128" s="6"/>
      <c r="Q128" s="6"/>
      <c r="R128" s="6"/>
      <c r="S128" s="6"/>
      <c r="T128" s="6"/>
      <c r="U128" s="6"/>
      <c r="V128" s="6"/>
      <c r="W128" s="6"/>
      <c r="X128" s="6"/>
      <c r="Y128" s="6"/>
      <c r="Z128" s="6"/>
      <c r="AA128" s="6"/>
      <c r="AB128" s="6"/>
      <c r="AC128" s="12"/>
      <c r="AD128" s="12"/>
      <c r="AE128" s="12"/>
      <c r="AG128" s="17"/>
      <c r="AJ128" s="21"/>
    </row>
    <row r="129" spans="2:36" s="2" customFormat="1" ht="11.25">
      <c r="B129" s="17"/>
      <c r="D129" s="34"/>
      <c r="E129" s="34"/>
      <c r="F129" s="34"/>
      <c r="H129" s="6"/>
      <c r="I129" s="6"/>
      <c r="J129" s="6"/>
      <c r="K129" s="6"/>
      <c r="L129" s="6"/>
      <c r="M129" s="6"/>
      <c r="N129" s="6"/>
      <c r="O129" s="6"/>
      <c r="P129" s="6"/>
      <c r="Q129" s="6"/>
      <c r="R129" s="6"/>
      <c r="S129" s="6"/>
      <c r="T129" s="6"/>
      <c r="U129" s="6"/>
      <c r="V129" s="6"/>
      <c r="W129" s="6"/>
      <c r="X129" s="6"/>
      <c r="Y129" s="6"/>
      <c r="Z129" s="6"/>
      <c r="AA129" s="6"/>
      <c r="AB129" s="6"/>
      <c r="AC129" s="12"/>
      <c r="AD129" s="12"/>
      <c r="AJ129" s="21"/>
    </row>
    <row r="130" spans="2:36" s="2" customFormat="1" ht="11.25">
      <c r="B130" s="17"/>
      <c r="D130" s="34"/>
      <c r="E130" s="34"/>
      <c r="F130" s="34"/>
      <c r="H130" s="6"/>
      <c r="I130" s="6"/>
      <c r="J130" s="6"/>
      <c r="K130" s="6"/>
      <c r="L130" s="6"/>
      <c r="M130" s="6"/>
      <c r="N130" s="6"/>
      <c r="O130" s="6"/>
      <c r="P130" s="6"/>
      <c r="Q130" s="6"/>
      <c r="R130" s="6"/>
      <c r="S130" s="6"/>
      <c r="T130" s="6"/>
      <c r="U130" s="6"/>
      <c r="V130" s="6"/>
      <c r="W130" s="6"/>
      <c r="X130" s="6"/>
      <c r="Y130" s="6"/>
      <c r="Z130" s="6"/>
      <c r="AA130" s="6"/>
      <c r="AB130" s="6"/>
      <c r="AC130" s="12"/>
      <c r="AD130" s="12"/>
      <c r="AJ130" s="21"/>
    </row>
    <row r="131" spans="2:36" s="2" customFormat="1" ht="11.25">
      <c r="B131" s="17"/>
      <c r="D131" s="34"/>
      <c r="E131" s="34"/>
      <c r="F131" s="34"/>
      <c r="H131" s="6"/>
      <c r="I131" s="6"/>
      <c r="J131" s="6"/>
      <c r="K131" s="6"/>
      <c r="L131" s="6"/>
      <c r="M131" s="6"/>
      <c r="N131" s="6"/>
      <c r="O131" s="6"/>
      <c r="P131" s="6"/>
      <c r="Q131" s="6"/>
      <c r="R131" s="6"/>
      <c r="S131" s="6"/>
      <c r="T131" s="6"/>
      <c r="U131" s="6"/>
      <c r="V131" s="6"/>
      <c r="W131" s="6"/>
      <c r="X131" s="6"/>
      <c r="Y131" s="6"/>
      <c r="Z131" s="6"/>
      <c r="AA131" s="6"/>
      <c r="AB131" s="6"/>
      <c r="AC131" s="12"/>
      <c r="AD131" s="12"/>
      <c r="AJ131" s="21"/>
    </row>
    <row r="132" spans="2:36" s="2" customFormat="1" ht="11.25">
      <c r="B132" s="17"/>
      <c r="D132" s="34"/>
      <c r="E132" s="34"/>
      <c r="F132" s="34"/>
      <c r="H132" s="6"/>
      <c r="I132" s="6"/>
      <c r="J132" s="6"/>
      <c r="K132" s="6"/>
      <c r="L132" s="6"/>
      <c r="M132" s="6"/>
      <c r="N132" s="6"/>
      <c r="O132" s="6"/>
      <c r="P132" s="6"/>
      <c r="Q132" s="6"/>
      <c r="R132" s="6"/>
      <c r="S132" s="6"/>
      <c r="T132" s="6"/>
      <c r="U132" s="6"/>
      <c r="V132" s="6"/>
      <c r="W132" s="6"/>
      <c r="X132" s="6"/>
      <c r="Y132" s="6"/>
      <c r="Z132" s="6"/>
      <c r="AA132" s="6"/>
      <c r="AB132" s="6"/>
      <c r="AC132" s="10"/>
      <c r="AD132" s="10"/>
      <c r="AJ132" s="21"/>
    </row>
    <row r="133" spans="2:36" s="2" customFormat="1" ht="11.25">
      <c r="B133" s="17"/>
      <c r="D133" s="34"/>
      <c r="E133" s="34"/>
      <c r="F133" s="34"/>
      <c r="H133" s="6"/>
      <c r="I133" s="6"/>
      <c r="J133" s="6"/>
      <c r="K133" s="6"/>
      <c r="L133" s="6"/>
      <c r="M133" s="6"/>
      <c r="N133" s="6"/>
      <c r="O133" s="6"/>
      <c r="P133" s="6"/>
      <c r="Q133" s="6"/>
      <c r="R133" s="6"/>
      <c r="S133" s="6"/>
      <c r="T133" s="6"/>
      <c r="U133" s="6"/>
      <c r="V133" s="6"/>
      <c r="W133" s="6"/>
      <c r="X133" s="6"/>
      <c r="Y133" s="6"/>
      <c r="Z133" s="6"/>
      <c r="AA133" s="6"/>
      <c r="AB133" s="6"/>
      <c r="AC133" s="6"/>
      <c r="AD133" s="6"/>
      <c r="AJ133" s="21"/>
    </row>
    <row r="134" spans="2:36" s="2" customFormat="1" ht="11.25">
      <c r="B134" s="17"/>
      <c r="D134" s="34"/>
      <c r="E134" s="34"/>
      <c r="F134" s="34"/>
      <c r="H134" s="6"/>
      <c r="I134" s="6"/>
      <c r="J134" s="6"/>
      <c r="K134" s="6"/>
      <c r="L134" s="6"/>
      <c r="M134" s="6"/>
      <c r="N134" s="6"/>
      <c r="O134" s="6"/>
      <c r="P134" s="6"/>
      <c r="Q134" s="6"/>
      <c r="R134" s="6"/>
      <c r="S134" s="6"/>
      <c r="T134" s="6"/>
      <c r="U134" s="6"/>
      <c r="V134" s="6"/>
      <c r="W134" s="6"/>
      <c r="X134" s="6"/>
      <c r="Y134" s="6"/>
      <c r="Z134" s="6"/>
      <c r="AA134" s="6"/>
      <c r="AB134" s="6"/>
      <c r="AC134" s="6"/>
      <c r="AD134" s="6"/>
      <c r="AJ134" s="21"/>
    </row>
    <row r="135" spans="2:36" s="2" customFormat="1" ht="11.25">
      <c r="B135" s="17"/>
      <c r="D135" s="34"/>
      <c r="E135" s="34"/>
      <c r="F135" s="34"/>
      <c r="H135" s="6"/>
      <c r="I135" s="6"/>
      <c r="J135" s="6"/>
      <c r="K135" s="6"/>
      <c r="L135" s="6"/>
      <c r="M135" s="6"/>
      <c r="N135" s="6"/>
      <c r="O135" s="6"/>
      <c r="P135" s="6"/>
      <c r="Q135" s="6"/>
      <c r="R135" s="6"/>
      <c r="S135" s="6"/>
      <c r="T135" s="6"/>
      <c r="U135" s="6"/>
      <c r="V135" s="6"/>
      <c r="W135" s="6"/>
      <c r="X135" s="6"/>
      <c r="Y135" s="6"/>
      <c r="Z135" s="6"/>
      <c r="AA135" s="6"/>
      <c r="AB135" s="6"/>
      <c r="AC135" s="11"/>
      <c r="AD135" s="11"/>
      <c r="AJ135" s="21"/>
    </row>
    <row r="136" spans="2:36" s="2" customFormat="1" ht="11.25">
      <c r="B136" s="17"/>
      <c r="D136" s="34"/>
      <c r="E136" s="34"/>
      <c r="F136" s="34"/>
      <c r="H136" s="6"/>
      <c r="I136" s="6"/>
      <c r="J136" s="6"/>
      <c r="K136" s="6"/>
      <c r="L136" s="6"/>
      <c r="M136" s="6"/>
      <c r="N136" s="6"/>
      <c r="O136" s="6"/>
      <c r="P136" s="6"/>
      <c r="Q136" s="6"/>
      <c r="R136" s="6"/>
      <c r="S136" s="6"/>
      <c r="T136" s="6"/>
      <c r="U136" s="6"/>
      <c r="V136" s="6"/>
      <c r="W136" s="6"/>
      <c r="X136" s="6"/>
      <c r="Y136" s="6"/>
      <c r="Z136" s="6"/>
      <c r="AA136" s="6"/>
      <c r="AB136" s="6"/>
      <c r="AC136" s="6"/>
      <c r="AD136" s="6"/>
      <c r="AJ136" s="21"/>
    </row>
    <row r="137" spans="2:36" s="2" customFormat="1" ht="11.25">
      <c r="B137" s="17"/>
      <c r="D137" s="34"/>
      <c r="E137" s="34"/>
      <c r="F137" s="34"/>
      <c r="H137" s="6"/>
      <c r="I137" s="6"/>
      <c r="J137" s="6"/>
      <c r="K137" s="6"/>
      <c r="L137" s="6"/>
      <c r="M137" s="6"/>
      <c r="N137" s="6"/>
      <c r="O137" s="6"/>
      <c r="P137" s="6"/>
      <c r="Q137" s="6"/>
      <c r="R137" s="6"/>
      <c r="S137" s="6"/>
      <c r="T137" s="6"/>
      <c r="U137" s="6"/>
      <c r="V137" s="6"/>
      <c r="W137" s="6"/>
      <c r="X137" s="6"/>
      <c r="Y137" s="6"/>
      <c r="Z137" s="6"/>
      <c r="AA137" s="6"/>
      <c r="AB137" s="6"/>
      <c r="AC137" s="6"/>
      <c r="AD137" s="6"/>
      <c r="AJ137" s="21"/>
    </row>
    <row r="138" spans="2:36" s="2" customFormat="1" ht="11.25">
      <c r="B138" s="17"/>
      <c r="D138" s="34"/>
      <c r="E138" s="34"/>
      <c r="F138" s="34"/>
      <c r="H138" s="6"/>
      <c r="I138" s="6"/>
      <c r="J138" s="6"/>
      <c r="K138" s="6"/>
      <c r="L138" s="6"/>
      <c r="M138" s="6"/>
      <c r="N138" s="6"/>
      <c r="O138" s="6"/>
      <c r="P138" s="6"/>
      <c r="Q138" s="6"/>
      <c r="R138" s="6"/>
      <c r="S138" s="6"/>
      <c r="T138" s="6"/>
      <c r="U138" s="6"/>
      <c r="V138" s="6"/>
      <c r="W138" s="6"/>
      <c r="X138" s="6"/>
      <c r="Y138" s="6"/>
      <c r="Z138" s="6"/>
      <c r="AA138" s="6"/>
      <c r="AB138" s="6"/>
      <c r="AC138" s="6"/>
      <c r="AD138" s="6"/>
      <c r="AJ138" s="21"/>
    </row>
    <row r="139" spans="2:36" s="2" customFormat="1" ht="11.25">
      <c r="B139" s="17"/>
      <c r="D139" s="34"/>
      <c r="E139" s="34"/>
      <c r="F139" s="34"/>
      <c r="H139" s="6"/>
      <c r="I139" s="6"/>
      <c r="J139" s="6"/>
      <c r="K139" s="6"/>
      <c r="L139" s="6"/>
      <c r="M139" s="6"/>
      <c r="N139" s="6"/>
      <c r="O139" s="6"/>
      <c r="P139" s="6"/>
      <c r="Q139" s="6"/>
      <c r="R139" s="6"/>
      <c r="S139" s="6"/>
      <c r="T139" s="6"/>
      <c r="U139" s="6"/>
      <c r="V139" s="6"/>
      <c r="W139" s="6"/>
      <c r="X139" s="6"/>
      <c r="Y139" s="6"/>
      <c r="Z139" s="6"/>
      <c r="AA139" s="6"/>
      <c r="AB139" s="6"/>
      <c r="AC139" s="6"/>
      <c r="AD139" s="6"/>
      <c r="AJ139" s="21"/>
    </row>
    <row r="140" spans="2:36" s="2" customFormat="1" ht="11.25">
      <c r="B140" s="17"/>
      <c r="D140" s="34"/>
      <c r="E140" s="34"/>
      <c r="F140" s="34"/>
      <c r="H140" s="6"/>
      <c r="I140" s="6"/>
      <c r="J140" s="6"/>
      <c r="K140" s="6"/>
      <c r="L140" s="6"/>
      <c r="M140" s="6"/>
      <c r="N140" s="6"/>
      <c r="O140" s="6"/>
      <c r="P140" s="6"/>
      <c r="Q140" s="6"/>
      <c r="R140" s="6"/>
      <c r="S140" s="6"/>
      <c r="T140" s="6"/>
      <c r="U140" s="6"/>
      <c r="V140" s="6"/>
      <c r="W140" s="6"/>
      <c r="X140" s="6"/>
      <c r="Y140" s="6"/>
      <c r="Z140" s="6"/>
      <c r="AA140" s="6"/>
      <c r="AB140" s="6"/>
      <c r="AC140" s="6"/>
      <c r="AD140" s="6"/>
      <c r="AJ140" s="21"/>
    </row>
    <row r="141" spans="2:36" s="2" customFormat="1" ht="11.25">
      <c r="B141" s="17"/>
      <c r="D141" s="34"/>
      <c r="E141" s="34"/>
      <c r="F141" s="34"/>
      <c r="H141" s="6"/>
      <c r="I141" s="6"/>
      <c r="J141" s="6"/>
      <c r="K141" s="6"/>
      <c r="L141" s="6"/>
      <c r="M141" s="6"/>
      <c r="N141" s="6"/>
      <c r="O141" s="6"/>
      <c r="P141" s="6"/>
      <c r="Q141" s="6"/>
      <c r="R141" s="6"/>
      <c r="S141" s="6"/>
      <c r="T141" s="6"/>
      <c r="U141" s="6"/>
      <c r="V141" s="6"/>
      <c r="W141" s="6"/>
      <c r="X141" s="6"/>
      <c r="Y141" s="6"/>
      <c r="Z141" s="6"/>
      <c r="AA141" s="6"/>
      <c r="AB141" s="6"/>
      <c r="AC141" s="6"/>
      <c r="AD141" s="6"/>
      <c r="AJ141" s="21"/>
    </row>
    <row r="142" spans="2:36" s="2" customFormat="1" ht="11.25">
      <c r="B142" s="17"/>
      <c r="D142" s="34"/>
      <c r="E142" s="34"/>
      <c r="F142" s="34"/>
      <c r="H142" s="6"/>
      <c r="I142" s="6"/>
      <c r="J142" s="6"/>
      <c r="K142" s="6"/>
      <c r="L142" s="6"/>
      <c r="M142" s="6"/>
      <c r="N142" s="6"/>
      <c r="O142" s="6"/>
      <c r="P142" s="6"/>
      <c r="Q142" s="6"/>
      <c r="R142" s="6"/>
      <c r="S142" s="6"/>
      <c r="T142" s="6"/>
      <c r="U142" s="6"/>
      <c r="V142" s="6"/>
      <c r="W142" s="6"/>
      <c r="X142" s="6"/>
      <c r="Y142" s="6"/>
      <c r="Z142" s="6"/>
      <c r="AA142" s="6"/>
      <c r="AB142" s="6"/>
      <c r="AC142" s="6"/>
      <c r="AD142" s="6"/>
      <c r="AJ142" s="21"/>
    </row>
    <row r="143" spans="2:36" s="2" customFormat="1" ht="11.25">
      <c r="B143" s="17"/>
      <c r="D143" s="34"/>
      <c r="E143" s="34"/>
      <c r="F143" s="34"/>
      <c r="H143" s="6"/>
      <c r="I143" s="6"/>
      <c r="J143" s="6"/>
      <c r="K143" s="6"/>
      <c r="L143" s="6"/>
      <c r="M143" s="6"/>
      <c r="N143" s="6"/>
      <c r="O143" s="6"/>
      <c r="P143" s="6"/>
      <c r="Q143" s="6"/>
      <c r="R143" s="6"/>
      <c r="S143" s="6"/>
      <c r="T143" s="6"/>
      <c r="U143" s="6"/>
      <c r="V143" s="6"/>
      <c r="W143" s="6"/>
      <c r="X143" s="6"/>
      <c r="Y143" s="6"/>
      <c r="Z143" s="6"/>
      <c r="AA143" s="6"/>
      <c r="AB143" s="6"/>
      <c r="AC143" s="6"/>
      <c r="AD143" s="6"/>
      <c r="AJ143" s="21"/>
    </row>
    <row r="144" spans="2:36" s="2" customFormat="1" ht="11.25">
      <c r="B144" s="17"/>
      <c r="D144" s="34"/>
      <c r="E144" s="34"/>
      <c r="F144" s="34"/>
      <c r="H144" s="6"/>
      <c r="I144" s="6"/>
      <c r="J144" s="6"/>
      <c r="K144" s="6"/>
      <c r="L144" s="6"/>
      <c r="M144" s="6"/>
      <c r="N144" s="6"/>
      <c r="O144" s="6"/>
      <c r="P144" s="6"/>
      <c r="Q144" s="6"/>
      <c r="R144" s="6"/>
      <c r="S144" s="6"/>
      <c r="T144" s="6"/>
      <c r="U144" s="6"/>
      <c r="V144" s="6"/>
      <c r="W144" s="6"/>
      <c r="X144" s="6"/>
      <c r="Y144" s="6"/>
      <c r="Z144" s="6"/>
      <c r="AA144" s="6"/>
      <c r="AB144" s="6"/>
      <c r="AC144" s="6"/>
      <c r="AD144" s="6"/>
      <c r="AJ144" s="21"/>
    </row>
    <row r="145" spans="2:36" s="2" customFormat="1" ht="11.25">
      <c r="B145" s="17"/>
      <c r="D145" s="34"/>
      <c r="E145" s="34"/>
      <c r="F145" s="34"/>
      <c r="H145" s="6"/>
      <c r="I145" s="6"/>
      <c r="J145" s="6"/>
      <c r="K145" s="6"/>
      <c r="L145" s="6"/>
      <c r="M145" s="6"/>
      <c r="N145" s="6"/>
      <c r="O145" s="6"/>
      <c r="P145" s="6"/>
      <c r="Q145" s="6"/>
      <c r="R145" s="6"/>
      <c r="S145" s="6"/>
      <c r="T145" s="6"/>
      <c r="U145" s="6"/>
      <c r="V145" s="6"/>
      <c r="W145" s="6"/>
      <c r="X145" s="6"/>
      <c r="Y145" s="6"/>
      <c r="Z145" s="6"/>
      <c r="AA145" s="6"/>
      <c r="AB145" s="6"/>
      <c r="AC145" s="6"/>
      <c r="AD145" s="6"/>
      <c r="AJ145" s="21"/>
    </row>
    <row r="146" spans="2:36" s="2" customFormat="1" ht="11.25">
      <c r="B146" s="17"/>
      <c r="D146" s="34"/>
      <c r="E146" s="34"/>
      <c r="F146" s="34"/>
      <c r="H146" s="6"/>
      <c r="I146" s="6"/>
      <c r="J146" s="6"/>
      <c r="K146" s="6"/>
      <c r="L146" s="6"/>
      <c r="M146" s="6"/>
      <c r="N146" s="6"/>
      <c r="O146" s="6"/>
      <c r="P146" s="6"/>
      <c r="Q146" s="6"/>
      <c r="R146" s="6"/>
      <c r="S146" s="6"/>
      <c r="T146" s="6"/>
      <c r="U146" s="6"/>
      <c r="V146" s="6"/>
      <c r="W146" s="6"/>
      <c r="X146" s="6"/>
      <c r="Y146" s="6"/>
      <c r="Z146" s="6"/>
      <c r="AA146" s="6"/>
      <c r="AB146" s="6"/>
      <c r="AC146" s="6"/>
      <c r="AD146" s="6"/>
      <c r="AJ146" s="21"/>
    </row>
    <row r="147" spans="2:36" s="2" customFormat="1" ht="11.25">
      <c r="B147" s="17"/>
      <c r="C147" s="3"/>
      <c r="D147" s="13"/>
      <c r="E147" s="13"/>
      <c r="F147" s="13"/>
      <c r="H147" s="6"/>
      <c r="I147" s="6"/>
      <c r="J147" s="6"/>
      <c r="K147" s="6"/>
      <c r="L147" s="6"/>
      <c r="M147" s="6"/>
      <c r="N147" s="6"/>
      <c r="O147" s="6"/>
      <c r="P147" s="6"/>
      <c r="Q147" s="6"/>
      <c r="R147" s="6"/>
      <c r="S147" s="6"/>
      <c r="T147" s="6"/>
      <c r="U147" s="6"/>
      <c r="V147" s="6"/>
      <c r="W147" s="6"/>
      <c r="X147" s="6"/>
      <c r="Y147" s="6"/>
      <c r="Z147" s="6"/>
      <c r="AA147" s="6"/>
      <c r="AB147" s="6"/>
      <c r="AC147" s="12"/>
      <c r="AD147" s="12"/>
      <c r="AJ147" s="21"/>
    </row>
    <row r="148" spans="2:36" s="2" customFormat="1" ht="11.25">
      <c r="B148" s="17"/>
      <c r="D148" s="34"/>
      <c r="E148" s="34"/>
      <c r="F148" s="34"/>
      <c r="H148" s="6"/>
      <c r="I148" s="6"/>
      <c r="J148" s="6"/>
      <c r="K148" s="6"/>
      <c r="L148" s="6"/>
      <c r="M148" s="6"/>
      <c r="N148" s="6"/>
      <c r="O148" s="6"/>
      <c r="P148" s="6"/>
      <c r="Q148" s="6"/>
      <c r="R148" s="6"/>
      <c r="S148" s="6"/>
      <c r="T148" s="6"/>
      <c r="U148" s="6"/>
      <c r="V148" s="6"/>
      <c r="W148" s="6"/>
      <c r="X148" s="6"/>
      <c r="Y148" s="6"/>
      <c r="Z148" s="6"/>
      <c r="AA148" s="6"/>
      <c r="AB148" s="6"/>
      <c r="AC148" s="6"/>
      <c r="AD148" s="6"/>
      <c r="AJ148" s="21"/>
    </row>
    <row r="149" spans="2:36" s="2" customFormat="1" ht="11.25">
      <c r="B149" s="17"/>
      <c r="D149" s="34"/>
      <c r="E149" s="34"/>
      <c r="F149" s="34"/>
      <c r="H149" s="6"/>
      <c r="I149" s="6"/>
      <c r="J149" s="6"/>
      <c r="K149" s="6"/>
      <c r="L149" s="6"/>
      <c r="M149" s="6"/>
      <c r="N149" s="6"/>
      <c r="O149" s="6"/>
      <c r="P149" s="6"/>
      <c r="Q149" s="6"/>
      <c r="R149" s="6"/>
      <c r="S149" s="6"/>
      <c r="T149" s="6"/>
      <c r="U149" s="6"/>
      <c r="V149" s="6"/>
      <c r="W149" s="6"/>
      <c r="X149" s="6"/>
      <c r="Y149" s="6"/>
      <c r="Z149" s="6"/>
      <c r="AA149" s="6"/>
      <c r="AB149" s="6"/>
      <c r="AC149" s="12"/>
      <c r="AD149" s="12"/>
      <c r="AJ149" s="21"/>
    </row>
    <row r="150" spans="2:36" s="2" customFormat="1" ht="11.25">
      <c r="B150" s="17"/>
      <c r="D150" s="34"/>
      <c r="E150" s="34"/>
      <c r="F150" s="34"/>
      <c r="H150" s="6"/>
      <c r="I150" s="6"/>
      <c r="J150" s="6"/>
      <c r="K150" s="6"/>
      <c r="L150" s="6"/>
      <c r="M150" s="6"/>
      <c r="N150" s="6"/>
      <c r="O150" s="6"/>
      <c r="P150" s="6"/>
      <c r="Q150" s="6"/>
      <c r="R150" s="6"/>
      <c r="S150" s="6"/>
      <c r="T150" s="6"/>
      <c r="U150" s="6"/>
      <c r="V150" s="6"/>
      <c r="W150" s="6"/>
      <c r="X150" s="6"/>
      <c r="Y150" s="6"/>
      <c r="Z150" s="6"/>
      <c r="AA150" s="6"/>
      <c r="AB150" s="6"/>
      <c r="AC150" s="12"/>
      <c r="AD150" s="12"/>
      <c r="AJ150" s="21"/>
    </row>
    <row r="151" spans="2:36" s="2" customFormat="1" ht="11.25">
      <c r="B151" s="17"/>
      <c r="D151" s="34"/>
      <c r="E151" s="34"/>
      <c r="F151" s="34"/>
      <c r="H151" s="6"/>
      <c r="I151" s="6"/>
      <c r="J151" s="6"/>
      <c r="K151" s="6"/>
      <c r="L151" s="6"/>
      <c r="M151" s="6"/>
      <c r="N151" s="6"/>
      <c r="O151" s="6"/>
      <c r="P151" s="6"/>
      <c r="Q151" s="6"/>
      <c r="R151" s="6"/>
      <c r="S151" s="6"/>
      <c r="T151" s="6"/>
      <c r="U151" s="6"/>
      <c r="V151" s="6"/>
      <c r="W151" s="6"/>
      <c r="X151" s="6"/>
      <c r="Y151" s="6"/>
      <c r="Z151" s="6"/>
      <c r="AA151" s="6"/>
      <c r="AB151" s="6"/>
      <c r="AC151" s="6"/>
      <c r="AD151" s="6"/>
      <c r="AJ151" s="21"/>
    </row>
    <row r="152" spans="2:36" s="2" customFormat="1" ht="11.25">
      <c r="B152" s="17"/>
      <c r="D152" s="34"/>
      <c r="E152" s="34"/>
      <c r="F152" s="34"/>
      <c r="H152" s="6"/>
      <c r="I152" s="6"/>
      <c r="J152" s="6"/>
      <c r="K152" s="6"/>
      <c r="L152" s="6"/>
      <c r="M152" s="6"/>
      <c r="N152" s="6"/>
      <c r="O152" s="6"/>
      <c r="P152" s="6"/>
      <c r="Q152" s="6"/>
      <c r="R152" s="6"/>
      <c r="S152" s="6"/>
      <c r="T152" s="6"/>
      <c r="U152" s="6"/>
      <c r="V152" s="6"/>
      <c r="W152" s="6"/>
      <c r="X152" s="6"/>
      <c r="Y152" s="6"/>
      <c r="Z152" s="6"/>
      <c r="AA152" s="6"/>
      <c r="AB152" s="6"/>
      <c r="AC152" s="12"/>
      <c r="AD152" s="12"/>
      <c r="AJ152" s="21"/>
    </row>
    <row r="153" spans="2:36" s="2" customFormat="1" ht="11.25">
      <c r="B153" s="17"/>
      <c r="D153" s="34"/>
      <c r="E153" s="34"/>
      <c r="F153" s="34"/>
      <c r="H153" s="6"/>
      <c r="I153" s="6"/>
      <c r="J153" s="6"/>
      <c r="K153" s="6"/>
      <c r="L153" s="6"/>
      <c r="M153" s="6"/>
      <c r="N153" s="6"/>
      <c r="O153" s="6"/>
      <c r="P153" s="6"/>
      <c r="Q153" s="6"/>
      <c r="R153" s="6"/>
      <c r="S153" s="6"/>
      <c r="T153" s="6"/>
      <c r="U153" s="6"/>
      <c r="V153" s="6"/>
      <c r="W153" s="6"/>
      <c r="X153" s="6"/>
      <c r="Y153" s="6"/>
      <c r="Z153" s="6"/>
      <c r="AA153" s="6"/>
      <c r="AB153" s="6"/>
      <c r="AC153" s="12"/>
      <c r="AD153" s="12"/>
      <c r="AJ153" s="21"/>
    </row>
    <row r="154" spans="2:36" s="2" customFormat="1" ht="11.25">
      <c r="B154" s="17"/>
      <c r="D154" s="34"/>
      <c r="E154" s="34"/>
      <c r="F154" s="34"/>
      <c r="H154" s="6"/>
      <c r="I154" s="6"/>
      <c r="J154" s="6"/>
      <c r="K154" s="6"/>
      <c r="L154" s="6"/>
      <c r="M154" s="6"/>
      <c r="N154" s="6"/>
      <c r="O154" s="6"/>
      <c r="P154" s="6"/>
      <c r="Q154" s="6"/>
      <c r="R154" s="6"/>
      <c r="S154" s="6"/>
      <c r="T154" s="6"/>
      <c r="U154" s="6"/>
      <c r="V154" s="6"/>
      <c r="W154" s="6"/>
      <c r="X154" s="6"/>
      <c r="Y154" s="6"/>
      <c r="Z154" s="6"/>
      <c r="AA154" s="6"/>
      <c r="AB154" s="6"/>
      <c r="AC154" s="6"/>
      <c r="AD154" s="6"/>
      <c r="AJ154" s="21"/>
    </row>
    <row r="155" spans="2:36" s="2" customFormat="1" ht="11.25">
      <c r="B155" s="17"/>
      <c r="D155" s="34"/>
      <c r="E155" s="34"/>
      <c r="F155" s="34"/>
      <c r="H155" s="6"/>
      <c r="I155" s="6"/>
      <c r="J155" s="6"/>
      <c r="K155" s="6"/>
      <c r="L155" s="6"/>
      <c r="M155" s="6"/>
      <c r="N155" s="6"/>
      <c r="O155" s="6"/>
      <c r="P155" s="6"/>
      <c r="Q155" s="6"/>
      <c r="R155" s="6"/>
      <c r="S155" s="6"/>
      <c r="T155" s="6"/>
      <c r="U155" s="6"/>
      <c r="V155" s="6"/>
      <c r="W155" s="6"/>
      <c r="X155" s="6"/>
      <c r="Y155" s="6"/>
      <c r="Z155" s="6"/>
      <c r="AA155" s="6"/>
      <c r="AB155" s="6"/>
      <c r="AC155" s="12"/>
      <c r="AD155" s="12"/>
      <c r="AJ155" s="21"/>
    </row>
    <row r="156" spans="2:36" s="2" customFormat="1" ht="11.25">
      <c r="B156" s="17"/>
      <c r="D156" s="34"/>
      <c r="E156" s="34"/>
      <c r="F156" s="34"/>
      <c r="H156" s="6"/>
      <c r="I156" s="6"/>
      <c r="J156" s="6"/>
      <c r="K156" s="6"/>
      <c r="L156" s="6"/>
      <c r="M156" s="6"/>
      <c r="N156" s="6"/>
      <c r="O156" s="6"/>
      <c r="P156" s="6"/>
      <c r="Q156" s="6"/>
      <c r="R156" s="6"/>
      <c r="S156" s="6"/>
      <c r="T156" s="6"/>
      <c r="U156" s="6"/>
      <c r="V156" s="6"/>
      <c r="W156" s="6"/>
      <c r="X156" s="6"/>
      <c r="Y156" s="6"/>
      <c r="Z156" s="6"/>
      <c r="AA156" s="6"/>
      <c r="AB156" s="6"/>
      <c r="AC156" s="12"/>
      <c r="AD156" s="12"/>
      <c r="AJ156" s="21"/>
    </row>
    <row r="157" spans="2:36" s="2" customFormat="1" ht="11.25">
      <c r="B157" s="17"/>
      <c r="D157" s="34"/>
      <c r="E157" s="34"/>
      <c r="F157" s="34"/>
      <c r="H157" s="6"/>
      <c r="I157" s="6"/>
      <c r="J157" s="6"/>
      <c r="K157" s="6"/>
      <c r="L157" s="6"/>
      <c r="M157" s="6"/>
      <c r="N157" s="6"/>
      <c r="O157" s="6"/>
      <c r="P157" s="6"/>
      <c r="Q157" s="6"/>
      <c r="R157" s="6"/>
      <c r="S157" s="6"/>
      <c r="T157" s="6"/>
      <c r="U157" s="6"/>
      <c r="V157" s="6"/>
      <c r="W157" s="6"/>
      <c r="X157" s="6"/>
      <c r="Y157" s="6"/>
      <c r="Z157" s="6"/>
      <c r="AA157" s="6"/>
      <c r="AB157" s="6"/>
      <c r="AC157" s="6"/>
      <c r="AD157" s="6"/>
      <c r="AJ157" s="21"/>
    </row>
    <row r="158" spans="2:36" s="2" customFormat="1" ht="11.25">
      <c r="B158" s="17"/>
      <c r="D158" s="34"/>
      <c r="E158" s="34"/>
      <c r="F158" s="34"/>
      <c r="H158" s="6"/>
      <c r="I158" s="6"/>
      <c r="J158" s="6"/>
      <c r="K158" s="6"/>
      <c r="L158" s="6"/>
      <c r="M158" s="6"/>
      <c r="N158" s="6"/>
      <c r="O158" s="6"/>
      <c r="P158" s="6"/>
      <c r="Q158" s="6"/>
      <c r="R158" s="6"/>
      <c r="S158" s="6"/>
      <c r="T158" s="6"/>
      <c r="U158" s="6"/>
      <c r="V158" s="6"/>
      <c r="W158" s="6"/>
      <c r="X158" s="6"/>
      <c r="Y158" s="6"/>
      <c r="Z158" s="6"/>
      <c r="AA158" s="6"/>
      <c r="AB158" s="6"/>
      <c r="AC158" s="12"/>
      <c r="AD158" s="12"/>
      <c r="AJ158" s="21"/>
    </row>
    <row r="159" spans="2:36" s="2" customFormat="1" ht="11.25">
      <c r="B159" s="17"/>
      <c r="D159" s="34"/>
      <c r="E159" s="34"/>
      <c r="F159" s="34"/>
      <c r="H159" s="6"/>
      <c r="I159" s="6"/>
      <c r="J159" s="6"/>
      <c r="K159" s="6"/>
      <c r="L159" s="6"/>
      <c r="M159" s="6"/>
      <c r="N159" s="6"/>
      <c r="O159" s="6"/>
      <c r="P159" s="6"/>
      <c r="Q159" s="6"/>
      <c r="R159" s="6"/>
      <c r="S159" s="6"/>
      <c r="T159" s="6"/>
      <c r="U159" s="6"/>
      <c r="V159" s="6"/>
      <c r="W159" s="6"/>
      <c r="X159" s="6"/>
      <c r="Y159" s="6"/>
      <c r="Z159" s="6"/>
      <c r="AA159" s="6"/>
      <c r="AB159" s="6"/>
      <c r="AC159" s="6"/>
      <c r="AD159" s="6"/>
      <c r="AJ159" s="21"/>
    </row>
    <row r="160" spans="2:36" s="2" customFormat="1" ht="11.25">
      <c r="B160" s="17"/>
      <c r="D160" s="34"/>
      <c r="E160" s="34"/>
      <c r="F160" s="34"/>
      <c r="H160" s="6"/>
      <c r="I160" s="6"/>
      <c r="J160" s="6"/>
      <c r="K160" s="6"/>
      <c r="L160" s="6"/>
      <c r="M160" s="6"/>
      <c r="N160" s="6"/>
      <c r="O160" s="6"/>
      <c r="P160" s="6"/>
      <c r="Q160" s="6"/>
      <c r="R160" s="6"/>
      <c r="S160" s="6"/>
      <c r="T160" s="6"/>
      <c r="U160" s="6"/>
      <c r="V160" s="6"/>
      <c r="W160" s="6"/>
      <c r="X160" s="6"/>
      <c r="Y160" s="6"/>
      <c r="Z160" s="6"/>
      <c r="AA160" s="6"/>
      <c r="AB160" s="6"/>
      <c r="AC160" s="6"/>
      <c r="AD160" s="6"/>
      <c r="AJ160" s="21"/>
    </row>
    <row r="161" spans="2:36" s="2" customFormat="1" ht="11.25">
      <c r="B161" s="17"/>
      <c r="D161" s="34"/>
      <c r="E161" s="34"/>
      <c r="F161" s="34"/>
      <c r="H161" s="6"/>
      <c r="I161" s="6"/>
      <c r="J161" s="6"/>
      <c r="K161" s="6"/>
      <c r="L161" s="6"/>
      <c r="M161" s="6"/>
      <c r="N161" s="6"/>
      <c r="O161" s="6"/>
      <c r="P161" s="6"/>
      <c r="Q161" s="6"/>
      <c r="R161" s="6"/>
      <c r="S161" s="6"/>
      <c r="T161" s="6"/>
      <c r="U161" s="6"/>
      <c r="V161" s="6"/>
      <c r="W161" s="6"/>
      <c r="X161" s="6"/>
      <c r="Y161" s="6"/>
      <c r="Z161" s="6"/>
      <c r="AA161" s="6"/>
      <c r="AB161" s="6"/>
      <c r="AC161" s="12"/>
      <c r="AD161" s="12"/>
      <c r="AJ161" s="21"/>
    </row>
    <row r="162" spans="2:36" s="2" customFormat="1" ht="11.25">
      <c r="B162" s="17"/>
      <c r="D162" s="34"/>
      <c r="E162" s="34"/>
      <c r="F162" s="34"/>
      <c r="H162" s="6"/>
      <c r="I162" s="6"/>
      <c r="J162" s="6"/>
      <c r="K162" s="6"/>
      <c r="L162" s="6"/>
      <c r="M162" s="6"/>
      <c r="N162" s="6"/>
      <c r="O162" s="6"/>
      <c r="P162" s="6"/>
      <c r="Q162" s="6"/>
      <c r="R162" s="6"/>
      <c r="S162" s="6"/>
      <c r="T162" s="6"/>
      <c r="U162" s="6"/>
      <c r="V162" s="6"/>
      <c r="W162" s="6"/>
      <c r="X162" s="6"/>
      <c r="Y162" s="6"/>
      <c r="Z162" s="6"/>
      <c r="AA162" s="6"/>
      <c r="AB162" s="6"/>
      <c r="AC162" s="12"/>
      <c r="AD162" s="12"/>
      <c r="AJ162" s="21"/>
    </row>
    <row r="163" spans="2:36" s="2" customFormat="1" ht="11.25">
      <c r="B163" s="17"/>
      <c r="D163" s="34"/>
      <c r="E163" s="34"/>
      <c r="F163" s="34"/>
      <c r="H163" s="6"/>
      <c r="I163" s="6"/>
      <c r="J163" s="6"/>
      <c r="K163" s="6"/>
      <c r="L163" s="6"/>
      <c r="M163" s="6"/>
      <c r="N163" s="6"/>
      <c r="O163" s="6"/>
      <c r="P163" s="6"/>
      <c r="Q163" s="6"/>
      <c r="R163" s="6"/>
      <c r="S163" s="6"/>
      <c r="T163" s="6"/>
      <c r="U163" s="6"/>
      <c r="V163" s="6"/>
      <c r="W163" s="6"/>
      <c r="X163" s="6"/>
      <c r="Y163" s="6"/>
      <c r="Z163" s="6"/>
      <c r="AA163" s="6"/>
      <c r="AB163" s="6"/>
      <c r="AC163" s="12"/>
      <c r="AD163" s="12"/>
      <c r="AJ163" s="21"/>
    </row>
    <row r="164" spans="2:36" s="2" customFormat="1" ht="11.25">
      <c r="B164" s="17"/>
      <c r="D164" s="34"/>
      <c r="E164" s="34"/>
      <c r="F164" s="34"/>
      <c r="H164" s="6"/>
      <c r="I164" s="6"/>
      <c r="J164" s="6"/>
      <c r="K164" s="6"/>
      <c r="L164" s="6"/>
      <c r="M164" s="6"/>
      <c r="N164" s="6"/>
      <c r="O164" s="6"/>
      <c r="P164" s="6"/>
      <c r="Q164" s="6"/>
      <c r="R164" s="6"/>
      <c r="S164" s="6"/>
      <c r="T164" s="6"/>
      <c r="U164" s="6"/>
      <c r="V164" s="6"/>
      <c r="W164" s="6"/>
      <c r="X164" s="6"/>
      <c r="Y164" s="6"/>
      <c r="Z164" s="6"/>
      <c r="AA164" s="6"/>
      <c r="AB164" s="6"/>
      <c r="AC164" s="12"/>
      <c r="AD164" s="12"/>
      <c r="AJ164" s="21"/>
    </row>
    <row r="165" spans="2:36" s="2" customFormat="1" ht="11.25">
      <c r="B165" s="17"/>
      <c r="D165" s="34"/>
      <c r="E165" s="34"/>
      <c r="F165" s="34"/>
      <c r="H165" s="6"/>
      <c r="I165" s="6"/>
      <c r="J165" s="6"/>
      <c r="K165" s="6"/>
      <c r="L165" s="6"/>
      <c r="M165" s="6"/>
      <c r="N165" s="6"/>
      <c r="O165" s="6"/>
      <c r="P165" s="6"/>
      <c r="Q165" s="6"/>
      <c r="R165" s="6"/>
      <c r="S165" s="6"/>
      <c r="T165" s="6"/>
      <c r="U165" s="6"/>
      <c r="V165" s="6"/>
      <c r="W165" s="6"/>
      <c r="X165" s="6"/>
      <c r="Y165" s="6"/>
      <c r="Z165" s="6"/>
      <c r="AA165" s="6"/>
      <c r="AB165" s="6"/>
      <c r="AC165" s="6"/>
      <c r="AD165" s="6"/>
      <c r="AJ165" s="21"/>
    </row>
    <row r="166" spans="2:36" s="2" customFormat="1" ht="11.25">
      <c r="B166" s="17"/>
      <c r="D166" s="34"/>
      <c r="E166" s="34"/>
      <c r="F166" s="34"/>
      <c r="H166" s="6"/>
      <c r="I166" s="6"/>
      <c r="J166" s="6"/>
      <c r="K166" s="6"/>
      <c r="L166" s="6"/>
      <c r="M166" s="6"/>
      <c r="N166" s="6"/>
      <c r="O166" s="6"/>
      <c r="P166" s="6"/>
      <c r="Q166" s="6"/>
      <c r="R166" s="6"/>
      <c r="S166" s="6"/>
      <c r="T166" s="6"/>
      <c r="U166" s="6"/>
      <c r="V166" s="6"/>
      <c r="W166" s="6"/>
      <c r="X166" s="6"/>
      <c r="Y166" s="6"/>
      <c r="Z166" s="6"/>
      <c r="AA166" s="6"/>
      <c r="AB166" s="6"/>
      <c r="AC166" s="6"/>
      <c r="AD166" s="6"/>
      <c r="AJ166" s="21"/>
    </row>
    <row r="167" spans="2:36" s="2" customFormat="1" ht="11.25">
      <c r="B167" s="17"/>
      <c r="D167" s="34"/>
      <c r="E167" s="34"/>
      <c r="F167" s="34"/>
      <c r="H167" s="6"/>
      <c r="I167" s="6"/>
      <c r="J167" s="6"/>
      <c r="K167" s="6"/>
      <c r="L167" s="6"/>
      <c r="M167" s="6"/>
      <c r="N167" s="6"/>
      <c r="O167" s="6"/>
      <c r="P167" s="6"/>
      <c r="Q167" s="6"/>
      <c r="R167" s="6"/>
      <c r="S167" s="6"/>
      <c r="T167" s="6"/>
      <c r="U167" s="6"/>
      <c r="V167" s="6"/>
      <c r="W167" s="6"/>
      <c r="X167" s="6"/>
      <c r="Y167" s="6"/>
      <c r="Z167" s="6"/>
      <c r="AA167" s="6"/>
      <c r="AB167" s="6"/>
      <c r="AC167" s="6"/>
      <c r="AD167" s="6"/>
      <c r="AJ167" s="21"/>
    </row>
    <row r="168" spans="2:36" s="2" customFormat="1" ht="11.25">
      <c r="B168" s="17"/>
      <c r="D168" s="34"/>
      <c r="E168" s="34"/>
      <c r="F168" s="34"/>
      <c r="H168" s="6"/>
      <c r="I168" s="6"/>
      <c r="J168" s="6"/>
      <c r="K168" s="6"/>
      <c r="L168" s="6"/>
      <c r="M168" s="6"/>
      <c r="N168" s="6"/>
      <c r="O168" s="6"/>
      <c r="P168" s="6"/>
      <c r="Q168" s="6"/>
      <c r="R168" s="6"/>
      <c r="S168" s="6"/>
      <c r="T168" s="6"/>
      <c r="U168" s="6"/>
      <c r="V168" s="6"/>
      <c r="W168" s="6"/>
      <c r="X168" s="6"/>
      <c r="Y168" s="6"/>
      <c r="Z168" s="6"/>
      <c r="AA168" s="6"/>
      <c r="AB168" s="6"/>
      <c r="AC168" s="12"/>
      <c r="AD168" s="12"/>
      <c r="AJ168" s="21"/>
    </row>
    <row r="169" spans="2:36" s="2" customFormat="1" ht="11.25">
      <c r="B169" s="17"/>
      <c r="D169" s="34"/>
      <c r="E169" s="34"/>
      <c r="F169" s="34"/>
      <c r="H169" s="6"/>
      <c r="I169" s="6"/>
      <c r="J169" s="6"/>
      <c r="K169" s="6"/>
      <c r="L169" s="6"/>
      <c r="M169" s="6"/>
      <c r="N169" s="6"/>
      <c r="O169" s="6"/>
      <c r="P169" s="6"/>
      <c r="Q169" s="6"/>
      <c r="R169" s="6"/>
      <c r="S169" s="6"/>
      <c r="T169" s="6"/>
      <c r="U169" s="6"/>
      <c r="V169" s="6"/>
      <c r="W169" s="6"/>
      <c r="X169" s="6"/>
      <c r="Y169" s="6"/>
      <c r="Z169" s="6"/>
      <c r="AA169" s="6"/>
      <c r="AB169" s="6"/>
      <c r="AC169" s="12"/>
      <c r="AD169" s="12"/>
      <c r="AJ169" s="21"/>
    </row>
    <row r="170" spans="2:36" s="2" customFormat="1" ht="11.25">
      <c r="B170" s="17"/>
      <c r="D170" s="34"/>
      <c r="E170" s="34"/>
      <c r="F170" s="34"/>
      <c r="H170" s="6"/>
      <c r="I170" s="6"/>
      <c r="J170" s="6"/>
      <c r="K170" s="6"/>
      <c r="L170" s="6"/>
      <c r="M170" s="6"/>
      <c r="N170" s="6"/>
      <c r="O170" s="6"/>
      <c r="P170" s="6"/>
      <c r="Q170" s="6"/>
      <c r="R170" s="6"/>
      <c r="S170" s="6"/>
      <c r="T170" s="6"/>
      <c r="U170" s="6"/>
      <c r="V170" s="6"/>
      <c r="W170" s="6"/>
      <c r="X170" s="6"/>
      <c r="Y170" s="6"/>
      <c r="Z170" s="6"/>
      <c r="AA170" s="6"/>
      <c r="AB170" s="6"/>
      <c r="AC170" s="12"/>
      <c r="AD170" s="12"/>
      <c r="AJ170" s="21"/>
    </row>
    <row r="171" spans="2:36" s="2" customFormat="1" ht="11.25">
      <c r="B171" s="17"/>
      <c r="D171" s="34"/>
      <c r="E171" s="34"/>
      <c r="F171" s="34"/>
      <c r="H171" s="6"/>
      <c r="I171" s="6"/>
      <c r="J171" s="6"/>
      <c r="K171" s="6"/>
      <c r="L171" s="6"/>
      <c r="M171" s="6"/>
      <c r="N171" s="6"/>
      <c r="O171" s="6"/>
      <c r="P171" s="6"/>
      <c r="Q171" s="6"/>
      <c r="R171" s="6"/>
      <c r="S171" s="6"/>
      <c r="T171" s="6"/>
      <c r="U171" s="6"/>
      <c r="V171" s="6"/>
      <c r="W171" s="6"/>
      <c r="X171" s="6"/>
      <c r="Y171" s="6"/>
      <c r="Z171" s="6"/>
      <c r="AA171" s="6"/>
      <c r="AB171" s="6"/>
      <c r="AC171" s="12"/>
      <c r="AD171" s="12"/>
      <c r="AJ171" s="21"/>
    </row>
    <row r="172" spans="2:36" s="2" customFormat="1" ht="11.25">
      <c r="B172" s="17"/>
      <c r="D172" s="34"/>
      <c r="E172" s="34"/>
      <c r="F172" s="34"/>
      <c r="H172" s="6"/>
      <c r="I172" s="6"/>
      <c r="J172" s="6"/>
      <c r="K172" s="6"/>
      <c r="L172" s="6"/>
      <c r="M172" s="6"/>
      <c r="N172" s="6"/>
      <c r="O172" s="6"/>
      <c r="P172" s="6"/>
      <c r="Q172" s="6"/>
      <c r="R172" s="6"/>
      <c r="S172" s="6"/>
      <c r="T172" s="6"/>
      <c r="U172" s="6"/>
      <c r="V172" s="6"/>
      <c r="W172" s="6"/>
      <c r="X172" s="6"/>
      <c r="Y172" s="6"/>
      <c r="Z172" s="6"/>
      <c r="AA172" s="6"/>
      <c r="AB172" s="6"/>
      <c r="AC172" s="12"/>
      <c r="AD172" s="12"/>
      <c r="AJ172" s="21"/>
    </row>
    <row r="173" spans="2:36" s="2" customFormat="1" ht="11.25">
      <c r="B173" s="17"/>
      <c r="D173" s="34"/>
      <c r="E173" s="34"/>
      <c r="F173" s="34"/>
      <c r="H173" s="6"/>
      <c r="I173" s="6"/>
      <c r="J173" s="6"/>
      <c r="K173" s="6"/>
      <c r="L173" s="6"/>
      <c r="M173" s="6"/>
      <c r="N173" s="6"/>
      <c r="O173" s="6"/>
      <c r="P173" s="6"/>
      <c r="Q173" s="6"/>
      <c r="R173" s="6"/>
      <c r="S173" s="6"/>
      <c r="T173" s="6"/>
      <c r="U173" s="6"/>
      <c r="V173" s="6"/>
      <c r="W173" s="6"/>
      <c r="X173" s="6"/>
      <c r="Y173" s="6"/>
      <c r="Z173" s="6"/>
      <c r="AA173" s="6"/>
      <c r="AB173" s="6"/>
      <c r="AC173" s="12"/>
      <c r="AD173" s="12"/>
      <c r="AJ173" s="21"/>
    </row>
    <row r="174" spans="2:36" s="2" customFormat="1" ht="11.25">
      <c r="B174" s="17"/>
      <c r="D174" s="34"/>
      <c r="E174" s="34"/>
      <c r="F174" s="34"/>
      <c r="H174" s="6"/>
      <c r="I174" s="6"/>
      <c r="J174" s="6"/>
      <c r="K174" s="6"/>
      <c r="L174" s="6"/>
      <c r="M174" s="6"/>
      <c r="N174" s="6"/>
      <c r="O174" s="6"/>
      <c r="P174" s="6"/>
      <c r="Q174" s="6"/>
      <c r="R174" s="6"/>
      <c r="S174" s="6"/>
      <c r="T174" s="6"/>
      <c r="U174" s="6"/>
      <c r="V174" s="6"/>
      <c r="W174" s="6"/>
      <c r="X174" s="6"/>
      <c r="Y174" s="6"/>
      <c r="Z174" s="6"/>
      <c r="AA174" s="6"/>
      <c r="AB174" s="6"/>
      <c r="AC174" s="12"/>
      <c r="AD174" s="12"/>
      <c r="AJ174" s="21"/>
    </row>
    <row r="175" spans="2:36" s="2" customFormat="1" ht="11.25">
      <c r="B175" s="17"/>
      <c r="C175" s="3"/>
      <c r="D175" s="13"/>
      <c r="E175" s="13"/>
      <c r="F175" s="13"/>
      <c r="H175" s="6"/>
      <c r="I175" s="6"/>
      <c r="J175" s="6"/>
      <c r="K175" s="6"/>
      <c r="L175" s="6"/>
      <c r="M175" s="6"/>
      <c r="N175" s="6"/>
      <c r="O175" s="6"/>
      <c r="P175" s="6"/>
      <c r="Q175" s="6"/>
      <c r="R175" s="6"/>
      <c r="S175" s="6"/>
      <c r="T175" s="6"/>
      <c r="U175" s="6"/>
      <c r="V175" s="6"/>
      <c r="W175" s="6"/>
      <c r="X175" s="6"/>
      <c r="Y175" s="6"/>
      <c r="Z175" s="6"/>
      <c r="AA175" s="6"/>
      <c r="AB175" s="6"/>
      <c r="AC175" s="12"/>
      <c r="AD175" s="12"/>
      <c r="AJ175" s="21"/>
    </row>
    <row r="176" spans="2:36" s="2" customFormat="1" ht="11.25">
      <c r="B176" s="18"/>
      <c r="C176" s="3"/>
      <c r="D176" s="13"/>
      <c r="E176" s="13"/>
      <c r="F176" s="13"/>
      <c r="H176" s="6"/>
      <c r="I176" s="6"/>
      <c r="J176" s="6"/>
      <c r="K176" s="6"/>
      <c r="L176" s="6"/>
      <c r="M176" s="6"/>
      <c r="N176" s="6"/>
      <c r="O176" s="6"/>
      <c r="P176" s="6"/>
      <c r="Q176" s="6"/>
      <c r="R176" s="6"/>
      <c r="S176" s="6"/>
      <c r="T176" s="6"/>
      <c r="U176" s="6"/>
      <c r="V176" s="6"/>
      <c r="W176" s="6"/>
      <c r="X176" s="6"/>
      <c r="Y176" s="6"/>
      <c r="Z176" s="6"/>
      <c r="AA176" s="6"/>
      <c r="AB176" s="6"/>
      <c r="AC176" s="12"/>
      <c r="AD176" s="12"/>
      <c r="AJ176" s="21"/>
    </row>
    <row r="177" spans="2:36" s="2" customFormat="1" ht="11.25">
      <c r="B177" s="17"/>
      <c r="D177" s="34"/>
      <c r="E177" s="34"/>
      <c r="F177" s="34"/>
      <c r="H177" s="6"/>
      <c r="I177" s="6"/>
      <c r="J177" s="6"/>
      <c r="K177" s="6"/>
      <c r="L177" s="6"/>
      <c r="M177" s="6"/>
      <c r="N177" s="6"/>
      <c r="O177" s="6"/>
      <c r="P177" s="6"/>
      <c r="Q177" s="6"/>
      <c r="R177" s="6"/>
      <c r="S177" s="6"/>
      <c r="T177" s="6"/>
      <c r="U177" s="6"/>
      <c r="V177" s="6"/>
      <c r="W177" s="6"/>
      <c r="X177" s="6"/>
      <c r="Y177" s="6"/>
      <c r="Z177" s="6"/>
      <c r="AA177" s="6"/>
      <c r="AB177" s="6"/>
      <c r="AC177" s="12"/>
      <c r="AD177" s="12"/>
      <c r="AJ177" s="21"/>
    </row>
    <row r="178" spans="2:36" s="2" customFormat="1" ht="11.25">
      <c r="B178" s="17"/>
      <c r="D178" s="34"/>
      <c r="E178" s="34"/>
      <c r="F178" s="34"/>
      <c r="H178" s="6"/>
      <c r="I178" s="6"/>
      <c r="J178" s="6"/>
      <c r="K178" s="6"/>
      <c r="L178" s="6"/>
      <c r="M178" s="6"/>
      <c r="N178" s="6"/>
      <c r="O178" s="6"/>
      <c r="P178" s="6"/>
      <c r="Q178" s="6"/>
      <c r="R178" s="6"/>
      <c r="S178" s="6"/>
      <c r="T178" s="6"/>
      <c r="U178" s="6"/>
      <c r="V178" s="6"/>
      <c r="W178" s="6"/>
      <c r="X178" s="6"/>
      <c r="Y178" s="6"/>
      <c r="Z178" s="6"/>
      <c r="AA178" s="6"/>
      <c r="AB178" s="6"/>
      <c r="AC178" s="12"/>
      <c r="AD178" s="12"/>
      <c r="AJ178" s="21"/>
    </row>
    <row r="179" spans="2:36" s="2" customFormat="1" ht="11.25">
      <c r="B179" s="17"/>
      <c r="D179" s="34"/>
      <c r="E179" s="34"/>
      <c r="F179" s="34"/>
      <c r="H179" s="6"/>
      <c r="I179" s="6"/>
      <c r="J179" s="6"/>
      <c r="K179" s="6"/>
      <c r="L179" s="6"/>
      <c r="M179" s="6"/>
      <c r="N179" s="6"/>
      <c r="O179" s="6"/>
      <c r="P179" s="6"/>
      <c r="Q179" s="6"/>
      <c r="R179" s="6"/>
      <c r="S179" s="6"/>
      <c r="T179" s="6"/>
      <c r="U179" s="6"/>
      <c r="V179" s="6"/>
      <c r="W179" s="6"/>
      <c r="X179" s="6"/>
      <c r="Y179" s="6"/>
      <c r="Z179" s="6"/>
      <c r="AA179" s="6"/>
      <c r="AB179" s="6"/>
      <c r="AC179" s="12"/>
      <c r="AD179" s="12"/>
      <c r="AJ179" s="21"/>
    </row>
    <row r="180" spans="2:36" s="2" customFormat="1" ht="11.25">
      <c r="B180" s="17"/>
      <c r="D180" s="34"/>
      <c r="E180" s="34"/>
      <c r="F180" s="34"/>
      <c r="H180" s="6"/>
      <c r="I180" s="6"/>
      <c r="J180" s="6"/>
      <c r="K180" s="6"/>
      <c r="L180" s="6"/>
      <c r="M180" s="6"/>
      <c r="N180" s="6"/>
      <c r="O180" s="6"/>
      <c r="P180" s="6"/>
      <c r="Q180" s="6"/>
      <c r="R180" s="6"/>
      <c r="S180" s="6"/>
      <c r="T180" s="6"/>
      <c r="U180" s="6"/>
      <c r="V180" s="6"/>
      <c r="W180" s="6"/>
      <c r="X180" s="6"/>
      <c r="Y180" s="6"/>
      <c r="Z180" s="6"/>
      <c r="AA180" s="6"/>
      <c r="AB180" s="6"/>
      <c r="AC180" s="12"/>
      <c r="AD180" s="12"/>
      <c r="AJ180" s="21"/>
    </row>
    <row r="181" spans="2:36" s="2" customFormat="1" ht="11.25">
      <c r="B181" s="17"/>
      <c r="D181" s="34"/>
      <c r="E181" s="34"/>
      <c r="F181" s="34"/>
      <c r="H181" s="6"/>
      <c r="I181" s="6"/>
      <c r="J181" s="6"/>
      <c r="K181" s="6"/>
      <c r="L181" s="6"/>
      <c r="M181" s="6"/>
      <c r="N181" s="6"/>
      <c r="O181" s="6"/>
      <c r="P181" s="6"/>
      <c r="Q181" s="6"/>
      <c r="R181" s="6"/>
      <c r="S181" s="6"/>
      <c r="T181" s="6"/>
      <c r="U181" s="6"/>
      <c r="V181" s="6"/>
      <c r="W181" s="6"/>
      <c r="X181" s="6"/>
      <c r="Y181" s="6"/>
      <c r="Z181" s="6"/>
      <c r="AA181" s="6"/>
      <c r="AB181" s="6"/>
      <c r="AC181" s="12"/>
      <c r="AD181" s="12"/>
      <c r="AJ181" s="21"/>
    </row>
    <row r="182" spans="2:36" s="2" customFormat="1" ht="11.25">
      <c r="B182" s="17"/>
      <c r="D182" s="34"/>
      <c r="E182" s="34"/>
      <c r="F182" s="34"/>
      <c r="H182" s="6"/>
      <c r="I182" s="6"/>
      <c r="J182" s="6"/>
      <c r="K182" s="6"/>
      <c r="L182" s="6"/>
      <c r="M182" s="6"/>
      <c r="N182" s="6"/>
      <c r="O182" s="6"/>
      <c r="P182" s="6"/>
      <c r="Q182" s="6"/>
      <c r="R182" s="6"/>
      <c r="S182" s="6"/>
      <c r="T182" s="6"/>
      <c r="U182" s="6"/>
      <c r="V182" s="6"/>
      <c r="W182" s="6"/>
      <c r="X182" s="6"/>
      <c r="Y182" s="6"/>
      <c r="Z182" s="6"/>
      <c r="AA182" s="6"/>
      <c r="AB182" s="6"/>
      <c r="AC182" s="12"/>
      <c r="AD182" s="12"/>
      <c r="AJ182" s="21"/>
    </row>
    <row r="183" spans="2:36" s="2" customFormat="1" ht="11.25">
      <c r="B183" s="17"/>
      <c r="D183" s="34"/>
      <c r="E183" s="34"/>
      <c r="F183" s="34"/>
      <c r="H183" s="6"/>
      <c r="I183" s="6"/>
      <c r="J183" s="6"/>
      <c r="K183" s="6"/>
      <c r="L183" s="6"/>
      <c r="M183" s="6"/>
      <c r="N183" s="6"/>
      <c r="O183" s="6"/>
      <c r="P183" s="6"/>
      <c r="Q183" s="6"/>
      <c r="R183" s="6"/>
      <c r="S183" s="6"/>
      <c r="T183" s="6"/>
      <c r="U183" s="6"/>
      <c r="V183" s="6"/>
      <c r="W183" s="6"/>
      <c r="X183" s="6"/>
      <c r="Y183" s="6"/>
      <c r="Z183" s="6"/>
      <c r="AA183" s="6"/>
      <c r="AB183" s="6"/>
      <c r="AC183" s="6"/>
      <c r="AD183" s="6"/>
      <c r="AJ183" s="21"/>
    </row>
    <row r="184" spans="2:36" s="2" customFormat="1" ht="11.25">
      <c r="B184" s="17"/>
      <c r="D184" s="34"/>
      <c r="E184" s="34"/>
      <c r="F184" s="34"/>
      <c r="H184" s="6"/>
      <c r="I184" s="6"/>
      <c r="J184" s="6"/>
      <c r="K184" s="6"/>
      <c r="L184" s="6"/>
      <c r="M184" s="6"/>
      <c r="N184" s="6"/>
      <c r="O184" s="6"/>
      <c r="P184" s="6"/>
      <c r="Q184" s="6"/>
      <c r="R184" s="6"/>
      <c r="S184" s="6"/>
      <c r="T184" s="6"/>
      <c r="U184" s="6"/>
      <c r="V184" s="6"/>
      <c r="W184" s="6"/>
      <c r="X184" s="6"/>
      <c r="Y184" s="6"/>
      <c r="Z184" s="6"/>
      <c r="AA184" s="6"/>
      <c r="AB184" s="6"/>
      <c r="AC184" s="12"/>
      <c r="AD184" s="12"/>
      <c r="AJ184" s="21"/>
    </row>
    <row r="185" spans="2:36" s="2" customFormat="1" ht="11.25">
      <c r="B185" s="17"/>
      <c r="D185" s="34"/>
      <c r="E185" s="34"/>
      <c r="F185" s="34"/>
      <c r="H185" s="6"/>
      <c r="I185" s="6"/>
      <c r="J185" s="6"/>
      <c r="K185" s="6"/>
      <c r="L185" s="6"/>
      <c r="M185" s="6"/>
      <c r="N185" s="6"/>
      <c r="O185" s="6"/>
      <c r="P185" s="6"/>
      <c r="Q185" s="6"/>
      <c r="R185" s="6"/>
      <c r="S185" s="6"/>
      <c r="T185" s="6"/>
      <c r="U185" s="6"/>
      <c r="V185" s="6"/>
      <c r="W185" s="6"/>
      <c r="X185" s="6"/>
      <c r="Y185" s="6"/>
      <c r="Z185" s="6"/>
      <c r="AA185" s="6"/>
      <c r="AB185" s="6"/>
      <c r="AC185" s="12"/>
      <c r="AD185" s="12"/>
      <c r="AJ185" s="21"/>
    </row>
    <row r="186" spans="2:36" s="2" customFormat="1" ht="11.25">
      <c r="B186" s="17"/>
      <c r="D186" s="34"/>
      <c r="E186" s="34"/>
      <c r="F186" s="34"/>
      <c r="H186" s="6"/>
      <c r="I186" s="6"/>
      <c r="J186" s="6"/>
      <c r="K186" s="6"/>
      <c r="L186" s="6"/>
      <c r="M186" s="6"/>
      <c r="N186" s="6"/>
      <c r="O186" s="6"/>
      <c r="P186" s="6"/>
      <c r="Q186" s="6"/>
      <c r="R186" s="6"/>
      <c r="S186" s="6"/>
      <c r="T186" s="6"/>
      <c r="U186" s="6"/>
      <c r="V186" s="6"/>
      <c r="W186" s="6"/>
      <c r="X186" s="6"/>
      <c r="Y186" s="6"/>
      <c r="Z186" s="6"/>
      <c r="AA186" s="6"/>
      <c r="AB186" s="6"/>
      <c r="AC186" s="12"/>
      <c r="AD186" s="12"/>
      <c r="AJ186" s="21"/>
    </row>
    <row r="187" spans="2:36" s="2" customFormat="1" ht="11.25">
      <c r="B187" s="18"/>
      <c r="C187" s="3"/>
      <c r="D187" s="13"/>
      <c r="E187" s="13"/>
      <c r="F187" s="13"/>
      <c r="H187" s="6"/>
      <c r="I187" s="6"/>
      <c r="J187" s="6"/>
      <c r="K187" s="6"/>
      <c r="L187" s="6"/>
      <c r="M187" s="6"/>
      <c r="N187" s="6"/>
      <c r="O187" s="6"/>
      <c r="P187" s="6"/>
      <c r="Q187" s="6"/>
      <c r="R187" s="6"/>
      <c r="S187" s="6"/>
      <c r="T187" s="6"/>
      <c r="U187" s="6"/>
      <c r="V187" s="6"/>
      <c r="W187" s="6"/>
      <c r="X187" s="6"/>
      <c r="Y187" s="6"/>
      <c r="Z187" s="6"/>
      <c r="AA187" s="6"/>
      <c r="AB187" s="6"/>
      <c r="AC187" s="12"/>
      <c r="AD187" s="12"/>
      <c r="AJ187" s="21"/>
    </row>
    <row r="188" spans="2:36" s="2" customFormat="1" ht="11.25">
      <c r="B188" s="17"/>
      <c r="D188" s="34"/>
      <c r="E188" s="34"/>
      <c r="F188" s="34"/>
      <c r="H188" s="6"/>
      <c r="I188" s="6"/>
      <c r="J188" s="6"/>
      <c r="K188" s="6"/>
      <c r="L188" s="6"/>
      <c r="M188" s="6"/>
      <c r="N188" s="6"/>
      <c r="O188" s="6"/>
      <c r="P188" s="6"/>
      <c r="Q188" s="6"/>
      <c r="R188" s="6"/>
      <c r="S188" s="6"/>
      <c r="T188" s="6"/>
      <c r="U188" s="6"/>
      <c r="V188" s="6"/>
      <c r="W188" s="6"/>
      <c r="X188" s="6"/>
      <c r="Y188" s="6"/>
      <c r="Z188" s="6"/>
      <c r="AA188" s="6"/>
      <c r="AB188" s="6"/>
      <c r="AC188" s="6"/>
      <c r="AD188" s="6"/>
      <c r="AJ188" s="21"/>
    </row>
    <row r="189" spans="2:36" s="2" customFormat="1" ht="11.25">
      <c r="B189" s="17"/>
      <c r="D189" s="34"/>
      <c r="E189" s="34"/>
      <c r="F189" s="34"/>
      <c r="H189" s="6"/>
      <c r="I189" s="6"/>
      <c r="J189" s="6"/>
      <c r="K189" s="6"/>
      <c r="L189" s="6"/>
      <c r="M189" s="6"/>
      <c r="N189" s="6"/>
      <c r="O189" s="6"/>
      <c r="P189" s="6"/>
      <c r="Q189" s="6"/>
      <c r="R189" s="6"/>
      <c r="S189" s="6"/>
      <c r="T189" s="6"/>
      <c r="U189" s="6"/>
      <c r="V189" s="6"/>
      <c r="W189" s="6"/>
      <c r="X189" s="6"/>
      <c r="Y189" s="6"/>
      <c r="Z189" s="6"/>
      <c r="AA189" s="6"/>
      <c r="AB189" s="6"/>
      <c r="AC189" s="12"/>
      <c r="AD189" s="12"/>
      <c r="AJ189" s="21"/>
    </row>
    <row r="190" spans="2:36" s="2" customFormat="1" ht="11.25">
      <c r="B190" s="17"/>
      <c r="D190" s="34"/>
      <c r="E190" s="34"/>
      <c r="F190" s="34"/>
      <c r="H190" s="6"/>
      <c r="I190" s="6"/>
      <c r="J190" s="6"/>
      <c r="K190" s="6"/>
      <c r="L190" s="6"/>
      <c r="M190" s="6"/>
      <c r="N190" s="6"/>
      <c r="O190" s="6"/>
      <c r="P190" s="6"/>
      <c r="Q190" s="6"/>
      <c r="R190" s="6"/>
      <c r="S190" s="6"/>
      <c r="T190" s="6"/>
      <c r="U190" s="6"/>
      <c r="V190" s="6"/>
      <c r="W190" s="6"/>
      <c r="X190" s="6"/>
      <c r="Y190" s="6"/>
      <c r="Z190" s="6"/>
      <c r="AA190" s="6"/>
      <c r="AB190" s="6"/>
      <c r="AC190" s="6"/>
      <c r="AD190" s="6"/>
      <c r="AE190" s="6"/>
      <c r="AJ190" s="21"/>
    </row>
    <row r="191" spans="2:36" s="2" customFormat="1" ht="11.25">
      <c r="B191" s="17"/>
      <c r="D191" s="34"/>
      <c r="E191" s="34"/>
      <c r="F191" s="34"/>
      <c r="H191" s="6"/>
      <c r="I191" s="6"/>
      <c r="J191" s="6"/>
      <c r="K191" s="6"/>
      <c r="L191" s="6"/>
      <c r="M191" s="6"/>
      <c r="N191" s="6"/>
      <c r="O191" s="6"/>
      <c r="P191" s="6"/>
      <c r="Q191" s="6"/>
      <c r="R191" s="6"/>
      <c r="S191" s="6"/>
      <c r="T191" s="6"/>
      <c r="U191" s="6"/>
      <c r="V191" s="6"/>
      <c r="W191" s="6"/>
      <c r="X191" s="6"/>
      <c r="Y191" s="6"/>
      <c r="Z191" s="6"/>
      <c r="AA191" s="6"/>
      <c r="AB191" s="6"/>
      <c r="AC191" s="6"/>
      <c r="AD191" s="6"/>
      <c r="AE191" s="6"/>
      <c r="AJ191" s="21"/>
    </row>
    <row r="192" spans="2:36" s="2" customFormat="1" ht="11.25">
      <c r="B192" s="17"/>
      <c r="D192" s="34"/>
      <c r="E192" s="34"/>
      <c r="F192" s="34"/>
      <c r="H192" s="6"/>
      <c r="I192" s="6"/>
      <c r="J192" s="6"/>
      <c r="K192" s="6"/>
      <c r="L192" s="6"/>
      <c r="M192" s="6"/>
      <c r="N192" s="6"/>
      <c r="O192" s="6"/>
      <c r="P192" s="6"/>
      <c r="Q192" s="6"/>
      <c r="R192" s="6"/>
      <c r="S192" s="6"/>
      <c r="T192" s="6"/>
      <c r="U192" s="6"/>
      <c r="V192" s="6"/>
      <c r="W192" s="6"/>
      <c r="X192" s="6"/>
      <c r="Y192" s="6"/>
      <c r="Z192" s="6"/>
      <c r="AA192" s="6"/>
      <c r="AB192" s="6"/>
      <c r="AC192" s="6"/>
      <c r="AD192" s="6"/>
      <c r="AE192" s="6"/>
      <c r="AJ192" s="21"/>
    </row>
    <row r="193" spans="2:37" s="2" customFormat="1" ht="11.25">
      <c r="B193" s="17"/>
      <c r="D193" s="34"/>
      <c r="E193" s="34"/>
      <c r="F193" s="34"/>
      <c r="H193" s="6"/>
      <c r="I193" s="6"/>
      <c r="J193" s="6"/>
      <c r="K193" s="6"/>
      <c r="L193" s="6"/>
      <c r="M193" s="6"/>
      <c r="N193" s="6"/>
      <c r="O193" s="6"/>
      <c r="P193" s="6"/>
      <c r="Q193" s="6"/>
      <c r="R193" s="6"/>
      <c r="S193" s="6"/>
      <c r="T193" s="6"/>
      <c r="U193" s="6"/>
      <c r="V193" s="6"/>
      <c r="W193" s="6"/>
      <c r="X193" s="6"/>
      <c r="Y193" s="6"/>
      <c r="Z193" s="6"/>
      <c r="AA193" s="6"/>
      <c r="AB193" s="6"/>
      <c r="AC193" s="12"/>
      <c r="AD193" s="12"/>
      <c r="AE193" s="12"/>
      <c r="AJ193" s="21"/>
    </row>
    <row r="194" spans="2:37" s="2" customFormat="1" ht="11.25">
      <c r="B194" s="18"/>
      <c r="D194" s="34"/>
      <c r="E194" s="34"/>
      <c r="F194" s="34"/>
      <c r="H194" s="6"/>
      <c r="I194" s="6"/>
      <c r="J194" s="6"/>
      <c r="K194" s="6"/>
      <c r="L194" s="6"/>
      <c r="M194" s="6"/>
      <c r="N194" s="6"/>
      <c r="O194" s="6"/>
      <c r="P194" s="6"/>
      <c r="Q194" s="6"/>
      <c r="R194" s="6"/>
      <c r="S194" s="6"/>
      <c r="T194" s="6"/>
      <c r="U194" s="6"/>
      <c r="V194" s="6"/>
      <c r="W194" s="6"/>
      <c r="X194" s="6"/>
      <c r="Y194" s="6"/>
      <c r="Z194" s="6"/>
      <c r="AA194" s="6"/>
      <c r="AB194" s="6"/>
      <c r="AC194" s="12"/>
      <c r="AD194" s="12"/>
      <c r="AE194" s="12"/>
      <c r="AJ194" s="21"/>
    </row>
    <row r="195" spans="2:37" s="2" customFormat="1" ht="11.25">
      <c r="B195" s="17"/>
      <c r="D195" s="34"/>
      <c r="E195" s="34"/>
      <c r="F195" s="34"/>
      <c r="H195" s="6"/>
      <c r="I195" s="6"/>
      <c r="J195" s="6"/>
      <c r="K195" s="6"/>
      <c r="L195" s="6"/>
      <c r="M195" s="6"/>
      <c r="N195" s="6"/>
      <c r="O195" s="6"/>
      <c r="P195" s="6"/>
      <c r="Q195" s="6"/>
      <c r="R195" s="6"/>
      <c r="S195" s="6"/>
      <c r="T195" s="6"/>
      <c r="U195" s="6"/>
      <c r="V195" s="6"/>
      <c r="W195" s="6"/>
      <c r="X195" s="6"/>
      <c r="Y195" s="6"/>
      <c r="Z195" s="6"/>
      <c r="AA195" s="6"/>
      <c r="AB195" s="6"/>
      <c r="AC195" s="6"/>
      <c r="AD195" s="6"/>
      <c r="AE195" s="6"/>
      <c r="AJ195" s="21"/>
    </row>
    <row r="196" spans="2:37" s="2" customFormat="1" ht="11.25">
      <c r="B196" s="17"/>
      <c r="D196" s="34"/>
      <c r="E196" s="34"/>
      <c r="F196" s="34"/>
      <c r="H196" s="6"/>
      <c r="I196" s="6"/>
      <c r="J196" s="6"/>
      <c r="K196" s="6"/>
      <c r="L196" s="6"/>
      <c r="M196" s="6"/>
      <c r="N196" s="6"/>
      <c r="O196" s="6"/>
      <c r="P196" s="6"/>
      <c r="Q196" s="6"/>
      <c r="R196" s="6"/>
      <c r="S196" s="6"/>
      <c r="T196" s="6"/>
      <c r="U196" s="6"/>
      <c r="V196" s="6"/>
      <c r="W196" s="6"/>
      <c r="X196" s="6"/>
      <c r="Y196" s="6"/>
      <c r="Z196" s="6"/>
      <c r="AA196" s="6"/>
      <c r="AB196" s="6"/>
      <c r="AC196" s="12"/>
      <c r="AD196" s="12"/>
      <c r="AE196" s="12"/>
      <c r="AJ196" s="21"/>
    </row>
    <row r="197" spans="2:37" s="2" customFormat="1" ht="11.25">
      <c r="B197" s="17"/>
      <c r="D197" s="34"/>
      <c r="E197" s="34"/>
      <c r="F197" s="34"/>
      <c r="H197" s="6"/>
      <c r="I197" s="6"/>
      <c r="J197" s="6"/>
      <c r="K197" s="6"/>
      <c r="L197" s="6"/>
      <c r="M197" s="6"/>
      <c r="N197" s="6"/>
      <c r="O197" s="6"/>
      <c r="P197" s="6"/>
      <c r="Q197" s="6"/>
      <c r="R197" s="6"/>
      <c r="S197" s="6"/>
      <c r="T197" s="6"/>
      <c r="U197" s="6"/>
      <c r="V197" s="6"/>
      <c r="W197" s="6"/>
      <c r="X197" s="6"/>
      <c r="Y197" s="6"/>
      <c r="Z197" s="6"/>
      <c r="AA197" s="6"/>
      <c r="AB197" s="6"/>
      <c r="AC197" s="12"/>
      <c r="AD197" s="12"/>
      <c r="AE197" s="12"/>
      <c r="AJ197" s="21"/>
    </row>
    <row r="198" spans="2:37" s="2" customFormat="1" ht="11.25">
      <c r="B198" s="17"/>
      <c r="D198" s="34"/>
      <c r="E198" s="34"/>
      <c r="F198" s="34"/>
      <c r="H198" s="6"/>
      <c r="I198" s="6"/>
      <c r="J198" s="6"/>
      <c r="K198" s="6"/>
      <c r="L198" s="6"/>
      <c r="M198" s="6"/>
      <c r="N198" s="6"/>
      <c r="O198" s="6"/>
      <c r="P198" s="6"/>
      <c r="Q198" s="6"/>
      <c r="R198" s="6"/>
      <c r="S198" s="6"/>
      <c r="T198" s="6"/>
      <c r="U198" s="6"/>
      <c r="V198" s="6"/>
      <c r="W198" s="6"/>
      <c r="X198" s="6"/>
      <c r="Y198" s="6"/>
      <c r="Z198" s="6"/>
      <c r="AA198" s="6"/>
      <c r="AB198" s="6"/>
      <c r="AC198" s="12"/>
      <c r="AD198" s="12"/>
      <c r="AE198" s="12"/>
      <c r="AJ198" s="21"/>
    </row>
    <row r="199" spans="2:37" s="2" customFormat="1" ht="11.25">
      <c r="B199" s="17"/>
      <c r="D199" s="34"/>
      <c r="E199" s="34"/>
      <c r="F199" s="34"/>
      <c r="H199" s="6"/>
      <c r="I199" s="6"/>
      <c r="J199" s="6"/>
      <c r="K199" s="6"/>
      <c r="L199" s="6"/>
      <c r="M199" s="6"/>
      <c r="N199" s="6"/>
      <c r="O199" s="6"/>
      <c r="P199" s="6"/>
      <c r="Q199" s="6"/>
      <c r="R199" s="6"/>
      <c r="S199" s="6"/>
      <c r="T199" s="6"/>
      <c r="U199" s="6"/>
      <c r="V199" s="6"/>
      <c r="W199" s="6"/>
      <c r="X199" s="6"/>
      <c r="Y199" s="6"/>
      <c r="Z199" s="6"/>
      <c r="AA199" s="6"/>
      <c r="AB199" s="6"/>
      <c r="AC199" s="12"/>
      <c r="AD199" s="12"/>
      <c r="AE199" s="12"/>
      <c r="AJ199" s="21"/>
    </row>
    <row r="200" spans="2:37" s="2" customFormat="1" ht="11.25">
      <c r="B200" s="17"/>
      <c r="D200" s="34"/>
      <c r="E200" s="34"/>
      <c r="F200" s="34"/>
      <c r="H200" s="6"/>
      <c r="I200" s="6"/>
      <c r="J200" s="6"/>
      <c r="K200" s="6"/>
      <c r="L200" s="6"/>
      <c r="M200" s="6"/>
      <c r="N200" s="6"/>
      <c r="O200" s="6"/>
      <c r="P200" s="6"/>
      <c r="Q200" s="6"/>
      <c r="R200" s="6"/>
      <c r="S200" s="6"/>
      <c r="T200" s="6"/>
      <c r="U200" s="6"/>
      <c r="V200" s="6"/>
      <c r="W200" s="6"/>
      <c r="X200" s="6"/>
      <c r="Y200" s="6"/>
      <c r="Z200" s="6"/>
      <c r="AA200" s="6"/>
      <c r="AB200" s="6"/>
      <c r="AC200" s="6"/>
      <c r="AD200" s="6"/>
      <c r="AE200" s="6"/>
      <c r="AJ200" s="21"/>
    </row>
    <row r="201" spans="2:37" s="2" customFormat="1" ht="11.25">
      <c r="B201" s="17"/>
      <c r="D201" s="34"/>
      <c r="E201" s="34"/>
      <c r="F201" s="34"/>
      <c r="H201" s="6"/>
      <c r="I201" s="6"/>
      <c r="J201" s="6"/>
      <c r="K201" s="6"/>
      <c r="L201" s="6"/>
      <c r="M201" s="6"/>
      <c r="N201" s="6"/>
      <c r="O201" s="6"/>
      <c r="P201" s="6"/>
      <c r="Q201" s="6"/>
      <c r="R201" s="6"/>
      <c r="S201" s="6"/>
      <c r="T201" s="6"/>
      <c r="U201" s="6"/>
      <c r="V201" s="6"/>
      <c r="W201" s="6"/>
      <c r="X201" s="6"/>
      <c r="Y201" s="6"/>
      <c r="Z201" s="6"/>
      <c r="AA201" s="6"/>
      <c r="AB201" s="6"/>
      <c r="AC201" s="11"/>
      <c r="AD201" s="11"/>
      <c r="AE201" s="11"/>
      <c r="AJ201" s="21"/>
    </row>
    <row r="202" spans="2:37" s="2" customFormat="1" ht="11.25">
      <c r="B202" s="17"/>
      <c r="C202" s="3"/>
      <c r="D202" s="13"/>
      <c r="E202" s="13"/>
      <c r="F202" s="13"/>
      <c r="H202" s="6"/>
      <c r="I202" s="6"/>
      <c r="J202" s="6"/>
      <c r="K202" s="6"/>
      <c r="L202" s="6"/>
      <c r="M202" s="6"/>
      <c r="N202" s="6"/>
      <c r="O202" s="6"/>
      <c r="P202" s="6"/>
      <c r="Q202" s="6"/>
      <c r="R202" s="6"/>
      <c r="S202" s="6"/>
      <c r="T202" s="6"/>
      <c r="U202" s="6"/>
      <c r="V202" s="6"/>
      <c r="W202" s="6"/>
      <c r="X202" s="6"/>
      <c r="Y202" s="6"/>
      <c r="Z202" s="6"/>
      <c r="AA202" s="6"/>
      <c r="AB202" s="6"/>
      <c r="AC202" s="12"/>
      <c r="AD202" s="12"/>
      <c r="AE202" s="12"/>
      <c r="AJ202" s="21"/>
    </row>
    <row r="203" spans="2:37" s="2" customFormat="1" ht="11.25">
      <c r="B203" s="17"/>
      <c r="C203" s="3"/>
      <c r="D203" s="13"/>
      <c r="E203" s="13"/>
      <c r="F203" s="13"/>
      <c r="H203" s="6"/>
      <c r="I203" s="6"/>
      <c r="J203" s="6"/>
      <c r="K203" s="6"/>
      <c r="L203" s="6"/>
      <c r="M203" s="6"/>
      <c r="N203" s="6"/>
      <c r="O203" s="6"/>
      <c r="P203" s="6"/>
      <c r="Q203" s="6"/>
      <c r="R203" s="6"/>
      <c r="S203" s="6"/>
      <c r="T203" s="6"/>
      <c r="U203" s="6"/>
      <c r="V203" s="6"/>
      <c r="W203" s="6"/>
      <c r="X203" s="6"/>
      <c r="Y203" s="6"/>
      <c r="Z203" s="6"/>
      <c r="AA203" s="6"/>
      <c r="AB203" s="6"/>
      <c r="AC203" s="12"/>
      <c r="AD203" s="12"/>
      <c r="AE203" s="12"/>
      <c r="AJ203" s="21"/>
    </row>
    <row r="204" spans="2:37" s="2" customFormat="1" ht="11.25">
      <c r="B204" s="17"/>
      <c r="D204" s="34"/>
      <c r="E204" s="34"/>
      <c r="F204" s="34"/>
      <c r="H204" s="6"/>
      <c r="I204" s="6"/>
      <c r="J204" s="6"/>
      <c r="K204" s="6"/>
      <c r="L204" s="6"/>
      <c r="M204" s="6"/>
      <c r="N204" s="6"/>
      <c r="O204" s="6"/>
      <c r="P204" s="6"/>
      <c r="Q204" s="6"/>
      <c r="R204" s="6"/>
      <c r="S204" s="6"/>
      <c r="T204" s="6"/>
      <c r="U204" s="6"/>
      <c r="V204" s="6"/>
      <c r="W204" s="6"/>
      <c r="X204" s="6"/>
      <c r="Y204" s="6"/>
      <c r="Z204" s="6"/>
      <c r="AA204" s="6"/>
      <c r="AB204" s="6"/>
      <c r="AC204" s="6"/>
      <c r="AD204" s="6"/>
      <c r="AE204" s="6"/>
      <c r="AJ204" s="21"/>
    </row>
    <row r="205" spans="2:37" s="2" customFormat="1" ht="11.25">
      <c r="B205" s="18"/>
      <c r="C205" s="13"/>
      <c r="D205" s="13"/>
      <c r="E205" s="13"/>
      <c r="F205" s="13"/>
      <c r="H205" s="6"/>
      <c r="I205" s="6"/>
      <c r="J205" s="6"/>
      <c r="K205" s="6"/>
      <c r="L205" s="6"/>
      <c r="M205" s="6"/>
      <c r="N205" s="6"/>
      <c r="O205" s="6"/>
      <c r="P205" s="6"/>
      <c r="Q205" s="6"/>
      <c r="R205" s="6"/>
      <c r="S205" s="6"/>
      <c r="T205" s="6"/>
      <c r="U205" s="6"/>
      <c r="V205" s="6"/>
      <c r="W205" s="6"/>
      <c r="X205" s="6"/>
      <c r="Y205" s="6"/>
      <c r="Z205" s="6"/>
      <c r="AA205" s="6"/>
      <c r="AB205" s="6"/>
      <c r="AC205" s="12"/>
      <c r="AD205" s="12"/>
      <c r="AE205" s="12"/>
      <c r="AJ205" s="21"/>
    </row>
    <row r="206" spans="2:37" ht="11.25">
      <c r="B206" s="16"/>
      <c r="D206" s="4"/>
      <c r="E206" s="4"/>
      <c r="F206" s="4"/>
      <c r="AB206" s="5"/>
      <c r="AC206" s="8"/>
      <c r="AD206" s="8"/>
      <c r="AE206" s="8"/>
      <c r="AH206" s="2"/>
      <c r="AI206" s="2"/>
      <c r="AJ206" s="20"/>
      <c r="AK206" s="2"/>
    </row>
    <row r="207" spans="2:37" ht="11.25">
      <c r="B207" s="16"/>
      <c r="C207" s="2"/>
      <c r="D207" s="34"/>
      <c r="E207" s="34"/>
      <c r="F207" s="34"/>
      <c r="AB207" s="5"/>
      <c r="AC207" s="8"/>
      <c r="AD207" s="8"/>
      <c r="AE207" s="8"/>
      <c r="AI207" s="1"/>
      <c r="AJ207" s="20"/>
      <c r="AK207" s="2"/>
    </row>
    <row r="208" spans="2:37" ht="11.25">
      <c r="B208" s="17"/>
      <c r="C208" s="2"/>
      <c r="D208" s="34"/>
      <c r="E208" s="34"/>
      <c r="F208" s="34"/>
      <c r="G208" s="2"/>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2"/>
      <c r="AG208" s="2"/>
      <c r="AH208" s="2"/>
      <c r="AI208" s="2"/>
      <c r="AJ208" s="21"/>
      <c r="AK208" s="2"/>
    </row>
    <row r="209" spans="2:37" ht="11.25">
      <c r="B209" s="17"/>
      <c r="C209" s="2"/>
      <c r="D209" s="34"/>
      <c r="E209" s="34"/>
      <c r="F209" s="34"/>
      <c r="G209" s="2"/>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2"/>
      <c r="AG209" s="2"/>
      <c r="AH209" s="2"/>
      <c r="AI209" s="2"/>
      <c r="AJ209" s="21"/>
      <c r="AK209" s="2"/>
    </row>
    <row r="210" spans="2:37" ht="11.25">
      <c r="B210" s="18"/>
      <c r="C210" s="2"/>
      <c r="D210" s="34"/>
      <c r="E210" s="34"/>
      <c r="F210" s="34"/>
      <c r="AB210" s="5"/>
      <c r="AC210" s="8"/>
      <c r="AD210" s="8"/>
      <c r="AE210" s="8"/>
      <c r="AI210" s="1"/>
      <c r="AJ210" s="20"/>
      <c r="AK210" s="2"/>
    </row>
    <row r="211" spans="2:37" ht="11.25">
      <c r="B211" s="17"/>
      <c r="C211" s="2"/>
      <c r="D211" s="34"/>
      <c r="E211" s="34"/>
      <c r="F211" s="34"/>
      <c r="G211" s="2"/>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2"/>
      <c r="AG211" s="2"/>
      <c r="AH211" s="2"/>
      <c r="AI211" s="2"/>
      <c r="AJ211" s="21"/>
      <c r="AK211" s="2"/>
    </row>
    <row r="212" spans="2:37" ht="11.25">
      <c r="B212" s="17"/>
      <c r="C212" s="2"/>
      <c r="D212" s="34"/>
      <c r="E212" s="34"/>
      <c r="F212" s="34"/>
      <c r="G212" s="2"/>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2"/>
      <c r="AG212" s="2"/>
      <c r="AH212" s="2"/>
      <c r="AI212" s="2"/>
      <c r="AJ212" s="21"/>
      <c r="AK212" s="2"/>
    </row>
    <row r="213" spans="2:37" ht="11.25">
      <c r="B213" s="17"/>
      <c r="C213" s="2"/>
      <c r="D213" s="34"/>
      <c r="E213" s="34"/>
      <c r="F213" s="34"/>
      <c r="G213" s="2"/>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2"/>
      <c r="AG213" s="2"/>
      <c r="AH213" s="2"/>
      <c r="AI213" s="2"/>
      <c r="AJ213" s="21"/>
      <c r="AK213" s="2"/>
    </row>
    <row r="214" spans="2:37" ht="11.25">
      <c r="B214" s="17"/>
      <c r="C214" s="2"/>
      <c r="D214" s="34"/>
      <c r="E214" s="34"/>
      <c r="F214" s="34"/>
      <c r="G214" s="2"/>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2"/>
      <c r="AG214" s="2"/>
      <c r="AH214" s="2"/>
      <c r="AI214" s="2"/>
      <c r="AJ214" s="21"/>
      <c r="AK214" s="2"/>
    </row>
    <row r="215" spans="2:37" ht="11.25">
      <c r="B215" s="16"/>
      <c r="D215" s="4"/>
      <c r="E215" s="4"/>
      <c r="F215" s="4"/>
      <c r="AB215" s="5"/>
      <c r="AC215" s="8"/>
      <c r="AD215" s="8"/>
      <c r="AE215" s="8"/>
      <c r="AI215" s="1"/>
      <c r="AJ215" s="20"/>
      <c r="AK215" s="2"/>
    </row>
    <row r="216" spans="2:37" ht="11.25">
      <c r="B216" s="16"/>
      <c r="D216" s="4"/>
      <c r="E216" s="4"/>
      <c r="F216" s="4"/>
      <c r="AB216" s="5"/>
      <c r="AC216" s="8"/>
      <c r="AD216" s="8"/>
      <c r="AE216" s="8"/>
      <c r="AI216" s="1"/>
      <c r="AJ216" s="20"/>
      <c r="AK216" s="2"/>
    </row>
    <row r="217" spans="2:37" ht="11.25">
      <c r="B217" s="16"/>
      <c r="D217" s="4"/>
      <c r="E217" s="4"/>
      <c r="F217" s="4"/>
      <c r="AB217" s="5"/>
      <c r="AC217" s="8"/>
      <c r="AD217" s="8"/>
      <c r="AE217" s="8"/>
      <c r="AI217" s="1"/>
      <c r="AJ217" s="20"/>
      <c r="AK217" s="2"/>
    </row>
    <row r="218" spans="2:37" ht="11.25">
      <c r="B218" s="16"/>
      <c r="D218" s="4"/>
      <c r="E218" s="4"/>
      <c r="F218" s="4"/>
      <c r="AB218" s="5"/>
      <c r="AC218" s="8"/>
      <c r="AD218" s="8"/>
      <c r="AE218" s="8"/>
      <c r="AI218" s="1"/>
      <c r="AJ218" s="20"/>
      <c r="AK218" s="2"/>
    </row>
    <row r="219" spans="2:37" ht="11.25">
      <c r="B219" s="16"/>
      <c r="D219" s="4"/>
      <c r="E219" s="4"/>
      <c r="F219" s="4"/>
      <c r="AB219" s="5"/>
      <c r="AC219" s="8"/>
      <c r="AD219" s="8"/>
      <c r="AE219" s="8"/>
      <c r="AI219" s="1"/>
      <c r="AJ219" s="20"/>
      <c r="AK219" s="2"/>
    </row>
    <row r="220" spans="2:37" ht="11.25">
      <c r="B220" s="18"/>
      <c r="C220" s="3"/>
      <c r="D220" s="13"/>
      <c r="E220" s="13"/>
      <c r="F220" s="13"/>
      <c r="AB220" s="5"/>
      <c r="AC220" s="8"/>
      <c r="AD220" s="8"/>
      <c r="AE220" s="8"/>
      <c r="AI220" s="1"/>
      <c r="AJ220" s="20"/>
      <c r="AK220" s="2"/>
    </row>
    <row r="221" spans="2:37" ht="11.25">
      <c r="B221" s="17"/>
      <c r="D221" s="4"/>
      <c r="E221" s="4"/>
      <c r="F221" s="4"/>
      <c r="AB221" s="5"/>
      <c r="AC221" s="8"/>
      <c r="AD221" s="8"/>
      <c r="AE221" s="8"/>
      <c r="AI221" s="1"/>
      <c r="AJ221" s="20"/>
      <c r="AK221" s="2"/>
    </row>
    <row r="222" spans="2:37" ht="11.25">
      <c r="B222" s="16"/>
      <c r="D222" s="4"/>
      <c r="E222" s="4"/>
      <c r="F222" s="4"/>
      <c r="AB222" s="5"/>
      <c r="AC222" s="8"/>
      <c r="AD222" s="8"/>
      <c r="AE222" s="8"/>
      <c r="AI222" s="1"/>
      <c r="AJ222" s="20"/>
      <c r="AK222" s="2"/>
    </row>
    <row r="223" spans="2:37" ht="11.25">
      <c r="B223" s="17"/>
      <c r="D223" s="4"/>
      <c r="E223" s="4"/>
      <c r="F223" s="4"/>
      <c r="AB223" s="5"/>
      <c r="AC223" s="8"/>
      <c r="AD223" s="8"/>
      <c r="AE223" s="8"/>
      <c r="AI223" s="1"/>
      <c r="AJ223" s="20"/>
      <c r="AK223" s="2"/>
    </row>
    <row r="224" spans="2:37" ht="11.25">
      <c r="B224" s="16"/>
      <c r="D224" s="4"/>
      <c r="E224" s="4"/>
      <c r="F224" s="4"/>
      <c r="AB224" s="5"/>
      <c r="AC224" s="8"/>
      <c r="AD224" s="8"/>
      <c r="AE224" s="8"/>
      <c r="AI224" s="1"/>
      <c r="AJ224" s="20"/>
      <c r="AK224" s="2"/>
    </row>
    <row r="225" spans="2:37" ht="11.25">
      <c r="B225" s="16"/>
      <c r="D225" s="4"/>
      <c r="E225" s="4"/>
      <c r="F225" s="4"/>
      <c r="AB225" s="5"/>
      <c r="AC225" s="8"/>
      <c r="AD225" s="8"/>
      <c r="AE225" s="8"/>
      <c r="AI225" s="1"/>
      <c r="AJ225" s="20"/>
      <c r="AK225" s="2"/>
    </row>
    <row r="226" spans="2:37" ht="11.25">
      <c r="B226" s="16"/>
      <c r="D226" s="4"/>
      <c r="E226" s="4"/>
      <c r="F226" s="4"/>
      <c r="AB226" s="5"/>
      <c r="AC226" s="8"/>
      <c r="AD226" s="8"/>
      <c r="AE226" s="8"/>
      <c r="AI226" s="1"/>
      <c r="AJ226" s="20"/>
      <c r="AK226" s="2"/>
    </row>
    <row r="227" spans="2:37" ht="11.25">
      <c r="B227" s="16"/>
      <c r="D227" s="4"/>
      <c r="E227" s="4"/>
      <c r="F227" s="4"/>
      <c r="AB227" s="5"/>
      <c r="AC227" s="8"/>
      <c r="AD227" s="8"/>
      <c r="AE227" s="8"/>
      <c r="AI227" s="1"/>
      <c r="AJ227" s="20"/>
      <c r="AK227" s="2"/>
    </row>
    <row r="228" spans="2:37" ht="12" customHeight="1">
      <c r="B228" s="16"/>
      <c r="D228" s="4"/>
      <c r="E228" s="4"/>
      <c r="F228" s="4"/>
      <c r="AB228" s="5"/>
      <c r="AC228" s="8"/>
      <c r="AD228" s="8"/>
      <c r="AE228" s="8"/>
      <c r="AI228" s="1"/>
      <c r="AJ228" s="20"/>
      <c r="AK228" s="2"/>
    </row>
    <row r="229" spans="2:37" ht="11.25">
      <c r="B229" s="16"/>
      <c r="D229" s="4"/>
      <c r="E229" s="4"/>
      <c r="F229" s="4"/>
      <c r="AB229" s="5"/>
      <c r="AC229" s="8"/>
      <c r="AD229" s="8"/>
      <c r="AE229" s="8"/>
      <c r="AI229" s="1"/>
      <c r="AJ229" s="20"/>
      <c r="AK229" s="2"/>
    </row>
    <row r="230" spans="2:37" ht="11.25">
      <c r="B230" s="16"/>
      <c r="D230" s="4"/>
      <c r="E230" s="4"/>
      <c r="F230" s="4"/>
      <c r="AB230" s="5"/>
      <c r="AC230" s="8"/>
      <c r="AD230" s="8"/>
      <c r="AE230" s="8"/>
      <c r="AI230" s="1"/>
      <c r="AJ230" s="20"/>
      <c r="AK230" s="2"/>
    </row>
    <row r="231" spans="2:37" ht="11.25">
      <c r="B231" s="18"/>
      <c r="C231" s="3"/>
      <c r="D231" s="13"/>
      <c r="E231" s="13"/>
      <c r="F231" s="13"/>
      <c r="AB231" s="5"/>
      <c r="AC231" s="8"/>
      <c r="AD231" s="8"/>
      <c r="AE231" s="8"/>
      <c r="AI231" s="1"/>
      <c r="AJ231" s="20"/>
      <c r="AK231" s="2"/>
    </row>
    <row r="232" spans="2:37" ht="11.25">
      <c r="B232" s="17"/>
      <c r="D232" s="4"/>
      <c r="E232" s="4"/>
      <c r="F232" s="4"/>
      <c r="AB232" s="5"/>
      <c r="AC232" s="8"/>
      <c r="AD232" s="8"/>
      <c r="AE232" s="8"/>
      <c r="AI232" s="1"/>
      <c r="AJ232" s="20"/>
      <c r="AK232" s="2"/>
    </row>
    <row r="233" spans="2:37" ht="11.25">
      <c r="B233" s="17"/>
      <c r="D233" s="4"/>
      <c r="E233" s="4"/>
      <c r="F233" s="4"/>
      <c r="AB233" s="5"/>
      <c r="AC233" s="8"/>
      <c r="AD233" s="8"/>
      <c r="AE233" s="8"/>
      <c r="AI233" s="1"/>
      <c r="AJ233" s="20"/>
      <c r="AK233" s="2"/>
    </row>
    <row r="234" spans="2:37" ht="11.25">
      <c r="B234" s="16"/>
      <c r="D234" s="4"/>
      <c r="E234" s="4"/>
      <c r="F234" s="4"/>
      <c r="AB234" s="5"/>
      <c r="AC234" s="8"/>
      <c r="AD234" s="8"/>
      <c r="AE234" s="8"/>
      <c r="AI234" s="1"/>
      <c r="AJ234" s="20"/>
      <c r="AK234" s="2"/>
    </row>
    <row r="235" spans="2:37" ht="11.25">
      <c r="B235" s="17"/>
      <c r="C235" s="2"/>
      <c r="D235" s="34"/>
      <c r="E235" s="34"/>
      <c r="F235" s="34"/>
      <c r="AB235" s="5"/>
      <c r="AC235" s="8"/>
      <c r="AD235" s="8"/>
      <c r="AE235" s="8"/>
      <c r="AI235" s="1"/>
      <c r="AJ235" s="20"/>
      <c r="AK235" s="2"/>
    </row>
    <row r="236" spans="2:37" ht="11.25">
      <c r="B236" s="16"/>
      <c r="D236" s="4"/>
      <c r="E236" s="4"/>
      <c r="F236" s="4"/>
      <c r="AB236" s="5"/>
      <c r="AC236" s="8"/>
      <c r="AD236" s="8"/>
      <c r="AE236" s="8"/>
      <c r="AI236" s="1"/>
      <c r="AJ236" s="20"/>
      <c r="AK236" s="2"/>
    </row>
    <row r="237" spans="2:37" ht="11.25">
      <c r="B237" s="17"/>
      <c r="C237" s="3"/>
      <c r="D237" s="13"/>
      <c r="E237" s="13"/>
      <c r="F237" s="13"/>
      <c r="AB237" s="5"/>
      <c r="AC237" s="8"/>
      <c r="AD237" s="8"/>
      <c r="AE237" s="8"/>
      <c r="AI237" s="1"/>
      <c r="AJ237" s="20"/>
      <c r="AK237" s="2"/>
    </row>
    <row r="238" spans="2:37" ht="11.25">
      <c r="B238" s="16"/>
      <c r="D238" s="4"/>
      <c r="E238" s="4"/>
      <c r="F238" s="4"/>
      <c r="AB238" s="5"/>
      <c r="AC238" s="8"/>
      <c r="AD238" s="8"/>
      <c r="AE238" s="8"/>
      <c r="AI238" s="1"/>
      <c r="AJ238" s="20"/>
      <c r="AK238" s="2"/>
    </row>
    <row r="239" spans="2:37" ht="11.25">
      <c r="B239" s="17"/>
      <c r="C239" s="2"/>
      <c r="D239" s="34"/>
      <c r="E239" s="34"/>
      <c r="F239" s="34"/>
      <c r="AB239" s="5"/>
      <c r="AC239" s="8"/>
      <c r="AD239" s="8"/>
      <c r="AE239" s="8"/>
      <c r="AI239" s="1"/>
      <c r="AJ239" s="20"/>
      <c r="AK239" s="2"/>
    </row>
    <row r="240" spans="2:37" ht="11.25">
      <c r="B240" s="16"/>
      <c r="D240" s="4"/>
      <c r="E240" s="4"/>
      <c r="F240" s="4"/>
      <c r="AB240" s="5"/>
      <c r="AC240" s="8"/>
      <c r="AD240" s="8"/>
      <c r="AE240" s="8"/>
      <c r="AI240" s="1"/>
      <c r="AJ240" s="20"/>
      <c r="AK240" s="2"/>
    </row>
    <row r="241" spans="2:37" ht="11.25">
      <c r="B241" s="16"/>
      <c r="D241" s="4"/>
      <c r="E241" s="4"/>
      <c r="F241" s="4"/>
      <c r="AB241" s="5"/>
      <c r="AC241" s="8"/>
      <c r="AD241" s="8"/>
      <c r="AE241" s="8"/>
      <c r="AI241" s="1"/>
      <c r="AJ241" s="20"/>
      <c r="AK241" s="2"/>
    </row>
    <row r="242" spans="2:37" ht="11.25">
      <c r="B242" s="16"/>
      <c r="D242" s="4"/>
      <c r="E242" s="4"/>
      <c r="F242" s="4"/>
      <c r="AB242" s="5"/>
      <c r="AC242" s="5"/>
      <c r="AD242" s="5"/>
      <c r="AE242" s="5"/>
      <c r="AI242" s="1"/>
      <c r="AJ242" s="20"/>
      <c r="AK242" s="2"/>
    </row>
    <row r="243" spans="2:37" ht="11.25">
      <c r="B243" s="16"/>
      <c r="D243" s="4"/>
      <c r="E243" s="4"/>
      <c r="F243" s="4"/>
      <c r="AB243" s="5"/>
      <c r="AC243" s="5"/>
      <c r="AD243" s="5"/>
      <c r="AE243" s="5"/>
      <c r="AI243" s="1"/>
      <c r="AJ243" s="20"/>
      <c r="AK243" s="2"/>
    </row>
    <row r="244" spans="2:37" ht="11.25">
      <c r="B244" s="17"/>
      <c r="C244" s="3"/>
      <c r="D244" s="13"/>
      <c r="E244" s="13"/>
      <c r="F244" s="13"/>
      <c r="AB244" s="5"/>
      <c r="AC244" s="8"/>
      <c r="AD244" s="8"/>
      <c r="AE244" s="8"/>
      <c r="AI244" s="1"/>
      <c r="AJ244" s="20"/>
      <c r="AK244" s="2"/>
    </row>
    <row r="245" spans="2:37" ht="11.25">
      <c r="B245" s="16"/>
      <c r="D245" s="4"/>
      <c r="E245" s="4"/>
      <c r="F245" s="4"/>
      <c r="AB245" s="5"/>
      <c r="AC245" s="8"/>
      <c r="AD245" s="8"/>
      <c r="AE245" s="8"/>
      <c r="AI245" s="1"/>
      <c r="AJ245" s="20"/>
      <c r="AK245" s="2"/>
    </row>
    <row r="246" spans="2:37" ht="11.25">
      <c r="B246" s="16"/>
      <c r="D246" s="4"/>
      <c r="E246" s="4"/>
      <c r="F246" s="4"/>
      <c r="AB246" s="5"/>
      <c r="AC246" s="8"/>
      <c r="AD246" s="8"/>
      <c r="AE246" s="8"/>
      <c r="AI246" s="1"/>
      <c r="AJ246" s="20"/>
      <c r="AK246" s="2"/>
    </row>
    <row r="247" spans="2:37" ht="11.25">
      <c r="B247" s="16"/>
      <c r="C247" s="2"/>
      <c r="D247" s="34"/>
      <c r="E247" s="34"/>
      <c r="F247" s="34"/>
      <c r="AB247" s="5"/>
      <c r="AC247" s="8"/>
      <c r="AD247" s="8"/>
      <c r="AE247" s="8"/>
      <c r="AI247" s="1"/>
      <c r="AJ247" s="20"/>
      <c r="AK247" s="2"/>
    </row>
    <row r="248" spans="2:37" ht="11.25">
      <c r="B248" s="16"/>
      <c r="C248" s="2"/>
      <c r="D248" s="34"/>
      <c r="E248" s="34"/>
      <c r="F248" s="34"/>
      <c r="AB248" s="5"/>
      <c r="AC248" s="8"/>
      <c r="AD248" s="8"/>
      <c r="AE248" s="8"/>
      <c r="AI248" s="1"/>
      <c r="AJ248" s="20"/>
      <c r="AK248" s="2"/>
    </row>
    <row r="249" spans="2:37" ht="11.25">
      <c r="B249" s="17"/>
      <c r="D249" s="4"/>
      <c r="E249" s="4"/>
      <c r="F249" s="4"/>
      <c r="G249" s="2"/>
      <c r="AB249" s="5"/>
      <c r="AC249" s="8"/>
      <c r="AD249" s="8"/>
      <c r="AE249" s="8"/>
      <c r="AG249" s="2"/>
      <c r="AI249" s="1"/>
      <c r="AJ249" s="20"/>
      <c r="AK249" s="2"/>
    </row>
    <row r="250" spans="2:37" ht="11.25">
      <c r="B250" s="17"/>
      <c r="D250" s="4"/>
      <c r="E250" s="4"/>
      <c r="F250" s="4"/>
      <c r="G250" s="2"/>
      <c r="AB250" s="5"/>
      <c r="AC250" s="8"/>
      <c r="AD250" s="8"/>
      <c r="AE250" s="8"/>
      <c r="AG250" s="2"/>
      <c r="AI250" s="1"/>
      <c r="AJ250" s="20"/>
      <c r="AK250" s="2"/>
    </row>
    <row r="251" spans="2:37" ht="11.25">
      <c r="B251" s="16"/>
      <c r="D251" s="4"/>
      <c r="E251" s="4"/>
      <c r="F251" s="4"/>
      <c r="AB251" s="5"/>
      <c r="AC251" s="8"/>
      <c r="AD251" s="8"/>
      <c r="AE251" s="8"/>
      <c r="AI251" s="1"/>
      <c r="AJ251" s="20"/>
      <c r="AK251" s="2"/>
    </row>
    <row r="252" spans="2:37" ht="11.25">
      <c r="B252" s="17"/>
      <c r="C252" s="2"/>
      <c r="D252" s="34"/>
      <c r="E252" s="34"/>
      <c r="F252" s="34"/>
      <c r="AB252" s="5"/>
      <c r="AC252" s="8"/>
      <c r="AD252" s="8"/>
      <c r="AE252" s="8"/>
      <c r="AI252" s="1"/>
      <c r="AJ252" s="20"/>
      <c r="AK252" s="2"/>
    </row>
    <row r="253" spans="2:37" ht="11.25">
      <c r="B253" s="17"/>
      <c r="C253" s="9"/>
      <c r="D253" s="35"/>
      <c r="E253" s="35"/>
      <c r="F253" s="35"/>
      <c r="AB253" s="5"/>
      <c r="AC253" s="8"/>
      <c r="AD253" s="8"/>
      <c r="AE253" s="8"/>
      <c r="AI253" s="1"/>
      <c r="AJ253" s="20"/>
      <c r="AK253" s="2"/>
    </row>
    <row r="254" spans="2:37" ht="11.25">
      <c r="B254" s="17"/>
      <c r="C254" s="9"/>
      <c r="D254" s="35"/>
      <c r="E254" s="35"/>
      <c r="F254" s="35"/>
      <c r="AB254" s="5"/>
      <c r="AC254" s="8"/>
      <c r="AD254" s="8"/>
      <c r="AE254" s="8"/>
      <c r="AI254" s="1"/>
      <c r="AJ254" s="20"/>
      <c r="AK254" s="2"/>
    </row>
    <row r="255" spans="2:37" ht="11.25">
      <c r="B255" s="17"/>
      <c r="D255" s="4"/>
      <c r="E255" s="4"/>
      <c r="F255" s="4"/>
      <c r="AB255" s="5"/>
      <c r="AC255" s="8"/>
      <c r="AD255" s="8"/>
      <c r="AE255" s="8"/>
      <c r="AI255" s="1"/>
      <c r="AJ255" s="20"/>
      <c r="AK255" s="2"/>
    </row>
    <row r="256" spans="2:37" ht="11.25">
      <c r="B256" s="16"/>
      <c r="D256" s="4"/>
      <c r="E256" s="4"/>
      <c r="F256" s="4"/>
      <c r="AB256" s="5"/>
      <c r="AC256" s="8"/>
      <c r="AD256" s="8"/>
      <c r="AE256" s="8"/>
      <c r="AI256" s="1"/>
      <c r="AJ256" s="20"/>
      <c r="AK256" s="2"/>
    </row>
    <row r="257" spans="2:37" ht="11.25">
      <c r="B257" s="16"/>
      <c r="D257" s="4"/>
      <c r="E257" s="4"/>
      <c r="F257" s="4"/>
      <c r="AB257" s="5"/>
      <c r="AC257" s="8"/>
      <c r="AD257" s="8"/>
      <c r="AE257" s="8"/>
      <c r="AI257" s="1"/>
      <c r="AJ257" s="20"/>
      <c r="AK257" s="2"/>
    </row>
    <row r="258" spans="2:37" ht="11.25">
      <c r="B258" s="16"/>
      <c r="D258" s="4"/>
      <c r="E258" s="4"/>
      <c r="F258" s="4"/>
      <c r="AB258" s="5"/>
      <c r="AC258" s="8"/>
      <c r="AD258" s="8"/>
      <c r="AE258" s="8"/>
      <c r="AI258" s="1"/>
      <c r="AJ258" s="20"/>
      <c r="AK258" s="2"/>
    </row>
    <row r="259" spans="2:37" ht="11.25">
      <c r="B259" s="16"/>
      <c r="D259" s="4"/>
      <c r="E259" s="4"/>
      <c r="F259" s="4"/>
      <c r="AB259" s="5"/>
      <c r="AC259" s="8"/>
      <c r="AD259" s="8"/>
      <c r="AE259" s="8"/>
      <c r="AI259" s="1"/>
      <c r="AJ259" s="20"/>
      <c r="AK259" s="2"/>
    </row>
    <row r="260" spans="2:37" ht="11.25">
      <c r="B260" s="17"/>
      <c r="D260" s="4"/>
      <c r="E260" s="4"/>
      <c r="F260" s="4"/>
      <c r="AB260" s="5"/>
      <c r="AC260" s="8"/>
      <c r="AD260" s="8"/>
      <c r="AE260" s="8"/>
      <c r="AH260" s="2"/>
      <c r="AI260" s="2"/>
      <c r="AJ260" s="20"/>
      <c r="AK260" s="2"/>
    </row>
    <row r="261" spans="2:37" ht="11.25">
      <c r="B261" s="16"/>
      <c r="D261" s="4"/>
      <c r="E261" s="4"/>
      <c r="F261" s="4"/>
      <c r="AB261" s="5"/>
      <c r="AC261" s="8"/>
      <c r="AD261" s="8"/>
      <c r="AE261" s="8"/>
      <c r="AI261" s="1"/>
      <c r="AJ261" s="20"/>
      <c r="AK261" s="2"/>
    </row>
    <row r="262" spans="2:37" ht="11.25">
      <c r="B262" s="16"/>
      <c r="D262" s="4"/>
      <c r="E262" s="4"/>
      <c r="F262" s="4"/>
      <c r="AB262" s="5"/>
      <c r="AC262" s="8"/>
      <c r="AD262" s="8"/>
      <c r="AE262" s="8"/>
      <c r="AI262" s="1"/>
      <c r="AJ262" s="20"/>
      <c r="AK262" s="2"/>
    </row>
    <row r="263" spans="2:37" ht="11.25">
      <c r="B263" s="17"/>
      <c r="D263" s="4"/>
      <c r="E263" s="4"/>
      <c r="F263" s="4"/>
      <c r="AB263" s="5"/>
      <c r="AC263" s="8"/>
      <c r="AD263" s="8"/>
      <c r="AE263" s="8"/>
      <c r="AI263" s="1"/>
      <c r="AJ263" s="20"/>
      <c r="AK263" s="2"/>
    </row>
    <row r="264" spans="2:37" ht="11.25">
      <c r="B264" s="17"/>
      <c r="D264" s="4"/>
      <c r="E264" s="4"/>
      <c r="F264" s="4"/>
      <c r="AB264" s="5"/>
      <c r="AC264" s="8"/>
      <c r="AD264" s="8"/>
      <c r="AE264" s="8"/>
      <c r="AI264" s="1"/>
      <c r="AJ264" s="20"/>
      <c r="AK264" s="2"/>
    </row>
    <row r="265" spans="2:37" ht="11.25">
      <c r="B265" s="17"/>
      <c r="C265" s="3"/>
      <c r="D265" s="13"/>
      <c r="E265" s="13"/>
      <c r="F265" s="13"/>
      <c r="AB265" s="5"/>
      <c r="AC265" s="8"/>
      <c r="AD265" s="8"/>
      <c r="AE265" s="8"/>
      <c r="AI265" s="1"/>
      <c r="AJ265" s="20"/>
      <c r="AK265" s="2"/>
    </row>
    <row r="266" spans="2:37" ht="11.25">
      <c r="B266" s="16"/>
      <c r="D266" s="4"/>
      <c r="E266" s="4"/>
      <c r="F266" s="4"/>
      <c r="AB266" s="5"/>
      <c r="AC266" s="8"/>
      <c r="AD266" s="8"/>
      <c r="AE266" s="8"/>
      <c r="AI266" s="1"/>
      <c r="AJ266" s="20"/>
      <c r="AK266" s="2"/>
    </row>
    <row r="267" spans="2:37" ht="11.25">
      <c r="B267" s="19"/>
      <c r="C267" s="14"/>
      <c r="D267" s="36"/>
      <c r="E267" s="36"/>
      <c r="F267" s="36"/>
      <c r="AB267" s="5"/>
      <c r="AC267" s="8"/>
      <c r="AD267" s="8"/>
      <c r="AE267" s="8"/>
      <c r="AI267" s="1"/>
      <c r="AJ267" s="22"/>
      <c r="AK267" s="2"/>
    </row>
    <row r="268" spans="2:37" ht="11.25">
      <c r="B268" s="17"/>
      <c r="D268" s="4"/>
      <c r="E268" s="4"/>
      <c r="F268" s="4"/>
      <c r="AB268" s="5"/>
      <c r="AC268" s="8"/>
      <c r="AD268" s="8"/>
      <c r="AE268" s="8"/>
      <c r="AI268" s="1"/>
      <c r="AJ268" s="20"/>
      <c r="AK268" s="2"/>
    </row>
    <row r="269" spans="2:37" ht="11.25">
      <c r="B269" s="17"/>
      <c r="D269" s="4"/>
      <c r="E269" s="4"/>
      <c r="F269" s="4"/>
      <c r="AB269" s="5"/>
      <c r="AC269" s="8"/>
      <c r="AD269" s="8"/>
      <c r="AE269" s="8"/>
      <c r="AI269" s="1"/>
      <c r="AJ269" s="20"/>
      <c r="AK269" s="2"/>
    </row>
    <row r="270" spans="2:37" ht="11.25">
      <c r="B270" s="17"/>
      <c r="D270" s="4"/>
      <c r="E270" s="4"/>
      <c r="F270" s="4"/>
      <c r="AB270" s="5"/>
      <c r="AC270" s="8"/>
      <c r="AD270" s="8"/>
      <c r="AE270" s="8"/>
      <c r="AI270" s="1"/>
      <c r="AJ270" s="20"/>
      <c r="AK270" s="2"/>
    </row>
    <row r="271" spans="2:37" ht="11.25">
      <c r="B271" s="17"/>
      <c r="C271" s="3"/>
      <c r="D271" s="13"/>
      <c r="E271" s="13"/>
      <c r="F271" s="13"/>
      <c r="AB271" s="5"/>
      <c r="AC271" s="8"/>
      <c r="AD271" s="8"/>
      <c r="AE271" s="8"/>
      <c r="AI271" s="1"/>
      <c r="AJ271" s="20"/>
      <c r="AK271" s="2"/>
    </row>
    <row r="272" spans="2:37" ht="11.25">
      <c r="B272" s="17"/>
      <c r="D272" s="4"/>
      <c r="E272" s="4"/>
      <c r="F272" s="4"/>
      <c r="AB272" s="5"/>
      <c r="AC272" s="8"/>
      <c r="AD272" s="8"/>
      <c r="AE272" s="8"/>
      <c r="AI272" s="1"/>
      <c r="AJ272" s="20"/>
      <c r="AK272" s="2"/>
    </row>
    <row r="273" spans="2:37" ht="11.25">
      <c r="B273" s="17"/>
      <c r="D273" s="4"/>
      <c r="E273" s="4"/>
      <c r="F273" s="4"/>
      <c r="AB273" s="5"/>
      <c r="AC273" s="8"/>
      <c r="AD273" s="8"/>
      <c r="AE273" s="8"/>
      <c r="AI273" s="1"/>
      <c r="AJ273" s="20"/>
      <c r="AK273" s="2"/>
    </row>
    <row r="274" spans="2:37" ht="11.25">
      <c r="B274" s="17"/>
      <c r="C274" s="3"/>
      <c r="D274" s="13"/>
      <c r="E274" s="13"/>
      <c r="F274" s="13"/>
      <c r="AB274" s="5"/>
      <c r="AC274" s="8"/>
      <c r="AD274" s="8"/>
      <c r="AE274" s="8"/>
      <c r="AI274" s="1"/>
      <c r="AJ274" s="20"/>
      <c r="AK274" s="2"/>
    </row>
    <row r="275" spans="2:37" ht="11.25">
      <c r="B275" s="17"/>
      <c r="C275" s="2"/>
      <c r="D275" s="34"/>
      <c r="E275" s="34"/>
      <c r="F275" s="34"/>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2"/>
      <c r="AH275" s="2"/>
      <c r="AI275" s="2"/>
      <c r="AJ275" s="21"/>
      <c r="AK275" s="2"/>
    </row>
    <row r="276" spans="2:37" ht="11.25">
      <c r="B276" s="28"/>
      <c r="C276" s="29"/>
      <c r="D276" s="37"/>
      <c r="E276" s="37"/>
      <c r="F276" s="37"/>
      <c r="G276" s="32"/>
      <c r="H276" s="30"/>
      <c r="I276" s="30"/>
      <c r="J276" s="30"/>
      <c r="K276" s="30"/>
      <c r="L276" s="30"/>
      <c r="M276" s="30"/>
      <c r="N276" s="30"/>
      <c r="O276" s="30"/>
      <c r="P276" s="30"/>
      <c r="Q276" s="30"/>
      <c r="R276" s="30"/>
      <c r="S276" s="30"/>
      <c r="T276" s="30"/>
      <c r="U276" s="30"/>
      <c r="V276" s="30"/>
      <c r="W276" s="30"/>
      <c r="X276" s="30"/>
      <c r="Y276" s="30"/>
      <c r="Z276" s="30"/>
      <c r="AA276" s="30"/>
      <c r="AB276" s="30"/>
      <c r="AC276" s="31"/>
      <c r="AD276" s="31"/>
      <c r="AE276" s="31"/>
      <c r="AF276" s="32"/>
      <c r="AG276" s="32"/>
      <c r="AH276" s="32"/>
      <c r="AI276" s="32"/>
      <c r="AJ276" s="33"/>
      <c r="AK276" s="39"/>
    </row>
    <row r="277" spans="2:37">
      <c r="B277"/>
      <c r="C277"/>
      <c r="D277"/>
      <c r="E277"/>
      <c r="F277"/>
      <c r="G277"/>
      <c r="H277"/>
      <c r="I277"/>
      <c r="J277"/>
      <c r="K277"/>
      <c r="L277"/>
      <c r="M277"/>
      <c r="N277"/>
      <c r="O277"/>
      <c r="P277"/>
      <c r="Q277"/>
      <c r="R277"/>
      <c r="S277"/>
      <c r="T277"/>
      <c r="U277"/>
      <c r="V277"/>
      <c r="W277"/>
      <c r="X277"/>
      <c r="Y277"/>
      <c r="Z277"/>
      <c r="AA277"/>
      <c r="AB277"/>
      <c r="AC277"/>
      <c r="AD277"/>
      <c r="AF277"/>
      <c r="AG277"/>
      <c r="AH277"/>
      <c r="AJ277"/>
      <c r="AK277"/>
    </row>
  </sheetData>
  <pageMargins left="0.25" right="0.25" top="0.25" bottom="0.25" header="0.3" footer="0.3"/>
  <pageSetup paperSize="5" scale="42" fitToHeight="6"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sheetPr>
    <pageSetUpPr fitToPage="1"/>
  </sheetPr>
  <dimension ref="A1:AK27"/>
  <sheetViews>
    <sheetView zoomScale="120" zoomScaleNormal="120" workbookViewId="0">
      <pane xSplit="3" ySplit="2" topLeftCell="AD1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5.5703125" style="1" customWidth="1"/>
    <col min="5" max="6" width="4.7109375" style="1" customWidth="1"/>
    <col min="7" max="7" width="11.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1.25">
      <c r="A3" s="1" t="s">
        <v>1085</v>
      </c>
      <c r="B3" s="16" t="s">
        <v>1083</v>
      </c>
      <c r="C3" s="1" t="s">
        <v>1084</v>
      </c>
      <c r="D3" s="4" t="s">
        <v>739</v>
      </c>
      <c r="E3" s="4"/>
      <c r="F3" s="4"/>
      <c r="G3" s="1">
        <v>1</v>
      </c>
      <c r="K3" s="5" t="s">
        <v>388</v>
      </c>
      <c r="M3" s="5" t="s">
        <v>388</v>
      </c>
      <c r="N3" s="5" t="s">
        <v>388</v>
      </c>
      <c r="T3" s="5" t="s">
        <v>388</v>
      </c>
      <c r="W3" s="5" t="s">
        <v>388</v>
      </c>
      <c r="X3" s="5" t="s">
        <v>388</v>
      </c>
      <c r="Z3" s="5" t="s">
        <v>388</v>
      </c>
      <c r="AB3" s="5"/>
      <c r="AC3" s="8"/>
      <c r="AD3" s="8"/>
      <c r="AE3" s="8" t="s">
        <v>648</v>
      </c>
      <c r="AF3" s="1" t="s">
        <v>394</v>
      </c>
      <c r="AG3" s="1" t="s">
        <v>1086</v>
      </c>
      <c r="AI3" s="1"/>
      <c r="AJ3" s="20"/>
      <c r="AK3" s="2"/>
    </row>
    <row r="4" spans="1:37" ht="11.25">
      <c r="A4" s="1" t="s">
        <v>1089</v>
      </c>
      <c r="B4" s="17" t="s">
        <v>1088</v>
      </c>
      <c r="C4" s="1" t="s">
        <v>1087</v>
      </c>
      <c r="D4" s="4" t="s">
        <v>739</v>
      </c>
      <c r="E4" s="4"/>
      <c r="F4" s="4"/>
      <c r="G4" s="1">
        <v>2</v>
      </c>
      <c r="H4" s="5" t="s">
        <v>388</v>
      </c>
      <c r="I4" s="5" t="s">
        <v>388</v>
      </c>
      <c r="M4" s="5" t="s">
        <v>388</v>
      </c>
      <c r="Q4" s="5" t="s">
        <v>388</v>
      </c>
      <c r="AB4" s="5"/>
      <c r="AC4" s="8"/>
      <c r="AD4" s="8"/>
      <c r="AE4" s="8" t="s">
        <v>648</v>
      </c>
      <c r="AF4" s="1" t="s">
        <v>394</v>
      </c>
      <c r="AG4" s="1" t="s">
        <v>1090</v>
      </c>
      <c r="AI4" s="1"/>
      <c r="AJ4" s="20"/>
      <c r="AK4" s="2"/>
    </row>
    <row r="5" spans="1:37" ht="11.25">
      <c r="A5" s="1" t="s">
        <v>1091</v>
      </c>
      <c r="B5" s="17" t="s">
        <v>1093</v>
      </c>
      <c r="C5" s="1" t="s">
        <v>1092</v>
      </c>
      <c r="D5" s="4" t="s">
        <v>739</v>
      </c>
      <c r="E5" s="4"/>
      <c r="F5" s="4"/>
      <c r="G5" s="1">
        <v>1</v>
      </c>
      <c r="K5" s="5" t="s">
        <v>388</v>
      </c>
      <c r="R5" s="5" t="s">
        <v>388</v>
      </c>
      <c r="T5" s="5" t="s">
        <v>388</v>
      </c>
      <c r="V5" s="5" t="s">
        <v>388</v>
      </c>
      <c r="W5" s="5" t="s">
        <v>388</v>
      </c>
      <c r="X5" s="5" t="s">
        <v>388</v>
      </c>
      <c r="Y5" s="5" t="s">
        <v>388</v>
      </c>
      <c r="Z5" s="5" t="s">
        <v>388</v>
      </c>
      <c r="AB5" s="5"/>
      <c r="AC5" s="8"/>
      <c r="AD5" s="8"/>
      <c r="AE5" s="8" t="s">
        <v>648</v>
      </c>
      <c r="AF5" s="1" t="s">
        <v>394</v>
      </c>
      <c r="AG5" s="1" t="s">
        <v>1094</v>
      </c>
      <c r="AI5" s="1"/>
      <c r="AJ5" s="20"/>
      <c r="AK5" s="2"/>
    </row>
    <row r="6" spans="1:37" ht="11.25">
      <c r="A6" s="1" t="s">
        <v>1097</v>
      </c>
      <c r="B6" s="17" t="s">
        <v>1096</v>
      </c>
      <c r="C6" s="3" t="s">
        <v>1095</v>
      </c>
      <c r="D6" s="13" t="s">
        <v>739</v>
      </c>
      <c r="E6" s="13"/>
      <c r="F6" s="13"/>
      <c r="G6" s="1">
        <v>1</v>
      </c>
      <c r="K6" s="5" t="s">
        <v>388</v>
      </c>
      <c r="L6" s="5" t="s">
        <v>388</v>
      </c>
      <c r="M6" s="5" t="s">
        <v>388</v>
      </c>
      <c r="O6" s="5" t="s">
        <v>388</v>
      </c>
      <c r="T6" s="5" t="s">
        <v>388</v>
      </c>
      <c r="U6" s="5" t="s">
        <v>388</v>
      </c>
      <c r="X6" s="5" t="s">
        <v>388</v>
      </c>
      <c r="AB6" s="5"/>
      <c r="AC6" s="8"/>
      <c r="AD6" s="8"/>
      <c r="AE6" s="8" t="s">
        <v>648</v>
      </c>
      <c r="AF6" s="1" t="s">
        <v>394</v>
      </c>
      <c r="AG6" s="1" t="s">
        <v>1098</v>
      </c>
      <c r="AI6" s="20" t="s">
        <v>1099</v>
      </c>
      <c r="AJ6" s="75"/>
      <c r="AK6" s="2"/>
    </row>
    <row r="7" spans="1:37" ht="11.25">
      <c r="A7" s="1" t="s">
        <v>1102</v>
      </c>
      <c r="B7" s="16" t="s">
        <v>1100</v>
      </c>
      <c r="C7" s="1" t="s">
        <v>1101</v>
      </c>
      <c r="D7" s="4" t="s">
        <v>739</v>
      </c>
      <c r="E7" s="4"/>
      <c r="F7" s="4"/>
      <c r="G7" s="1">
        <v>2</v>
      </c>
      <c r="K7" s="5" t="s">
        <v>388</v>
      </c>
      <c r="L7" s="5" t="s">
        <v>388</v>
      </c>
      <c r="M7" s="5" t="s">
        <v>388</v>
      </c>
      <c r="O7" s="5" t="s">
        <v>388</v>
      </c>
      <c r="P7" s="5" t="s">
        <v>388</v>
      </c>
      <c r="R7" s="5" t="s">
        <v>388</v>
      </c>
      <c r="W7" s="5" t="s">
        <v>388</v>
      </c>
      <c r="X7" s="5" t="s">
        <v>388</v>
      </c>
      <c r="Z7" s="5" t="s">
        <v>388</v>
      </c>
      <c r="AB7" s="5"/>
      <c r="AC7" s="8"/>
      <c r="AD7" s="8"/>
      <c r="AE7" s="8" t="s">
        <v>648</v>
      </c>
      <c r="AF7" s="1" t="s">
        <v>394</v>
      </c>
      <c r="AG7" s="1" t="s">
        <v>1103</v>
      </c>
      <c r="AI7" s="20" t="s">
        <v>1104</v>
      </c>
      <c r="AJ7" s="75"/>
      <c r="AK7" s="2"/>
    </row>
    <row r="8" spans="1:37" ht="11.25">
      <c r="A8" s="1" t="s">
        <v>1109</v>
      </c>
      <c r="B8" s="19" t="s">
        <v>1106</v>
      </c>
      <c r="C8" s="14" t="s">
        <v>1107</v>
      </c>
      <c r="D8" s="36" t="s">
        <v>739</v>
      </c>
      <c r="E8" s="36"/>
      <c r="F8" s="36"/>
      <c r="G8" s="1">
        <v>1</v>
      </c>
      <c r="K8" s="5" t="s">
        <v>388</v>
      </c>
      <c r="R8" s="5" t="s">
        <v>388</v>
      </c>
      <c r="S8" s="5" t="s">
        <v>388</v>
      </c>
      <c r="T8" s="5" t="s">
        <v>388</v>
      </c>
      <c r="W8" s="5" t="s">
        <v>388</v>
      </c>
      <c r="X8" s="5" t="s">
        <v>388</v>
      </c>
      <c r="Y8" s="5" t="s">
        <v>388</v>
      </c>
      <c r="Z8" s="5" t="s">
        <v>388</v>
      </c>
      <c r="AA8" s="5" t="s">
        <v>388</v>
      </c>
      <c r="AB8" s="5" t="s">
        <v>388</v>
      </c>
      <c r="AC8" s="8"/>
      <c r="AD8" s="8"/>
      <c r="AE8" s="8" t="s">
        <v>648</v>
      </c>
      <c r="AF8" s="1" t="s">
        <v>394</v>
      </c>
      <c r="AG8" s="1" t="s">
        <v>1108</v>
      </c>
      <c r="AI8" s="1"/>
      <c r="AJ8" s="22"/>
      <c r="AK8" s="2"/>
    </row>
    <row r="9" spans="1:37" ht="11.25">
      <c r="A9" s="1" t="s">
        <v>1110</v>
      </c>
      <c r="B9" s="17" t="s">
        <v>1112</v>
      </c>
      <c r="C9" s="1" t="s">
        <v>1111</v>
      </c>
      <c r="D9" s="4" t="s">
        <v>739</v>
      </c>
      <c r="E9" s="4"/>
      <c r="F9" s="4"/>
      <c r="G9" s="1">
        <v>1</v>
      </c>
      <c r="K9" s="5" t="s">
        <v>388</v>
      </c>
      <c r="L9" s="5" t="s">
        <v>388</v>
      </c>
      <c r="M9" s="5" t="s">
        <v>388</v>
      </c>
      <c r="T9" s="5" t="s">
        <v>388</v>
      </c>
      <c r="Y9" s="5" t="s">
        <v>388</v>
      </c>
      <c r="AB9" s="5" t="s">
        <v>388</v>
      </c>
      <c r="AC9" s="8"/>
      <c r="AD9" s="8"/>
      <c r="AE9" s="8" t="s">
        <v>648</v>
      </c>
      <c r="AF9" s="1" t="s">
        <v>394</v>
      </c>
      <c r="AG9" s="1" t="s">
        <v>1113</v>
      </c>
      <c r="AI9" s="1" t="s">
        <v>1114</v>
      </c>
      <c r="AJ9" s="20"/>
      <c r="AK9" s="2"/>
    </row>
    <row r="10" spans="1:37" ht="11.25">
      <c r="A10" s="1" t="s">
        <v>667</v>
      </c>
      <c r="B10" s="17" t="s">
        <v>1115</v>
      </c>
      <c r="C10" s="1" t="s">
        <v>1116</v>
      </c>
      <c r="D10" s="4" t="s">
        <v>739</v>
      </c>
      <c r="E10" s="4"/>
      <c r="F10" s="4"/>
      <c r="G10" s="1">
        <v>2</v>
      </c>
      <c r="M10" s="5" t="s">
        <v>388</v>
      </c>
      <c r="N10" s="5" t="s">
        <v>388</v>
      </c>
      <c r="U10" s="5" t="s">
        <v>388</v>
      </c>
      <c r="AB10" s="5"/>
      <c r="AC10" s="8"/>
      <c r="AD10" s="8"/>
      <c r="AE10" s="8" t="s">
        <v>648</v>
      </c>
      <c r="AF10" s="1" t="s">
        <v>394</v>
      </c>
      <c r="AG10" s="1" t="s">
        <v>1117</v>
      </c>
      <c r="AI10" s="1"/>
      <c r="AJ10" s="20" t="s">
        <v>1118</v>
      </c>
      <c r="AK10" s="2"/>
    </row>
    <row r="11" spans="1:37" ht="11.25">
      <c r="A11" s="1" t="s">
        <v>1122</v>
      </c>
      <c r="B11" s="17" t="s">
        <v>1120</v>
      </c>
      <c r="C11" s="1" t="s">
        <v>1121</v>
      </c>
      <c r="D11" s="4" t="s">
        <v>739</v>
      </c>
      <c r="E11" s="4"/>
      <c r="F11" s="4"/>
      <c r="G11" s="1">
        <v>2</v>
      </c>
      <c r="H11" s="5" t="s">
        <v>388</v>
      </c>
      <c r="L11" s="5" t="s">
        <v>388</v>
      </c>
      <c r="M11" s="5" t="s">
        <v>388</v>
      </c>
      <c r="O11" s="5" t="s">
        <v>388</v>
      </c>
      <c r="T11" s="5" t="s">
        <v>388</v>
      </c>
      <c r="U11" s="5" t="s">
        <v>388</v>
      </c>
      <c r="V11" s="5" t="s">
        <v>388</v>
      </c>
      <c r="X11" s="5" t="s">
        <v>388</v>
      </c>
      <c r="Y11" s="5" t="s">
        <v>388</v>
      </c>
      <c r="Z11" s="5" t="s">
        <v>388</v>
      </c>
      <c r="AB11" s="5"/>
      <c r="AC11" s="8"/>
      <c r="AD11" s="8"/>
      <c r="AE11" s="8" t="s">
        <v>648</v>
      </c>
      <c r="AF11" s="1" t="s">
        <v>394</v>
      </c>
      <c r="AI11" s="1" t="s">
        <v>1123</v>
      </c>
      <c r="AJ11" s="20"/>
      <c r="AK11" s="2"/>
    </row>
    <row r="12" spans="1:37" ht="11.25">
      <c r="A12" s="1" t="s">
        <v>1110</v>
      </c>
      <c r="B12" s="17" t="s">
        <v>1126</v>
      </c>
      <c r="C12" s="3" t="s">
        <v>1124</v>
      </c>
      <c r="D12" s="13" t="s">
        <v>739</v>
      </c>
      <c r="E12" s="13"/>
      <c r="F12" s="13"/>
      <c r="G12" s="1">
        <v>1</v>
      </c>
      <c r="L12" s="5" t="s">
        <v>388</v>
      </c>
      <c r="M12" s="5" t="s">
        <v>388</v>
      </c>
      <c r="N12" s="5" t="s">
        <v>388</v>
      </c>
      <c r="T12" s="5" t="s">
        <v>388</v>
      </c>
      <c r="AB12" s="5"/>
      <c r="AC12" s="8"/>
      <c r="AD12" s="8"/>
      <c r="AE12" s="8" t="s">
        <v>648</v>
      </c>
      <c r="AF12" s="1" t="s">
        <v>641</v>
      </c>
      <c r="AG12" s="1" t="s">
        <v>1125</v>
      </c>
      <c r="AI12" s="1" t="s">
        <v>1127</v>
      </c>
      <c r="AJ12" s="20"/>
      <c r="AK12" s="2"/>
    </row>
    <row r="13" spans="1:37" ht="11.25">
      <c r="A13" s="1" t="s">
        <v>1128</v>
      </c>
      <c r="B13" s="17" t="s">
        <v>1131</v>
      </c>
      <c r="C13" s="1" t="s">
        <v>1072</v>
      </c>
      <c r="D13" s="4" t="s">
        <v>739</v>
      </c>
      <c r="E13" s="4"/>
      <c r="F13" s="4"/>
      <c r="G13" s="1">
        <v>1</v>
      </c>
      <c r="K13" s="5" t="s">
        <v>388</v>
      </c>
      <c r="R13" s="5" t="s">
        <v>388</v>
      </c>
      <c r="T13" s="5" t="s">
        <v>388</v>
      </c>
      <c r="X13" s="5" t="s">
        <v>388</v>
      </c>
      <c r="Z13" s="5" t="s">
        <v>388</v>
      </c>
      <c r="AB13" s="5"/>
      <c r="AC13" s="8"/>
      <c r="AD13" s="8"/>
      <c r="AE13" s="8" t="s">
        <v>648</v>
      </c>
      <c r="AF13" s="1" t="s">
        <v>641</v>
      </c>
      <c r="AG13" s="1" t="s">
        <v>1129</v>
      </c>
      <c r="AI13" s="1" t="s">
        <v>1130</v>
      </c>
      <c r="AJ13" s="20"/>
      <c r="AK13" s="2"/>
    </row>
    <row r="14" spans="1:37" ht="11.25">
      <c r="A14" s="1" t="s">
        <v>111</v>
      </c>
      <c r="B14" s="17" t="s">
        <v>1133</v>
      </c>
      <c r="C14" s="1" t="s">
        <v>1132</v>
      </c>
      <c r="D14" s="4" t="s">
        <v>739</v>
      </c>
      <c r="E14" s="4"/>
      <c r="F14" s="4"/>
      <c r="G14" s="1">
        <v>1</v>
      </c>
      <c r="L14" s="5" t="s">
        <v>388</v>
      </c>
      <c r="M14" s="5" t="s">
        <v>388</v>
      </c>
      <c r="AB14" s="5"/>
      <c r="AC14" s="8"/>
      <c r="AD14" s="8"/>
      <c r="AE14" s="8" t="s">
        <v>648</v>
      </c>
      <c r="AF14" s="1" t="s">
        <v>641</v>
      </c>
      <c r="AG14" s="1" t="s">
        <v>1134</v>
      </c>
      <c r="AI14" s="1"/>
      <c r="AJ14" s="20"/>
      <c r="AK14" s="2"/>
    </row>
    <row r="15" spans="1:37" ht="11.25">
      <c r="A15" s="1" t="s">
        <v>131</v>
      </c>
      <c r="B15" s="17" t="s">
        <v>1136</v>
      </c>
      <c r="C15" s="3" t="s">
        <v>1135</v>
      </c>
      <c r="D15" s="13" t="s">
        <v>739</v>
      </c>
      <c r="E15" s="13"/>
      <c r="F15" s="13"/>
      <c r="G15" s="1">
        <v>0</v>
      </c>
      <c r="P15" s="5" t="s">
        <v>388</v>
      </c>
      <c r="S15" s="5" t="s">
        <v>388</v>
      </c>
      <c r="AA15" s="5" t="s">
        <v>388</v>
      </c>
      <c r="AB15" s="5"/>
      <c r="AC15" s="8"/>
      <c r="AD15" s="8"/>
      <c r="AE15" s="8" t="s">
        <v>1139</v>
      </c>
      <c r="AF15" s="1" t="s">
        <v>389</v>
      </c>
      <c r="AG15" s="1" t="s">
        <v>1137</v>
      </c>
      <c r="AI15" s="1"/>
      <c r="AJ15" s="2" t="s">
        <v>1138</v>
      </c>
      <c r="AK15" s="74"/>
    </row>
    <row r="16" spans="1:37" ht="11.25">
      <c r="A16" s="1" t="s">
        <v>1141</v>
      </c>
      <c r="B16" s="17" t="s">
        <v>1142</v>
      </c>
      <c r="C16" s="2" t="s">
        <v>1140</v>
      </c>
      <c r="D16" s="34" t="s">
        <v>739</v>
      </c>
      <c r="E16" s="34"/>
      <c r="F16" s="34"/>
      <c r="G16" s="1">
        <v>2</v>
      </c>
      <c r="H16" s="6"/>
      <c r="I16" s="6"/>
      <c r="J16" s="6"/>
      <c r="K16" s="6" t="s">
        <v>388</v>
      </c>
      <c r="L16" s="6"/>
      <c r="M16" s="6"/>
      <c r="N16" s="6"/>
      <c r="O16" s="6"/>
      <c r="P16" s="6" t="s">
        <v>388</v>
      </c>
      <c r="Q16" s="6"/>
      <c r="R16" s="6" t="s">
        <v>388</v>
      </c>
      <c r="S16" s="6"/>
      <c r="T16" s="6"/>
      <c r="U16" s="6"/>
      <c r="V16" s="6"/>
      <c r="W16" s="6" t="s">
        <v>388</v>
      </c>
      <c r="X16" s="6"/>
      <c r="Y16" s="6"/>
      <c r="Z16" s="6"/>
      <c r="AA16" s="6"/>
      <c r="AB16" s="6"/>
      <c r="AC16" s="6"/>
      <c r="AD16" s="6"/>
      <c r="AE16" s="6">
        <v>3</v>
      </c>
      <c r="AF16" s="2" t="s">
        <v>389</v>
      </c>
      <c r="AG16" s="1" t="s">
        <v>1144</v>
      </c>
      <c r="AH16" s="2"/>
      <c r="AI16" s="2" t="s">
        <v>1143</v>
      </c>
      <c r="AJ16" s="21"/>
      <c r="AK16" s="2"/>
    </row>
    <row r="17" spans="1:37" ht="11.25">
      <c r="A17" s="1" t="s">
        <v>1146</v>
      </c>
      <c r="B17" s="28" t="s">
        <v>1147</v>
      </c>
      <c r="C17" s="29" t="s">
        <v>1145</v>
      </c>
      <c r="D17" s="37" t="s">
        <v>739</v>
      </c>
      <c r="E17" s="37"/>
      <c r="F17" s="37"/>
      <c r="G17" s="32">
        <v>1</v>
      </c>
      <c r="H17" s="30"/>
      <c r="I17" s="30"/>
      <c r="J17" s="30"/>
      <c r="K17" s="30"/>
      <c r="L17" s="30"/>
      <c r="M17" s="30" t="s">
        <v>388</v>
      </c>
      <c r="N17" s="30"/>
      <c r="O17" s="30"/>
      <c r="P17" s="30"/>
      <c r="Q17" s="30"/>
      <c r="R17" s="30"/>
      <c r="S17" s="30"/>
      <c r="T17" s="30"/>
      <c r="U17" s="30"/>
      <c r="V17" s="30"/>
      <c r="W17" s="30"/>
      <c r="X17" s="30"/>
      <c r="Y17" s="30"/>
      <c r="Z17" s="30"/>
      <c r="AA17" s="30"/>
      <c r="AB17" s="30"/>
      <c r="AC17" s="31"/>
      <c r="AD17" s="31"/>
      <c r="AE17" s="31" t="s">
        <v>1139</v>
      </c>
      <c r="AF17" s="32" t="s">
        <v>389</v>
      </c>
      <c r="AG17" s="32" t="s">
        <v>1148</v>
      </c>
      <c r="AH17" s="32"/>
      <c r="AI17" s="32"/>
      <c r="AJ17" s="33"/>
      <c r="AK17" s="39"/>
    </row>
    <row r="18" spans="1:37" ht="11.25">
      <c r="A18" s="1" t="s">
        <v>105</v>
      </c>
      <c r="B18" s="102" t="s">
        <v>1153</v>
      </c>
      <c r="C18" s="71" t="s">
        <v>1154</v>
      </c>
      <c r="D18" s="103" t="s">
        <v>739</v>
      </c>
      <c r="E18" s="103"/>
      <c r="F18" s="103"/>
      <c r="G18" s="104" t="s">
        <v>664</v>
      </c>
      <c r="H18" s="105"/>
      <c r="I18" s="105"/>
      <c r="J18" s="105"/>
      <c r="K18" s="105"/>
      <c r="L18" s="105" t="s">
        <v>388</v>
      </c>
      <c r="M18" s="105"/>
      <c r="N18" s="106"/>
      <c r="O18" s="105"/>
      <c r="P18" s="106"/>
      <c r="Q18" s="105"/>
      <c r="R18" s="106"/>
      <c r="S18" s="106"/>
      <c r="T18" s="106" t="s">
        <v>388</v>
      </c>
      <c r="U18" s="106"/>
      <c r="V18" s="106"/>
      <c r="W18" s="106"/>
      <c r="X18" s="106"/>
      <c r="Y18" s="106"/>
      <c r="Z18" s="106"/>
      <c r="AA18" s="106"/>
      <c r="AB18" s="106"/>
      <c r="AC18" s="104"/>
      <c r="AD18" s="107"/>
      <c r="AE18" s="107" t="s">
        <v>648</v>
      </c>
      <c r="AF18" s="108" t="s">
        <v>389</v>
      </c>
      <c r="AG18" s="108" t="s">
        <v>1155</v>
      </c>
      <c r="AH18" s="108"/>
      <c r="AI18" s="108" t="s">
        <v>1156</v>
      </c>
      <c r="AJ18" s="109"/>
      <c r="AK18" s="108"/>
    </row>
    <row r="19" spans="1:37" ht="11.25">
      <c r="A19" s="1" t="s">
        <v>207</v>
      </c>
      <c r="B19" s="110" t="s">
        <v>1157</v>
      </c>
      <c r="C19" s="71" t="s">
        <v>1158</v>
      </c>
      <c r="D19" s="103" t="s">
        <v>739</v>
      </c>
      <c r="E19" s="103"/>
      <c r="F19" s="103"/>
      <c r="G19" s="104" t="s">
        <v>674</v>
      </c>
      <c r="H19" s="105"/>
      <c r="I19" s="105"/>
      <c r="J19" s="105"/>
      <c r="K19" s="105"/>
      <c r="L19" s="105" t="s">
        <v>388</v>
      </c>
      <c r="M19" s="105"/>
      <c r="N19" s="106"/>
      <c r="O19" s="105"/>
      <c r="P19" s="106"/>
      <c r="Q19" s="105"/>
      <c r="R19" s="106"/>
      <c r="S19" s="106"/>
      <c r="T19" s="106" t="s">
        <v>388</v>
      </c>
      <c r="U19" s="106" t="s">
        <v>388</v>
      </c>
      <c r="V19" s="106"/>
      <c r="W19" s="106" t="s">
        <v>388</v>
      </c>
      <c r="X19" s="106"/>
      <c r="Y19" s="106" t="s">
        <v>388</v>
      </c>
      <c r="Z19" s="106" t="s">
        <v>388</v>
      </c>
      <c r="AA19" s="106" t="s">
        <v>388</v>
      </c>
      <c r="AB19" s="106" t="s">
        <v>388</v>
      </c>
      <c r="AC19" s="104" t="s">
        <v>388</v>
      </c>
      <c r="AD19" s="107"/>
      <c r="AE19" s="107" t="s">
        <v>648</v>
      </c>
      <c r="AF19" s="108" t="s">
        <v>389</v>
      </c>
      <c r="AG19" s="108" t="s">
        <v>1159</v>
      </c>
      <c r="AH19" s="108"/>
      <c r="AI19" s="108" t="s">
        <v>1160</v>
      </c>
      <c r="AJ19" s="109"/>
      <c r="AK19" s="108"/>
    </row>
    <row r="20" spans="1:37" ht="11.25">
      <c r="A20" s="1" t="s">
        <v>1161</v>
      </c>
      <c r="B20" s="110" t="s">
        <v>1163</v>
      </c>
      <c r="C20" s="71" t="s">
        <v>1162</v>
      </c>
      <c r="D20" s="37" t="s">
        <v>739</v>
      </c>
      <c r="E20" s="37"/>
      <c r="F20" s="37"/>
      <c r="G20" s="104" t="s">
        <v>674</v>
      </c>
      <c r="H20" s="105"/>
      <c r="I20" s="105"/>
      <c r="J20" s="105"/>
      <c r="K20" s="105" t="s">
        <v>388</v>
      </c>
      <c r="L20" s="105" t="s">
        <v>388</v>
      </c>
      <c r="M20" s="105" t="s">
        <v>388</v>
      </c>
      <c r="N20" s="106"/>
      <c r="O20" s="105"/>
      <c r="P20" s="106"/>
      <c r="Q20" s="105"/>
      <c r="R20" s="106"/>
      <c r="S20" s="106"/>
      <c r="T20" s="106"/>
      <c r="U20" s="106" t="s">
        <v>388</v>
      </c>
      <c r="V20" s="106"/>
      <c r="W20" s="106" t="s">
        <v>388</v>
      </c>
      <c r="X20" s="106"/>
      <c r="Y20" s="106"/>
      <c r="Z20" s="106"/>
      <c r="AA20" s="106"/>
      <c r="AB20" s="106"/>
      <c r="AC20" s="104"/>
      <c r="AD20" s="107"/>
      <c r="AE20" s="107" t="s">
        <v>648</v>
      </c>
      <c r="AF20" s="108" t="s">
        <v>389</v>
      </c>
      <c r="AG20" s="108" t="s">
        <v>1164</v>
      </c>
      <c r="AH20" s="108"/>
      <c r="AI20" s="108" t="s">
        <v>1165</v>
      </c>
      <c r="AJ20" s="109"/>
      <c r="AK20" s="108"/>
    </row>
    <row r="21" spans="1:37" ht="11.25">
      <c r="A21" s="1" t="s">
        <v>1168</v>
      </c>
      <c r="B21" s="110" t="s">
        <v>1167</v>
      </c>
      <c r="C21" s="71" t="s">
        <v>1166</v>
      </c>
      <c r="D21" s="111" t="s">
        <v>739</v>
      </c>
      <c r="E21" s="111"/>
      <c r="F21" s="111"/>
      <c r="G21" s="104" t="s">
        <v>743</v>
      </c>
      <c r="H21" s="105"/>
      <c r="I21" s="105"/>
      <c r="J21" s="105"/>
      <c r="K21" s="105"/>
      <c r="L21" s="105" t="s">
        <v>388</v>
      </c>
      <c r="M21" s="105"/>
      <c r="N21" s="105"/>
      <c r="O21" s="105"/>
      <c r="P21" s="105"/>
      <c r="Q21" s="105"/>
      <c r="R21" s="105"/>
      <c r="S21" s="105"/>
      <c r="T21" s="105"/>
      <c r="U21" s="105"/>
      <c r="V21" s="105"/>
      <c r="W21" s="105"/>
      <c r="X21" s="105"/>
      <c r="Y21" s="105"/>
      <c r="Z21" s="105"/>
      <c r="AA21" s="105"/>
      <c r="AB21" s="105"/>
      <c r="AC21" s="104"/>
      <c r="AD21" s="104"/>
      <c r="AE21" s="104" t="s">
        <v>1170</v>
      </c>
      <c r="AF21" s="108" t="s">
        <v>389</v>
      </c>
      <c r="AG21" s="108" t="s">
        <v>1169</v>
      </c>
      <c r="AH21" s="108"/>
      <c r="AI21" s="108" t="s">
        <v>1171</v>
      </c>
      <c r="AJ21" s="109"/>
      <c r="AK21" s="108"/>
    </row>
    <row r="22" spans="1:37" ht="11.25">
      <c r="A22" s="1" t="s">
        <v>1172</v>
      </c>
      <c r="B22" s="110" t="s">
        <v>1174</v>
      </c>
      <c r="C22" s="71" t="s">
        <v>1173</v>
      </c>
      <c r="D22" s="37" t="s">
        <v>739</v>
      </c>
      <c r="E22" s="37"/>
      <c r="F22" s="37"/>
      <c r="G22" s="104" t="s">
        <v>664</v>
      </c>
      <c r="H22" s="105"/>
      <c r="I22" s="105"/>
      <c r="J22" s="105"/>
      <c r="K22" s="105" t="s">
        <v>388</v>
      </c>
      <c r="L22" s="105"/>
      <c r="M22" s="105"/>
      <c r="N22" s="106"/>
      <c r="O22" s="105"/>
      <c r="P22" s="106"/>
      <c r="Q22" s="105"/>
      <c r="R22" s="106"/>
      <c r="S22" s="106"/>
      <c r="T22" s="106" t="s">
        <v>388</v>
      </c>
      <c r="U22" s="106"/>
      <c r="V22" s="106"/>
      <c r="W22" s="106" t="s">
        <v>388</v>
      </c>
      <c r="X22" s="106" t="s">
        <v>388</v>
      </c>
      <c r="Y22" s="106" t="s">
        <v>388</v>
      </c>
      <c r="Z22" s="106" t="s">
        <v>388</v>
      </c>
      <c r="AA22" s="106" t="s">
        <v>388</v>
      </c>
      <c r="AB22" s="106" t="s">
        <v>388</v>
      </c>
      <c r="AC22" s="104"/>
      <c r="AD22" s="107"/>
      <c r="AE22" s="107" t="s">
        <v>648</v>
      </c>
      <c r="AF22" s="108" t="s">
        <v>389</v>
      </c>
      <c r="AG22" s="108" t="s">
        <v>1175</v>
      </c>
      <c r="AH22" s="108"/>
      <c r="AI22" s="108" t="s">
        <v>1177</v>
      </c>
      <c r="AJ22" s="108" t="s">
        <v>1176</v>
      </c>
      <c r="AK22" s="108"/>
    </row>
    <row r="23" spans="1:37" ht="11.25">
      <c r="A23" s="1" t="s">
        <v>1178</v>
      </c>
      <c r="B23" s="110" t="s">
        <v>1180</v>
      </c>
      <c r="C23" s="71" t="s">
        <v>1179</v>
      </c>
      <c r="D23" s="37" t="s">
        <v>739</v>
      </c>
      <c r="E23" s="37"/>
      <c r="F23" s="37"/>
      <c r="G23" s="104" t="s">
        <v>674</v>
      </c>
      <c r="H23" s="105"/>
      <c r="I23" s="105"/>
      <c r="J23" s="105"/>
      <c r="K23" s="105" t="s">
        <v>388</v>
      </c>
      <c r="L23" s="105"/>
      <c r="M23" s="105"/>
      <c r="N23" s="106"/>
      <c r="O23" s="105"/>
      <c r="P23" s="106"/>
      <c r="Q23" s="105"/>
      <c r="R23" s="106" t="s">
        <v>388</v>
      </c>
      <c r="S23" s="106" t="s">
        <v>388</v>
      </c>
      <c r="T23" s="106" t="s">
        <v>388</v>
      </c>
      <c r="U23" s="106"/>
      <c r="V23" s="106"/>
      <c r="W23" s="106" t="s">
        <v>388</v>
      </c>
      <c r="X23" s="106"/>
      <c r="Y23" s="106" t="s">
        <v>388</v>
      </c>
      <c r="Z23" s="106" t="s">
        <v>388</v>
      </c>
      <c r="AA23" s="106" t="s">
        <v>388</v>
      </c>
      <c r="AB23" s="106"/>
      <c r="AC23" s="104"/>
      <c r="AD23" s="107"/>
      <c r="AE23" s="107" t="s">
        <v>648</v>
      </c>
      <c r="AF23" s="108" t="s">
        <v>389</v>
      </c>
      <c r="AG23" s="108" t="s">
        <v>1181</v>
      </c>
      <c r="AH23" s="108"/>
      <c r="AI23" s="108" t="s">
        <v>1182</v>
      </c>
      <c r="AJ23" s="109"/>
      <c r="AK23" s="108"/>
    </row>
    <row r="24" spans="1:37" ht="11.25">
      <c r="A24" s="1" t="s">
        <v>1102</v>
      </c>
      <c r="B24" s="102" t="s">
        <v>1184</v>
      </c>
      <c r="C24" s="71" t="s">
        <v>1183</v>
      </c>
      <c r="D24" s="103" t="s">
        <v>739</v>
      </c>
      <c r="E24" s="103"/>
      <c r="F24" s="103"/>
      <c r="G24" s="104" t="s">
        <v>674</v>
      </c>
      <c r="H24" s="105"/>
      <c r="I24" s="105"/>
      <c r="J24" s="105"/>
      <c r="K24" s="105" t="s">
        <v>388</v>
      </c>
      <c r="L24" s="105"/>
      <c r="M24" s="105" t="s">
        <v>388</v>
      </c>
      <c r="N24" s="106"/>
      <c r="O24" s="105" t="s">
        <v>388</v>
      </c>
      <c r="P24" s="106" t="s">
        <v>388</v>
      </c>
      <c r="Q24" s="105"/>
      <c r="R24" s="106"/>
      <c r="S24" s="106"/>
      <c r="T24" s="106"/>
      <c r="U24" s="106" t="s">
        <v>388</v>
      </c>
      <c r="V24" s="106"/>
      <c r="W24" s="106"/>
      <c r="X24" s="106"/>
      <c r="Y24" s="106"/>
      <c r="Z24" s="106" t="s">
        <v>388</v>
      </c>
      <c r="AA24" s="106"/>
      <c r="AB24" s="106"/>
      <c r="AC24" s="104"/>
      <c r="AD24" s="107"/>
      <c r="AE24" s="107" t="s">
        <v>648</v>
      </c>
      <c r="AF24" s="108" t="s">
        <v>389</v>
      </c>
      <c r="AG24" s="108" t="s">
        <v>1185</v>
      </c>
      <c r="AH24" s="108"/>
      <c r="AI24" s="108"/>
      <c r="AJ24" s="109"/>
      <c r="AK24" s="108"/>
    </row>
    <row r="25" spans="1:37" ht="11.25">
      <c r="A25" s="1" t="s">
        <v>1188</v>
      </c>
      <c r="B25" s="110" t="s">
        <v>1189</v>
      </c>
      <c r="C25" s="71" t="s">
        <v>1187</v>
      </c>
      <c r="D25" s="37" t="s">
        <v>739</v>
      </c>
      <c r="E25" s="37"/>
      <c r="F25" s="37"/>
      <c r="G25" s="104" t="s">
        <v>674</v>
      </c>
      <c r="H25" s="105"/>
      <c r="I25" s="105"/>
      <c r="J25" s="105"/>
      <c r="K25" s="105"/>
      <c r="L25" s="105" t="s">
        <v>388</v>
      </c>
      <c r="M25" s="105" t="s">
        <v>388</v>
      </c>
      <c r="N25" s="106"/>
      <c r="O25" s="105"/>
      <c r="P25" s="106"/>
      <c r="Q25" s="105"/>
      <c r="R25" s="106"/>
      <c r="S25" s="106"/>
      <c r="T25" s="106" t="s">
        <v>388</v>
      </c>
      <c r="U25" s="106" t="s">
        <v>388</v>
      </c>
      <c r="V25" s="106"/>
      <c r="W25" s="106"/>
      <c r="X25" s="106"/>
      <c r="Y25" s="106"/>
      <c r="Z25" s="106"/>
      <c r="AA25" s="106"/>
      <c r="AB25" s="106"/>
      <c r="AC25" s="104"/>
      <c r="AD25" s="107"/>
      <c r="AE25" s="107" t="s">
        <v>648</v>
      </c>
      <c r="AF25" s="108" t="s">
        <v>389</v>
      </c>
      <c r="AG25" s="108" t="s">
        <v>1190</v>
      </c>
      <c r="AH25" s="108"/>
      <c r="AI25" s="108" t="s">
        <v>1191</v>
      </c>
      <c r="AJ25" s="109"/>
      <c r="AK25" s="108"/>
    </row>
    <row r="26" spans="1:37" ht="11.25">
      <c r="A26" s="1" t="s">
        <v>1193</v>
      </c>
      <c r="B26" s="110" t="s">
        <v>1192</v>
      </c>
      <c r="C26" s="71" t="s">
        <v>947</v>
      </c>
      <c r="D26" s="111" t="s">
        <v>739</v>
      </c>
      <c r="E26" s="111"/>
      <c r="F26" s="111"/>
      <c r="G26" s="104" t="s">
        <v>664</v>
      </c>
      <c r="H26" s="105"/>
      <c r="I26" s="105"/>
      <c r="J26" s="105"/>
      <c r="K26" s="105"/>
      <c r="L26" s="105" t="s">
        <v>388</v>
      </c>
      <c r="M26" s="105" t="s">
        <v>388</v>
      </c>
      <c r="N26" s="105"/>
      <c r="O26" s="105"/>
      <c r="P26" s="105"/>
      <c r="Q26" s="105"/>
      <c r="R26" s="105"/>
      <c r="S26" s="105"/>
      <c r="T26" s="105" t="s">
        <v>388</v>
      </c>
      <c r="U26" s="105" t="s">
        <v>388</v>
      </c>
      <c r="V26" s="105"/>
      <c r="W26" s="105"/>
      <c r="X26" s="105"/>
      <c r="Y26" s="105"/>
      <c r="Z26" s="105" t="s">
        <v>388</v>
      </c>
      <c r="AA26" s="105"/>
      <c r="AB26" s="105"/>
      <c r="AC26" s="104"/>
      <c r="AD26" s="104"/>
      <c r="AE26" s="104" t="s">
        <v>648</v>
      </c>
      <c r="AF26" s="108" t="s">
        <v>389</v>
      </c>
      <c r="AG26" s="108" t="s">
        <v>1194</v>
      </c>
      <c r="AH26" s="108"/>
      <c r="AI26" s="108" t="s">
        <v>1195</v>
      </c>
      <c r="AJ26" s="109"/>
      <c r="AK26" s="108"/>
    </row>
    <row r="27" spans="1:37" ht="11.25">
      <c r="A27" s="1" t="s">
        <v>1197</v>
      </c>
      <c r="B27" s="102" t="s">
        <v>1196</v>
      </c>
      <c r="C27" s="71" t="s">
        <v>1198</v>
      </c>
      <c r="D27" s="37" t="s">
        <v>739</v>
      </c>
      <c r="E27" s="37"/>
      <c r="F27" s="37"/>
      <c r="G27" s="104" t="s">
        <v>664</v>
      </c>
      <c r="H27" s="105"/>
      <c r="I27" s="105"/>
      <c r="J27" s="105"/>
      <c r="K27" s="105" t="s">
        <v>388</v>
      </c>
      <c r="L27" s="105"/>
      <c r="M27" s="105"/>
      <c r="N27" s="106"/>
      <c r="O27" s="105"/>
      <c r="P27" s="106"/>
      <c r="Q27" s="105"/>
      <c r="R27" s="106"/>
      <c r="S27" s="106"/>
      <c r="T27" s="106" t="s">
        <v>388</v>
      </c>
      <c r="U27" s="106"/>
      <c r="V27" s="106"/>
      <c r="W27" s="106"/>
      <c r="X27" s="106"/>
      <c r="Y27" s="106"/>
      <c r="Z27" s="106"/>
      <c r="AA27" s="106"/>
      <c r="AB27" s="106"/>
      <c r="AC27" s="104"/>
      <c r="AD27" s="107"/>
      <c r="AE27" s="107" t="s">
        <v>648</v>
      </c>
      <c r="AF27" s="108" t="s">
        <v>389</v>
      </c>
      <c r="AG27" s="108" t="s">
        <v>1199</v>
      </c>
      <c r="AH27" s="108"/>
      <c r="AI27" s="108" t="s">
        <v>1200</v>
      </c>
      <c r="AJ27" s="109"/>
      <c r="AK27" s="108"/>
    </row>
  </sheetData>
  <mergeCells count="2">
    <mergeCell ref="H1:W1"/>
    <mergeCell ref="X1:AB1"/>
  </mergeCells>
  <hyperlinks>
    <hyperlink ref="B18" r:id="rId1" display="http://www.yale.edu/ycpo/ycps/E-L/envstFM.html"/>
    <hyperlink ref="B27" r:id="rId2" display="http://www.yale.edu/ycpo/ycps/E-L/envstFM.html"/>
  </hyperlinks>
  <pageMargins left="0.25" right="0.25" top="0.25" bottom="0.25" header="0.3" footer="0.3"/>
  <pageSetup paperSize="5" scale="42" fitToHeight="6" orientation="landscape" r:id="rId3"/>
  <legacyDrawing r:id="rId4"/>
  <tableParts count="1">
    <tablePart r:id="rId5"/>
  </tableParts>
</worksheet>
</file>

<file path=xl/worksheets/sheet9.xml><?xml version="1.0" encoding="utf-8"?>
<worksheet xmlns="http://schemas.openxmlformats.org/spreadsheetml/2006/main" xmlns:r="http://schemas.openxmlformats.org/officeDocument/2006/relationships">
  <sheetPr>
    <pageSetUpPr fitToPage="1"/>
  </sheetPr>
  <dimension ref="A1:AK27"/>
  <sheetViews>
    <sheetView zoomScale="120" zoomScaleNormal="120" workbookViewId="0">
      <pane xSplit="3" ySplit="2" topLeftCell="AA6"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6.85546875" style="1" customWidth="1"/>
    <col min="5" max="6" width="4.7109375" style="1" customWidth="1"/>
    <col min="7" max="7" width="10.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1.25">
      <c r="A3" s="1" t="s">
        <v>1266</v>
      </c>
      <c r="B3" s="16" t="s">
        <v>1267</v>
      </c>
      <c r="C3" s="1" t="s">
        <v>1265</v>
      </c>
      <c r="D3" s="4" t="s">
        <v>1306</v>
      </c>
      <c r="E3" s="4"/>
      <c r="F3" s="4"/>
      <c r="G3" s="112">
        <v>1</v>
      </c>
      <c r="T3" s="5" t="s">
        <v>388</v>
      </c>
      <c r="AA3" s="5" t="s">
        <v>388</v>
      </c>
      <c r="AB3" s="5"/>
      <c r="AC3" s="8"/>
      <c r="AD3" s="8" t="s">
        <v>388</v>
      </c>
      <c r="AE3" s="8" t="s">
        <v>648</v>
      </c>
      <c r="AF3" s="1" t="s">
        <v>394</v>
      </c>
      <c r="AG3" s="1" t="s">
        <v>1268</v>
      </c>
      <c r="AI3" s="1" t="s">
        <v>1270</v>
      </c>
      <c r="AJ3" s="20" t="s">
        <v>1269</v>
      </c>
      <c r="AK3" s="2"/>
    </row>
    <row r="4" spans="1:37" ht="11.25">
      <c r="A4" s="1" t="s">
        <v>1273</v>
      </c>
      <c r="B4" s="17" t="s">
        <v>1274</v>
      </c>
      <c r="C4" s="1" t="s">
        <v>1272</v>
      </c>
      <c r="D4" s="4" t="s">
        <v>1306</v>
      </c>
      <c r="E4" s="4"/>
      <c r="F4" s="4"/>
      <c r="G4" s="112">
        <v>0</v>
      </c>
      <c r="T4" s="5" t="s">
        <v>388</v>
      </c>
      <c r="AA4" s="5" t="s">
        <v>388</v>
      </c>
      <c r="AB4" s="5"/>
      <c r="AC4" s="8"/>
      <c r="AD4" s="8"/>
      <c r="AE4" s="8" t="s">
        <v>648</v>
      </c>
      <c r="AF4" s="1" t="s">
        <v>394</v>
      </c>
      <c r="AG4" s="1" t="s">
        <v>1271</v>
      </c>
      <c r="AI4" s="1" t="s">
        <v>1281</v>
      </c>
      <c r="AJ4" s="20"/>
      <c r="AK4" s="2"/>
    </row>
    <row r="5" spans="1:37" ht="11.25">
      <c r="A5" s="1" t="s">
        <v>1277</v>
      </c>
      <c r="B5" s="17" t="s">
        <v>1276</v>
      </c>
      <c r="C5" s="1" t="s">
        <v>1275</v>
      </c>
      <c r="D5" s="4" t="s">
        <v>1306</v>
      </c>
      <c r="E5" s="4"/>
      <c r="F5" s="4"/>
      <c r="G5" s="112">
        <v>0</v>
      </c>
      <c r="T5" s="5" t="s">
        <v>388</v>
      </c>
      <c r="AA5" s="5" t="s">
        <v>388</v>
      </c>
      <c r="AB5" s="5"/>
      <c r="AC5" s="8"/>
      <c r="AD5" s="8" t="s">
        <v>388</v>
      </c>
      <c r="AE5" s="8" t="s">
        <v>648</v>
      </c>
      <c r="AF5" s="1" t="s">
        <v>394</v>
      </c>
      <c r="AG5" s="1" t="s">
        <v>1278</v>
      </c>
      <c r="AI5" s="1" t="s">
        <v>1280</v>
      </c>
      <c r="AJ5" s="20" t="s">
        <v>1279</v>
      </c>
      <c r="AK5" s="2"/>
    </row>
    <row r="6" spans="1:37" ht="11.25">
      <c r="A6" s="1" t="s">
        <v>1284</v>
      </c>
      <c r="B6" s="17" t="s">
        <v>1283</v>
      </c>
      <c r="C6" s="3" t="s">
        <v>1282</v>
      </c>
      <c r="D6" s="13" t="s">
        <v>387</v>
      </c>
      <c r="E6" s="13"/>
      <c r="F6" s="13"/>
      <c r="G6" s="112">
        <v>0</v>
      </c>
      <c r="T6" s="5" t="s">
        <v>388</v>
      </c>
      <c r="AA6" s="5" t="s">
        <v>388</v>
      </c>
      <c r="AB6" s="5"/>
      <c r="AC6" s="8"/>
      <c r="AD6" s="8"/>
      <c r="AE6" s="8" t="s">
        <v>648</v>
      </c>
      <c r="AF6" s="1" t="s">
        <v>394</v>
      </c>
      <c r="AG6" s="1" t="s">
        <v>1285</v>
      </c>
      <c r="AI6" s="20" t="s">
        <v>1286</v>
      </c>
      <c r="AJ6" s="20"/>
      <c r="AK6" s="2"/>
    </row>
    <row r="7" spans="1:37" ht="11.25">
      <c r="A7" s="1" t="s">
        <v>1288</v>
      </c>
      <c r="B7" s="16" t="s">
        <v>1289</v>
      </c>
      <c r="C7" s="1" t="s">
        <v>1287</v>
      </c>
      <c r="D7" s="4" t="s">
        <v>387</v>
      </c>
      <c r="E7" s="4"/>
      <c r="F7" s="4"/>
      <c r="G7" s="112">
        <v>0</v>
      </c>
      <c r="T7" s="5" t="s">
        <v>388</v>
      </c>
      <c r="AA7" s="5" t="s">
        <v>388</v>
      </c>
      <c r="AB7" s="5"/>
      <c r="AC7" s="8"/>
      <c r="AD7" s="8"/>
      <c r="AE7" s="8" t="s">
        <v>648</v>
      </c>
      <c r="AF7" s="1" t="s">
        <v>394</v>
      </c>
      <c r="AG7" s="1" t="s">
        <v>1290</v>
      </c>
      <c r="AI7" s="20"/>
      <c r="AJ7" s="75"/>
      <c r="AK7" s="2"/>
    </row>
    <row r="8" spans="1:37" ht="11.25">
      <c r="A8" s="1" t="s">
        <v>1293</v>
      </c>
      <c r="B8" s="19" t="s">
        <v>1292</v>
      </c>
      <c r="C8" s="14" t="s">
        <v>1291</v>
      </c>
      <c r="D8" s="36" t="s">
        <v>387</v>
      </c>
      <c r="E8" s="36"/>
      <c r="F8" s="36"/>
      <c r="G8" s="112">
        <v>2</v>
      </c>
      <c r="T8" s="5" t="s">
        <v>388</v>
      </c>
      <c r="AA8" s="5" t="s">
        <v>388</v>
      </c>
      <c r="AB8" s="5"/>
      <c r="AC8" s="8" t="s">
        <v>388</v>
      </c>
      <c r="AD8" s="8"/>
      <c r="AE8" s="8" t="s">
        <v>648</v>
      </c>
      <c r="AF8" s="1" t="s">
        <v>394</v>
      </c>
      <c r="AG8" s="1" t="s">
        <v>1294</v>
      </c>
      <c r="AI8" s="1"/>
      <c r="AJ8" s="22"/>
      <c r="AK8" s="2"/>
    </row>
    <row r="9" spans="1:37" ht="11.25">
      <c r="A9" s="1" t="s">
        <v>1300</v>
      </c>
      <c r="B9" s="17" t="s">
        <v>1296</v>
      </c>
      <c r="C9" s="1" t="s">
        <v>1298</v>
      </c>
      <c r="D9" s="4" t="s">
        <v>1299</v>
      </c>
      <c r="E9" s="4"/>
      <c r="F9" s="4"/>
      <c r="G9" s="112">
        <v>1</v>
      </c>
      <c r="T9" s="5" t="s">
        <v>388</v>
      </c>
      <c r="Y9" s="5" t="s">
        <v>388</v>
      </c>
      <c r="AA9" s="5" t="s">
        <v>388</v>
      </c>
      <c r="AB9" s="5"/>
      <c r="AC9" s="8"/>
      <c r="AD9" s="8"/>
      <c r="AE9" s="8" t="s">
        <v>648</v>
      </c>
      <c r="AF9" s="1" t="s">
        <v>394</v>
      </c>
      <c r="AG9" s="1" t="s">
        <v>1295</v>
      </c>
      <c r="AI9" s="1" t="s">
        <v>1297</v>
      </c>
      <c r="AJ9" s="20"/>
      <c r="AK9" s="2"/>
    </row>
    <row r="10" spans="1:37" ht="11.25">
      <c r="A10" s="1" t="s">
        <v>1303</v>
      </c>
      <c r="B10" s="17" t="s">
        <v>1302</v>
      </c>
      <c r="C10" s="1" t="s">
        <v>1301</v>
      </c>
      <c r="D10" s="4" t="s">
        <v>1306</v>
      </c>
      <c r="E10" s="4"/>
      <c r="F10" s="4"/>
      <c r="G10" s="112">
        <v>1</v>
      </c>
      <c r="L10" s="5" t="s">
        <v>388</v>
      </c>
      <c r="M10" s="5" t="s">
        <v>388</v>
      </c>
      <c r="U10" s="5" t="s">
        <v>388</v>
      </c>
      <c r="AB10" s="5"/>
      <c r="AC10" s="8"/>
      <c r="AD10" s="8"/>
      <c r="AE10" s="8" t="s">
        <v>648</v>
      </c>
      <c r="AF10" s="1" t="s">
        <v>394</v>
      </c>
      <c r="AG10" s="1" t="s">
        <v>1304</v>
      </c>
      <c r="AI10" s="1" t="s">
        <v>1305</v>
      </c>
      <c r="AJ10" s="20"/>
      <c r="AK10" s="2"/>
    </row>
    <row r="11" spans="1:37" ht="11.25">
      <c r="A11" s="1" t="s">
        <v>1309</v>
      </c>
      <c r="B11" s="17" t="s">
        <v>1307</v>
      </c>
      <c r="C11" s="1" t="s">
        <v>1308</v>
      </c>
      <c r="D11" s="4" t="s">
        <v>739</v>
      </c>
      <c r="E11" s="4"/>
      <c r="F11" s="4"/>
      <c r="G11" s="112">
        <v>1</v>
      </c>
      <c r="T11" s="5" t="s">
        <v>388</v>
      </c>
      <c r="Y11" s="5" t="s">
        <v>388</v>
      </c>
      <c r="AA11" s="5" t="s">
        <v>388</v>
      </c>
      <c r="AB11" s="5" t="s">
        <v>388</v>
      </c>
      <c r="AC11" s="8"/>
      <c r="AD11" s="8" t="s">
        <v>388</v>
      </c>
      <c r="AE11" s="8" t="s">
        <v>648</v>
      </c>
      <c r="AF11" s="1" t="s">
        <v>394</v>
      </c>
      <c r="AG11" s="1" t="s">
        <v>1310</v>
      </c>
      <c r="AI11" s="1" t="s">
        <v>1312</v>
      </c>
      <c r="AJ11" s="20" t="s">
        <v>1311</v>
      </c>
      <c r="AK11" s="2"/>
    </row>
    <row r="12" spans="1:37" ht="11.25">
      <c r="A12" s="1" t="s">
        <v>1314</v>
      </c>
      <c r="B12" s="46"/>
      <c r="C12" s="3" t="s">
        <v>1313</v>
      </c>
      <c r="D12" s="13" t="s">
        <v>739</v>
      </c>
      <c r="E12" s="13"/>
      <c r="F12" s="13"/>
      <c r="G12" s="112">
        <v>1</v>
      </c>
      <c r="O12" s="5" t="s">
        <v>388</v>
      </c>
      <c r="R12" s="5" t="s">
        <v>388</v>
      </c>
      <c r="T12" s="5" t="s">
        <v>388</v>
      </c>
      <c r="V12" s="5" t="s">
        <v>388</v>
      </c>
      <c r="AB12" s="5"/>
      <c r="AC12" s="8"/>
      <c r="AD12" s="8" t="s">
        <v>388</v>
      </c>
      <c r="AE12" s="8" t="s">
        <v>648</v>
      </c>
      <c r="AF12" s="1" t="s">
        <v>394</v>
      </c>
      <c r="AG12" s="1" t="s">
        <v>1315</v>
      </c>
      <c r="AI12" s="1"/>
      <c r="AJ12" s="20" t="s">
        <v>1311</v>
      </c>
      <c r="AK12" s="2"/>
    </row>
    <row r="13" spans="1:37" ht="11.25">
      <c r="A13" s="1" t="s">
        <v>1318</v>
      </c>
      <c r="B13" s="17" t="s">
        <v>1317</v>
      </c>
      <c r="C13" s="1" t="s">
        <v>1316</v>
      </c>
      <c r="D13" s="4" t="s">
        <v>1306</v>
      </c>
      <c r="E13" s="4"/>
      <c r="F13" s="4"/>
      <c r="G13" s="112">
        <v>2</v>
      </c>
      <c r="K13" s="5" t="s">
        <v>388</v>
      </c>
      <c r="T13" s="5" t="s">
        <v>388</v>
      </c>
      <c r="U13" s="5" t="s">
        <v>388</v>
      </c>
      <c r="AA13" s="5" t="s">
        <v>388</v>
      </c>
      <c r="AB13" s="5" t="s">
        <v>388</v>
      </c>
      <c r="AC13" s="8"/>
      <c r="AD13" s="8"/>
      <c r="AE13" s="8" t="s">
        <v>648</v>
      </c>
      <c r="AF13" s="1" t="s">
        <v>389</v>
      </c>
      <c r="AG13" s="1" t="s">
        <v>1319</v>
      </c>
      <c r="AI13" s="1" t="s">
        <v>1320</v>
      </c>
      <c r="AJ13" s="20"/>
      <c r="AK13" s="2"/>
    </row>
    <row r="14" spans="1:37" ht="11.25">
      <c r="A14" s="1" t="s">
        <v>1323</v>
      </c>
      <c r="B14" s="17" t="s">
        <v>1322</v>
      </c>
      <c r="C14" s="1" t="s">
        <v>1321</v>
      </c>
      <c r="D14" s="4" t="s">
        <v>1306</v>
      </c>
      <c r="E14" s="4"/>
      <c r="F14" s="4"/>
      <c r="G14" s="112">
        <v>1</v>
      </c>
      <c r="T14" s="5" t="s">
        <v>388</v>
      </c>
      <c r="AA14" s="5" t="s">
        <v>388</v>
      </c>
      <c r="AB14" s="5"/>
      <c r="AC14" s="8"/>
      <c r="AD14" s="8"/>
      <c r="AE14" s="8" t="s">
        <v>648</v>
      </c>
      <c r="AF14" s="1" t="s">
        <v>389</v>
      </c>
      <c r="AG14" s="1" t="s">
        <v>1324</v>
      </c>
      <c r="AI14" s="1" t="s">
        <v>1325</v>
      </c>
      <c r="AJ14" s="20"/>
      <c r="AK14" s="2"/>
    </row>
    <row r="15" spans="1:37" ht="11.25">
      <c r="A15" s="1" t="s">
        <v>1328</v>
      </c>
      <c r="B15" s="17" t="s">
        <v>1327</v>
      </c>
      <c r="C15" s="3" t="s">
        <v>1326</v>
      </c>
      <c r="D15" s="13" t="s">
        <v>1306</v>
      </c>
      <c r="E15" s="13"/>
      <c r="F15" s="13"/>
      <c r="G15" s="1">
        <v>1</v>
      </c>
      <c r="T15" s="5" t="s">
        <v>388</v>
      </c>
      <c r="AA15" s="5" t="s">
        <v>388</v>
      </c>
      <c r="AB15" s="5"/>
      <c r="AC15" s="8"/>
      <c r="AD15" s="8"/>
      <c r="AE15" s="8" t="s">
        <v>648</v>
      </c>
      <c r="AF15" s="1" t="s">
        <v>389</v>
      </c>
      <c r="AG15" s="1" t="s">
        <v>1330</v>
      </c>
      <c r="AI15" s="1" t="s">
        <v>1329</v>
      </c>
      <c r="AJ15" s="2"/>
      <c r="AK15" s="74"/>
    </row>
    <row r="16" spans="1:37" ht="11.25">
      <c r="A16" s="1" t="s">
        <v>1334</v>
      </c>
      <c r="B16" s="17" t="s">
        <v>1332</v>
      </c>
      <c r="C16" s="2" t="s">
        <v>1331</v>
      </c>
      <c r="D16" s="34" t="s">
        <v>1306</v>
      </c>
      <c r="E16" s="34"/>
      <c r="F16" s="34"/>
      <c r="G16" s="1">
        <v>1</v>
      </c>
      <c r="H16" s="6"/>
      <c r="I16" s="6"/>
      <c r="J16" s="6"/>
      <c r="K16" s="6"/>
      <c r="L16" s="6"/>
      <c r="M16" s="6"/>
      <c r="N16" s="6"/>
      <c r="O16" s="6"/>
      <c r="P16" s="6"/>
      <c r="Q16" s="6"/>
      <c r="R16" s="6"/>
      <c r="S16" s="6"/>
      <c r="T16" s="6" t="s">
        <v>388</v>
      </c>
      <c r="U16" s="6"/>
      <c r="V16" s="6"/>
      <c r="W16" s="6"/>
      <c r="X16" s="6"/>
      <c r="Y16" s="6"/>
      <c r="Z16" s="6"/>
      <c r="AA16" s="6" t="s">
        <v>388</v>
      </c>
      <c r="AB16" s="6"/>
      <c r="AC16" s="6"/>
      <c r="AD16" s="6"/>
      <c r="AE16" s="6">
        <v>3</v>
      </c>
      <c r="AF16" s="2" t="s">
        <v>389</v>
      </c>
      <c r="AG16" s="1" t="s">
        <v>1335</v>
      </c>
      <c r="AH16" s="2"/>
      <c r="AI16" s="2" t="s">
        <v>1333</v>
      </c>
      <c r="AJ16" s="21" t="s">
        <v>1336</v>
      </c>
      <c r="AK16" s="2"/>
    </row>
    <row r="17" spans="1:37" ht="11.25">
      <c r="A17" s="1" t="s">
        <v>1172</v>
      </c>
      <c r="B17" s="28" t="s">
        <v>1337</v>
      </c>
      <c r="C17" s="29" t="s">
        <v>1173</v>
      </c>
      <c r="D17" s="37" t="s">
        <v>1306</v>
      </c>
      <c r="E17" s="37"/>
      <c r="F17" s="37"/>
      <c r="G17" s="32">
        <v>2</v>
      </c>
      <c r="H17" s="30"/>
      <c r="I17" s="30"/>
      <c r="J17" s="30"/>
      <c r="K17" s="30" t="s">
        <v>388</v>
      </c>
      <c r="L17" s="30"/>
      <c r="M17" s="30"/>
      <c r="N17" s="30"/>
      <c r="O17" s="30"/>
      <c r="P17" s="30"/>
      <c r="Q17" s="30"/>
      <c r="R17" s="30"/>
      <c r="S17" s="30"/>
      <c r="T17" s="30" t="s">
        <v>388</v>
      </c>
      <c r="U17" s="30"/>
      <c r="V17" s="30" t="s">
        <v>388</v>
      </c>
      <c r="W17" s="30" t="s">
        <v>388</v>
      </c>
      <c r="X17" s="30"/>
      <c r="Y17" s="30" t="s">
        <v>388</v>
      </c>
      <c r="Z17" s="30" t="s">
        <v>388</v>
      </c>
      <c r="AA17" s="30" t="s">
        <v>388</v>
      </c>
      <c r="AB17" s="30"/>
      <c r="AC17" s="31"/>
      <c r="AD17" s="31" t="s">
        <v>388</v>
      </c>
      <c r="AE17" s="31" t="s">
        <v>648</v>
      </c>
      <c r="AF17" s="32" t="s">
        <v>389</v>
      </c>
      <c r="AG17" s="32" t="s">
        <v>1175</v>
      </c>
      <c r="AH17" s="32"/>
      <c r="AI17" s="32" t="s">
        <v>1339</v>
      </c>
      <c r="AJ17" s="33" t="s">
        <v>1338</v>
      </c>
      <c r="AK17" s="39"/>
    </row>
    <row r="18" spans="1:37" ht="11.25">
      <c r="A18" s="1" t="s">
        <v>1342</v>
      </c>
      <c r="B18" s="113" t="s">
        <v>1341</v>
      </c>
      <c r="C18" s="71" t="s">
        <v>1340</v>
      </c>
      <c r="D18" s="103" t="s">
        <v>387</v>
      </c>
      <c r="E18" s="103"/>
      <c r="F18" s="103"/>
      <c r="G18" s="114" t="s">
        <v>1264</v>
      </c>
      <c r="H18" s="105"/>
      <c r="I18" s="105"/>
      <c r="J18" s="105"/>
      <c r="K18" s="105"/>
      <c r="L18" s="105"/>
      <c r="M18" s="105"/>
      <c r="N18" s="106"/>
      <c r="O18" s="105"/>
      <c r="P18" s="106"/>
      <c r="Q18" s="105"/>
      <c r="R18" s="106"/>
      <c r="S18" s="106"/>
      <c r="T18" s="30" t="s">
        <v>388</v>
      </c>
      <c r="U18" s="106"/>
      <c r="V18" s="106"/>
      <c r="W18" s="106"/>
      <c r="X18" s="106"/>
      <c r="Y18" s="106"/>
      <c r="Z18" s="30" t="s">
        <v>388</v>
      </c>
      <c r="AA18" s="30" t="s">
        <v>388</v>
      </c>
      <c r="AB18" s="106"/>
      <c r="AC18" s="104"/>
      <c r="AD18" s="107"/>
      <c r="AE18" s="31" t="s">
        <v>664</v>
      </c>
      <c r="AF18" s="39" t="s">
        <v>389</v>
      </c>
      <c r="AG18" s="108" t="s">
        <v>1343</v>
      </c>
      <c r="AH18" s="108"/>
      <c r="AI18" s="108"/>
      <c r="AJ18" s="109"/>
      <c r="AK18" s="108"/>
    </row>
    <row r="19" spans="1:37" ht="11.25">
      <c r="A19" s="1" t="s">
        <v>1266</v>
      </c>
      <c r="B19" s="110" t="s">
        <v>1267</v>
      </c>
      <c r="C19" s="86" t="s">
        <v>1265</v>
      </c>
      <c r="D19" s="103" t="s">
        <v>1306</v>
      </c>
      <c r="E19" s="103"/>
      <c r="F19" s="103"/>
      <c r="G19" s="114" t="s">
        <v>664</v>
      </c>
      <c r="H19" s="105"/>
      <c r="I19" s="105"/>
      <c r="J19" s="105"/>
      <c r="K19" s="105"/>
      <c r="L19" s="105"/>
      <c r="M19" s="105"/>
      <c r="N19" s="106"/>
      <c r="O19" s="105"/>
      <c r="P19" s="106"/>
      <c r="Q19" s="105"/>
      <c r="R19" s="106"/>
      <c r="S19" s="106"/>
      <c r="T19" s="30" t="s">
        <v>388</v>
      </c>
      <c r="U19" s="106"/>
      <c r="V19" s="106"/>
      <c r="W19" s="106"/>
      <c r="X19" s="106"/>
      <c r="Y19" s="106"/>
      <c r="Z19" s="106"/>
      <c r="AA19" s="30" t="s">
        <v>388</v>
      </c>
      <c r="AB19" s="106"/>
      <c r="AC19" s="104"/>
      <c r="AD19" s="107"/>
      <c r="AE19" s="31" t="s">
        <v>648</v>
      </c>
      <c r="AF19" s="39" t="s">
        <v>394</v>
      </c>
      <c r="AG19" s="108" t="s">
        <v>1268</v>
      </c>
      <c r="AH19" s="108"/>
      <c r="AI19" s="108" t="s">
        <v>1270</v>
      </c>
      <c r="AJ19" s="109"/>
      <c r="AK19" s="108"/>
    </row>
    <row r="20" spans="1:37" ht="11.25">
      <c r="A20" s="1" t="s">
        <v>1345</v>
      </c>
      <c r="B20" s="110" t="s">
        <v>1346</v>
      </c>
      <c r="C20" s="86" t="s">
        <v>1344</v>
      </c>
      <c r="D20" s="37" t="s">
        <v>1306</v>
      </c>
      <c r="E20" s="37"/>
      <c r="F20" s="37"/>
      <c r="G20" s="114" t="s">
        <v>664</v>
      </c>
      <c r="H20" s="105"/>
      <c r="I20" s="105"/>
      <c r="J20" s="105"/>
      <c r="K20" s="105"/>
      <c r="L20" s="105"/>
      <c r="M20" s="105"/>
      <c r="N20" s="106"/>
      <c r="O20" s="105"/>
      <c r="P20" s="106"/>
      <c r="Q20" s="105"/>
      <c r="R20" s="106"/>
      <c r="S20" s="106"/>
      <c r="T20" s="30" t="s">
        <v>388</v>
      </c>
      <c r="U20" s="106"/>
      <c r="V20" s="106"/>
      <c r="W20" s="106"/>
      <c r="X20" s="106"/>
      <c r="Y20" s="30" t="s">
        <v>388</v>
      </c>
      <c r="Z20" s="106"/>
      <c r="AA20" s="30" t="s">
        <v>388</v>
      </c>
      <c r="AB20" s="106"/>
      <c r="AC20" s="114" t="s">
        <v>388</v>
      </c>
      <c r="AD20" s="107"/>
      <c r="AE20" s="31" t="s">
        <v>664</v>
      </c>
      <c r="AF20" s="39" t="s">
        <v>389</v>
      </c>
      <c r="AG20" s="108" t="s">
        <v>1348</v>
      </c>
      <c r="AH20" s="108"/>
      <c r="AI20" s="108" t="s">
        <v>1347</v>
      </c>
      <c r="AJ20" s="109" t="s">
        <v>1349</v>
      </c>
      <c r="AK20" s="108"/>
    </row>
    <row r="21" spans="1:37" ht="11.25">
      <c r="A21" s="1" t="s">
        <v>1352</v>
      </c>
      <c r="B21" s="110" t="s">
        <v>1351</v>
      </c>
      <c r="C21" s="71" t="s">
        <v>1350</v>
      </c>
      <c r="D21" s="111" t="s">
        <v>1306</v>
      </c>
      <c r="E21" s="111"/>
      <c r="F21" s="111"/>
      <c r="G21" s="114" t="s">
        <v>664</v>
      </c>
      <c r="H21" s="105"/>
      <c r="I21" s="105"/>
      <c r="J21" s="105"/>
      <c r="K21" s="105"/>
      <c r="L21" s="105"/>
      <c r="M21" s="105"/>
      <c r="N21" s="105"/>
      <c r="O21" s="105"/>
      <c r="P21" s="105"/>
      <c r="Q21" s="105"/>
      <c r="R21" s="105"/>
      <c r="S21" s="105"/>
      <c r="T21" s="115" t="s">
        <v>388</v>
      </c>
      <c r="U21" s="105"/>
      <c r="V21" s="105"/>
      <c r="W21" s="105"/>
      <c r="X21" s="105"/>
      <c r="Y21" s="115" t="s">
        <v>388</v>
      </c>
      <c r="Z21" s="105"/>
      <c r="AA21" s="115" t="s">
        <v>388</v>
      </c>
      <c r="AB21" s="115" t="s">
        <v>388</v>
      </c>
      <c r="AC21" s="104"/>
      <c r="AD21" s="104"/>
      <c r="AE21" s="114" t="s">
        <v>648</v>
      </c>
      <c r="AF21" s="39" t="s">
        <v>389</v>
      </c>
      <c r="AG21" s="108" t="s">
        <v>1353</v>
      </c>
      <c r="AH21" s="108"/>
      <c r="AI21" s="108" t="s">
        <v>1355</v>
      </c>
      <c r="AJ21" s="109" t="s">
        <v>1354</v>
      </c>
      <c r="AK21" s="108"/>
    </row>
    <row r="22" spans="1:37" ht="11.25">
      <c r="A22" s="1" t="s">
        <v>1357</v>
      </c>
      <c r="B22" s="110" t="s">
        <v>1358</v>
      </c>
      <c r="C22" s="71" t="s">
        <v>1356</v>
      </c>
      <c r="D22" s="37" t="s">
        <v>1306</v>
      </c>
      <c r="E22" s="37"/>
      <c r="F22" s="37"/>
      <c r="G22" s="114" t="s">
        <v>664</v>
      </c>
      <c r="H22" s="105"/>
      <c r="I22" s="105"/>
      <c r="J22" s="105"/>
      <c r="K22" s="105"/>
      <c r="L22" s="105"/>
      <c r="M22" s="105"/>
      <c r="N22" s="106"/>
      <c r="O22" s="105"/>
      <c r="P22" s="106"/>
      <c r="Q22" s="105"/>
      <c r="R22" s="106"/>
      <c r="S22" s="106"/>
      <c r="T22" s="30" t="s">
        <v>388</v>
      </c>
      <c r="U22" s="106"/>
      <c r="V22" s="106"/>
      <c r="W22" s="106"/>
      <c r="X22" s="106"/>
      <c r="Y22" s="30" t="s">
        <v>388</v>
      </c>
      <c r="Z22" s="106"/>
      <c r="AA22" s="30" t="s">
        <v>388</v>
      </c>
      <c r="AB22" s="30" t="s">
        <v>388</v>
      </c>
      <c r="AC22" s="104"/>
      <c r="AD22" s="31" t="s">
        <v>388</v>
      </c>
      <c r="AE22" s="31" t="s">
        <v>648</v>
      </c>
      <c r="AF22" s="39" t="s">
        <v>389</v>
      </c>
      <c r="AG22" s="108" t="s">
        <v>1359</v>
      </c>
      <c r="AH22" s="108"/>
      <c r="AI22" s="2" t="s">
        <v>1361</v>
      </c>
      <c r="AJ22" s="108" t="s">
        <v>1360</v>
      </c>
      <c r="AK22" s="108"/>
    </row>
    <row r="23" spans="1:37" ht="11.25">
      <c r="A23" s="1" t="s">
        <v>1363</v>
      </c>
      <c r="B23" s="110" t="s">
        <v>1362</v>
      </c>
      <c r="C23" s="71" t="s">
        <v>943</v>
      </c>
      <c r="D23" s="37" t="s">
        <v>387</v>
      </c>
      <c r="E23" s="37"/>
      <c r="F23" s="37"/>
      <c r="G23" s="114" t="s">
        <v>674</v>
      </c>
      <c r="H23" s="105"/>
      <c r="I23" s="105"/>
      <c r="J23" s="105"/>
      <c r="K23" s="105"/>
      <c r="L23" s="105"/>
      <c r="M23" s="105"/>
      <c r="N23" s="106"/>
      <c r="O23" s="105"/>
      <c r="P23" s="106"/>
      <c r="Q23" s="105"/>
      <c r="R23" s="106"/>
      <c r="S23" s="106"/>
      <c r="T23" s="30" t="s">
        <v>388</v>
      </c>
      <c r="U23" s="106"/>
      <c r="V23" s="106"/>
      <c r="W23" s="106"/>
      <c r="X23" s="30" t="s">
        <v>388</v>
      </c>
      <c r="Y23" s="30" t="s">
        <v>388</v>
      </c>
      <c r="Z23" s="30" t="s">
        <v>388</v>
      </c>
      <c r="AA23" s="30" t="s">
        <v>388</v>
      </c>
      <c r="AB23" s="30" t="s">
        <v>388</v>
      </c>
      <c r="AC23" s="114" t="s">
        <v>388</v>
      </c>
      <c r="AD23" s="107"/>
      <c r="AE23" s="31" t="s">
        <v>648</v>
      </c>
      <c r="AF23" s="39" t="s">
        <v>389</v>
      </c>
      <c r="AG23" s="108" t="s">
        <v>1364</v>
      </c>
      <c r="AH23" s="108"/>
      <c r="AI23" s="108"/>
      <c r="AJ23" s="109"/>
      <c r="AK23" s="108"/>
    </row>
    <row r="24" spans="1:37" ht="11.25">
      <c r="B24" s="102"/>
      <c r="C24" s="71"/>
      <c r="D24" s="103"/>
      <c r="E24" s="103"/>
      <c r="F24" s="103"/>
      <c r="G24" s="104"/>
      <c r="H24" s="105"/>
      <c r="I24" s="105"/>
      <c r="J24" s="105"/>
      <c r="K24" s="105"/>
      <c r="L24" s="105"/>
      <c r="M24" s="105"/>
      <c r="N24" s="106"/>
      <c r="O24" s="105"/>
      <c r="P24" s="106"/>
      <c r="Q24" s="105"/>
      <c r="R24" s="106"/>
      <c r="S24" s="106"/>
      <c r="T24" s="106"/>
      <c r="U24" s="106"/>
      <c r="V24" s="106"/>
      <c r="W24" s="106"/>
      <c r="X24" s="106"/>
      <c r="Y24" s="106"/>
      <c r="Z24" s="106"/>
      <c r="AA24" s="106"/>
      <c r="AB24" s="106"/>
      <c r="AC24" s="104"/>
      <c r="AD24" s="107"/>
      <c r="AE24" s="107"/>
      <c r="AF24" s="108"/>
      <c r="AG24" s="108"/>
      <c r="AH24" s="108"/>
      <c r="AI24" s="108"/>
      <c r="AJ24" s="109"/>
      <c r="AK24" s="108"/>
    </row>
    <row r="25" spans="1:37" ht="11.25">
      <c r="B25" s="110"/>
      <c r="C25" s="71"/>
      <c r="D25" s="37"/>
      <c r="E25" s="37"/>
      <c r="F25" s="37"/>
      <c r="G25" s="104"/>
      <c r="H25" s="105"/>
      <c r="I25" s="105"/>
      <c r="J25" s="105"/>
      <c r="K25" s="105"/>
      <c r="L25" s="105"/>
      <c r="M25" s="105"/>
      <c r="N25" s="106"/>
      <c r="O25" s="105"/>
      <c r="P25" s="106"/>
      <c r="Q25" s="105"/>
      <c r="R25" s="106"/>
      <c r="S25" s="106"/>
      <c r="T25" s="106"/>
      <c r="U25" s="106"/>
      <c r="V25" s="106"/>
      <c r="W25" s="106"/>
      <c r="X25" s="106"/>
      <c r="Y25" s="106"/>
      <c r="Z25" s="106"/>
      <c r="AA25" s="106"/>
      <c r="AB25" s="106"/>
      <c r="AC25" s="104"/>
      <c r="AD25" s="107"/>
      <c r="AE25" s="107"/>
      <c r="AF25" s="108"/>
      <c r="AG25" s="108"/>
      <c r="AH25" s="108"/>
      <c r="AI25" s="108"/>
      <c r="AJ25" s="109"/>
      <c r="AK25" s="108"/>
    </row>
    <row r="26" spans="1:37" ht="11.25">
      <c r="B26" s="110"/>
      <c r="C26" s="71"/>
      <c r="D26" s="111"/>
      <c r="E26" s="111"/>
      <c r="F26" s="111"/>
      <c r="G26" s="104"/>
      <c r="H26" s="105"/>
      <c r="I26" s="105"/>
      <c r="J26" s="105"/>
      <c r="K26" s="105"/>
      <c r="L26" s="105"/>
      <c r="M26" s="105"/>
      <c r="N26" s="105"/>
      <c r="O26" s="105"/>
      <c r="P26" s="105"/>
      <c r="Q26" s="105"/>
      <c r="R26" s="105"/>
      <c r="S26" s="105"/>
      <c r="T26" s="105"/>
      <c r="U26" s="105"/>
      <c r="V26" s="105"/>
      <c r="W26" s="105"/>
      <c r="X26" s="105"/>
      <c r="Y26" s="105"/>
      <c r="Z26" s="105"/>
      <c r="AA26" s="105"/>
      <c r="AB26" s="105"/>
      <c r="AC26" s="104"/>
      <c r="AD26" s="104"/>
      <c r="AE26" s="104"/>
      <c r="AF26" s="108"/>
      <c r="AG26" s="108"/>
      <c r="AH26" s="108"/>
      <c r="AI26" s="108"/>
      <c r="AJ26" s="109"/>
      <c r="AK26" s="108"/>
    </row>
    <row r="27" spans="1:37" ht="11.25">
      <c r="B27" s="102"/>
      <c r="C27" s="71"/>
      <c r="D27" s="37"/>
      <c r="E27" s="37"/>
      <c r="F27" s="37"/>
      <c r="G27" s="104"/>
      <c r="H27" s="105"/>
      <c r="I27" s="105"/>
      <c r="J27" s="105"/>
      <c r="K27" s="105"/>
      <c r="L27" s="105"/>
      <c r="M27" s="105"/>
      <c r="N27" s="106"/>
      <c r="O27" s="105"/>
      <c r="P27" s="106"/>
      <c r="Q27" s="105"/>
      <c r="R27" s="106"/>
      <c r="S27" s="106"/>
      <c r="T27" s="106"/>
      <c r="U27" s="106"/>
      <c r="V27" s="106"/>
      <c r="W27" s="106"/>
      <c r="X27" s="106"/>
      <c r="Y27" s="106"/>
      <c r="Z27" s="106"/>
      <c r="AA27" s="106"/>
      <c r="AB27" s="106"/>
      <c r="AC27" s="104"/>
      <c r="AD27" s="107"/>
      <c r="AE27" s="107"/>
      <c r="AF27" s="108"/>
      <c r="AG27" s="108"/>
      <c r="AH27" s="108"/>
      <c r="AI27" s="108"/>
      <c r="AJ27" s="109"/>
      <c r="AK27" s="108"/>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sheetPr>
    <pageSetUpPr fitToPage="1"/>
  </sheetPr>
  <dimension ref="A1:AK67"/>
  <sheetViews>
    <sheetView topLeftCell="A50" workbookViewId="0">
      <selection activeCell="H3" sqref="H3"/>
    </sheetView>
  </sheetViews>
  <sheetFormatPr defaultRowHeight="15"/>
  <cols>
    <col min="1" max="2" width="9.85546875" style="1" customWidth="1"/>
    <col min="3" max="3" width="37.42578125" style="1" customWidth="1"/>
    <col min="4" max="6" width="4.7109375" style="1" customWidth="1"/>
    <col min="7" max="7" width="10.14062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2" max="32" width="13.28515625" style="1" customWidth="1"/>
    <col min="33" max="33" width="5.2851562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77" t="s">
        <v>3</v>
      </c>
      <c r="I1" s="77"/>
      <c r="J1" s="77"/>
      <c r="K1" s="77"/>
      <c r="L1" s="77"/>
      <c r="M1" s="77"/>
      <c r="N1" s="77"/>
      <c r="O1" s="77"/>
      <c r="P1" s="77"/>
      <c r="Q1" s="77"/>
      <c r="R1" s="77"/>
      <c r="S1" s="77"/>
      <c r="T1" s="77"/>
      <c r="U1" s="77"/>
      <c r="V1" s="77"/>
      <c r="W1" s="77"/>
      <c r="X1" s="78"/>
      <c r="Y1" s="79"/>
      <c r="Z1" s="79"/>
      <c r="AA1" s="79"/>
      <c r="AB1" s="80"/>
      <c r="AE1" s="1"/>
      <c r="AI1" s="1"/>
    </row>
    <row r="2" spans="1:37" ht="110.25" customHeight="1">
      <c r="A2" s="7" t="s">
        <v>5</v>
      </c>
      <c r="B2" s="88"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s="2" customFormat="1" ht="11.25" customHeight="1">
      <c r="A3" s="2" t="s">
        <v>890</v>
      </c>
      <c r="B3" s="120" t="s">
        <v>1587</v>
      </c>
      <c r="C3" s="2" t="s">
        <v>891</v>
      </c>
      <c r="D3" s="34" t="s">
        <v>688</v>
      </c>
      <c r="E3" s="34"/>
      <c r="F3" s="34"/>
      <c r="G3" s="2">
        <v>2</v>
      </c>
      <c r="H3" s="6"/>
      <c r="I3" s="6"/>
      <c r="J3" s="6"/>
      <c r="K3" s="6"/>
      <c r="L3" s="6"/>
      <c r="M3" s="6"/>
      <c r="N3" s="6"/>
      <c r="O3" s="6"/>
      <c r="P3" s="6"/>
      <c r="Q3" s="6"/>
      <c r="R3" s="6"/>
      <c r="S3" s="6"/>
      <c r="T3" s="6"/>
      <c r="U3" s="6"/>
      <c r="V3" s="6"/>
      <c r="W3" s="6"/>
      <c r="X3" s="6"/>
      <c r="Y3" s="6"/>
      <c r="Z3" s="6"/>
      <c r="AA3" s="6"/>
      <c r="AB3" s="6"/>
      <c r="AC3" s="12" t="s">
        <v>623</v>
      </c>
      <c r="AD3" s="12" t="s">
        <v>623</v>
      </c>
      <c r="AE3" s="12"/>
      <c r="AJ3" s="21"/>
    </row>
    <row r="4" spans="1:37" s="2" customFormat="1" ht="11.25" customHeight="1">
      <c r="A4" s="2" t="s">
        <v>892</v>
      </c>
      <c r="B4" s="121" t="s">
        <v>1588</v>
      </c>
      <c r="C4" s="2" t="s">
        <v>893</v>
      </c>
      <c r="D4" s="34" t="s">
        <v>1299</v>
      </c>
      <c r="E4" s="34"/>
      <c r="F4" s="34"/>
      <c r="G4" s="2">
        <v>2</v>
      </c>
      <c r="H4" s="6"/>
      <c r="I4" s="6"/>
      <c r="J4" s="6"/>
      <c r="K4" s="6"/>
      <c r="L4" s="6"/>
      <c r="M4" s="6"/>
      <c r="N4" s="6"/>
      <c r="O4" s="6"/>
      <c r="P4" s="6"/>
      <c r="Q4" s="6"/>
      <c r="R4" s="6"/>
      <c r="S4" s="6"/>
      <c r="T4" s="6"/>
      <c r="U4" s="6"/>
      <c r="V4" s="6"/>
      <c r="W4" s="6"/>
      <c r="X4" s="6"/>
      <c r="Y4" s="6"/>
      <c r="Z4" s="6"/>
      <c r="AA4" s="6"/>
      <c r="AB4" s="6"/>
      <c r="AC4" s="12"/>
      <c r="AD4" s="12" t="s">
        <v>623</v>
      </c>
      <c r="AE4" s="12"/>
      <c r="AJ4" s="21"/>
    </row>
    <row r="5" spans="1:37" s="2" customFormat="1" ht="11.25" customHeight="1">
      <c r="A5" s="2" t="s">
        <v>894</v>
      </c>
      <c r="B5" s="122" t="s">
        <v>1589</v>
      </c>
      <c r="C5" s="2" t="s">
        <v>895</v>
      </c>
      <c r="D5" s="34" t="s">
        <v>387</v>
      </c>
      <c r="E5" s="34"/>
      <c r="F5" s="34"/>
      <c r="G5" s="2">
        <v>0</v>
      </c>
      <c r="H5" s="6"/>
      <c r="I5" s="6"/>
      <c r="J5" s="6"/>
      <c r="K5" s="6"/>
      <c r="L5" s="6"/>
      <c r="M5" s="6"/>
      <c r="N5" s="6"/>
      <c r="O5" s="6"/>
      <c r="P5" s="6"/>
      <c r="Q5" s="6"/>
      <c r="R5" s="6"/>
      <c r="S5" s="6"/>
      <c r="T5" s="6"/>
      <c r="U5" s="6" t="s">
        <v>388</v>
      </c>
      <c r="V5" s="6"/>
      <c r="W5" s="6"/>
      <c r="X5" s="6"/>
      <c r="Y5" s="6"/>
      <c r="Z5" s="6"/>
      <c r="AA5" s="6"/>
      <c r="AB5" s="6"/>
      <c r="AC5" s="12"/>
      <c r="AD5" s="12"/>
      <c r="AE5" s="12"/>
      <c r="AJ5" s="21"/>
    </row>
    <row r="6" spans="1:37" s="2" customFormat="1" ht="11.25" customHeight="1">
      <c r="A6" s="2" t="s">
        <v>894</v>
      </c>
      <c r="B6" s="117" t="s">
        <v>1590</v>
      </c>
      <c r="C6" s="2" t="s">
        <v>896</v>
      </c>
      <c r="D6" s="34" t="s">
        <v>387</v>
      </c>
      <c r="E6" s="34"/>
      <c r="F6" s="34"/>
      <c r="G6" s="2">
        <v>0</v>
      </c>
      <c r="H6" s="6"/>
      <c r="I6" s="6"/>
      <c r="J6" s="6"/>
      <c r="K6" s="6"/>
      <c r="L6" s="6"/>
      <c r="M6" s="6"/>
      <c r="N6" s="6"/>
      <c r="O6" s="6"/>
      <c r="P6" s="6"/>
      <c r="Q6" s="6"/>
      <c r="R6" s="6"/>
      <c r="S6" s="6"/>
      <c r="T6" s="6"/>
      <c r="U6" s="6"/>
      <c r="V6" s="6"/>
      <c r="W6" s="6"/>
      <c r="X6" s="6"/>
      <c r="Y6" s="6"/>
      <c r="Z6" s="6"/>
      <c r="AA6" s="6"/>
      <c r="AB6" s="6"/>
      <c r="AC6" s="12"/>
      <c r="AD6" s="12"/>
      <c r="AE6" s="12"/>
      <c r="AJ6" s="21"/>
    </row>
    <row r="7" spans="1:37" s="2" customFormat="1" ht="11.25" customHeight="1">
      <c r="A7" s="2" t="s">
        <v>897</v>
      </c>
      <c r="B7" s="122" t="s">
        <v>1591</v>
      </c>
      <c r="C7" s="2" t="s">
        <v>898</v>
      </c>
      <c r="D7" s="34" t="s">
        <v>739</v>
      </c>
      <c r="E7" s="34"/>
      <c r="F7" s="34"/>
      <c r="G7" s="2">
        <v>1</v>
      </c>
      <c r="H7" s="6"/>
      <c r="I7" s="6"/>
      <c r="J7" s="6"/>
      <c r="K7" s="6"/>
      <c r="L7" s="6"/>
      <c r="M7" s="6"/>
      <c r="N7" s="6"/>
      <c r="O7" s="6"/>
      <c r="P7" s="6"/>
      <c r="Q7" s="6"/>
      <c r="R7" s="6"/>
      <c r="S7" s="6"/>
      <c r="T7" s="6"/>
      <c r="U7" s="6" t="s">
        <v>623</v>
      </c>
      <c r="V7" s="6"/>
      <c r="W7" s="6"/>
      <c r="X7" s="6"/>
      <c r="Y7" s="6"/>
      <c r="Z7" s="6"/>
      <c r="AA7" s="6"/>
      <c r="AB7" s="6"/>
      <c r="AC7" s="12"/>
      <c r="AD7" s="12"/>
      <c r="AE7" s="12"/>
      <c r="AJ7" s="21"/>
    </row>
    <row r="8" spans="1:37" s="2" customFormat="1" ht="11.25" customHeight="1">
      <c r="A8" s="2" t="s">
        <v>899</v>
      </c>
      <c r="B8" s="117" t="s">
        <v>1592</v>
      </c>
      <c r="C8" s="2" t="s">
        <v>900</v>
      </c>
      <c r="D8" s="34" t="s">
        <v>387</v>
      </c>
      <c r="E8" s="34"/>
      <c r="F8" s="34"/>
      <c r="G8" s="2">
        <v>0</v>
      </c>
      <c r="H8" s="6"/>
      <c r="I8" s="6"/>
      <c r="J8" s="6"/>
      <c r="K8" s="6"/>
      <c r="L8" s="6"/>
      <c r="M8" s="6"/>
      <c r="N8" s="6"/>
      <c r="O8" s="6"/>
      <c r="P8" s="6"/>
      <c r="Q8" s="6"/>
      <c r="R8" s="6"/>
      <c r="S8" s="6"/>
      <c r="T8" s="6"/>
      <c r="U8" s="6"/>
      <c r="V8" s="6"/>
      <c r="W8" s="6"/>
      <c r="X8" s="6"/>
      <c r="Y8" s="6"/>
      <c r="Z8" s="6"/>
      <c r="AA8" s="6"/>
      <c r="AB8" s="6"/>
      <c r="AC8" s="12"/>
      <c r="AD8" s="12"/>
      <c r="AE8" s="12"/>
      <c r="AJ8" s="21"/>
    </row>
    <row r="9" spans="1:37" s="2" customFormat="1" ht="11.25" customHeight="1">
      <c r="A9" s="2" t="s">
        <v>902</v>
      </c>
      <c r="B9" s="122" t="s">
        <v>1593</v>
      </c>
      <c r="C9" s="2" t="s">
        <v>903</v>
      </c>
      <c r="D9" s="34" t="s">
        <v>739</v>
      </c>
      <c r="E9" s="34"/>
      <c r="F9" s="34"/>
      <c r="G9" s="2">
        <v>0</v>
      </c>
      <c r="H9" s="6"/>
      <c r="I9" s="6"/>
      <c r="J9" s="6"/>
      <c r="K9" s="6"/>
      <c r="L9" s="6"/>
      <c r="M9" s="6"/>
      <c r="N9" s="6"/>
      <c r="O9" s="6"/>
      <c r="P9" s="6"/>
      <c r="Q9" s="6"/>
      <c r="R9" s="6"/>
      <c r="S9" s="6"/>
      <c r="T9" s="6"/>
      <c r="U9" s="6"/>
      <c r="V9" s="6"/>
      <c r="W9" s="6"/>
      <c r="X9" s="6"/>
      <c r="Y9" s="6"/>
      <c r="Z9" s="6"/>
      <c r="AA9" s="6"/>
      <c r="AB9" s="6"/>
      <c r="AC9" s="12"/>
      <c r="AD9" s="12"/>
      <c r="AE9" s="12"/>
      <c r="AJ9" s="21"/>
    </row>
    <row r="10" spans="1:37" s="2" customFormat="1" ht="11.25" customHeight="1">
      <c r="A10" s="2" t="s">
        <v>904</v>
      </c>
      <c r="B10" s="117" t="s">
        <v>1594</v>
      </c>
      <c r="C10" s="2" t="s">
        <v>905</v>
      </c>
      <c r="D10" s="34" t="s">
        <v>387</v>
      </c>
      <c r="E10" s="34"/>
      <c r="F10" s="34"/>
      <c r="G10" s="2">
        <v>0</v>
      </c>
      <c r="H10" s="6"/>
      <c r="I10" s="6"/>
      <c r="J10" s="6"/>
      <c r="K10" s="6"/>
      <c r="L10" s="6"/>
      <c r="M10" s="6"/>
      <c r="N10" s="6"/>
      <c r="O10" s="6"/>
      <c r="P10" s="6"/>
      <c r="Q10" s="6"/>
      <c r="R10" s="6"/>
      <c r="S10" s="6"/>
      <c r="T10" s="6"/>
      <c r="U10" s="6"/>
      <c r="V10" s="6"/>
      <c r="W10" s="6"/>
      <c r="X10" s="6"/>
      <c r="Y10" s="6"/>
      <c r="Z10" s="6"/>
      <c r="AA10" s="6"/>
      <c r="AB10" s="6"/>
      <c r="AC10" s="12"/>
      <c r="AD10" s="12"/>
      <c r="AE10" s="12"/>
      <c r="AJ10" s="21"/>
    </row>
    <row r="11" spans="1:37" s="2" customFormat="1" ht="11.25" customHeight="1">
      <c r="A11" s="2" t="s">
        <v>906</v>
      </c>
      <c r="B11" s="122" t="s">
        <v>1595</v>
      </c>
      <c r="C11" s="2" t="s">
        <v>907</v>
      </c>
      <c r="D11" s="34" t="s">
        <v>739</v>
      </c>
      <c r="E11" s="34"/>
      <c r="F11" s="34"/>
      <c r="G11" s="2">
        <v>0</v>
      </c>
      <c r="H11" s="6"/>
      <c r="I11" s="6"/>
      <c r="J11" s="6"/>
      <c r="K11" s="6"/>
      <c r="L11" s="6"/>
      <c r="M11" s="6"/>
      <c r="N11" s="6"/>
      <c r="O11" s="6"/>
      <c r="P11" s="6"/>
      <c r="Q11" s="6"/>
      <c r="R11" s="6"/>
      <c r="S11" s="6"/>
      <c r="T11" s="6"/>
      <c r="U11" s="6"/>
      <c r="V11" s="6"/>
      <c r="W11" s="6"/>
      <c r="X11" s="6"/>
      <c r="Y11" s="6"/>
      <c r="Z11" s="6"/>
      <c r="AA11" s="6"/>
      <c r="AB11" s="6"/>
      <c r="AC11" s="12"/>
      <c r="AD11" s="12"/>
      <c r="AE11" s="12"/>
      <c r="AJ11" s="21"/>
    </row>
    <row r="12" spans="1:37" s="2" customFormat="1" ht="11.25" customHeight="1">
      <c r="A12" s="2" t="s">
        <v>906</v>
      </c>
      <c r="B12" s="117" t="s">
        <v>1596</v>
      </c>
      <c r="C12" s="2" t="s">
        <v>908</v>
      </c>
      <c r="D12" s="34" t="s">
        <v>387</v>
      </c>
      <c r="E12" s="34"/>
      <c r="F12" s="34"/>
      <c r="G12" s="2">
        <v>0</v>
      </c>
      <c r="H12" s="6"/>
      <c r="I12" s="6"/>
      <c r="J12" s="6"/>
      <c r="K12" s="6"/>
      <c r="L12" s="6"/>
      <c r="M12" s="6"/>
      <c r="N12" s="6"/>
      <c r="O12" s="6"/>
      <c r="P12" s="6"/>
      <c r="Q12" s="6"/>
      <c r="R12" s="6"/>
      <c r="S12" s="6"/>
      <c r="T12" s="6"/>
      <c r="U12" s="6" t="s">
        <v>623</v>
      </c>
      <c r="V12" s="6"/>
      <c r="W12" s="6"/>
      <c r="X12" s="6"/>
      <c r="Y12" s="6"/>
      <c r="Z12" s="6"/>
      <c r="AA12" s="6"/>
      <c r="AB12" s="6"/>
      <c r="AC12" s="12"/>
      <c r="AD12" s="12"/>
      <c r="AE12" s="12"/>
      <c r="AJ12" s="21"/>
    </row>
    <row r="13" spans="1:37" s="2" customFormat="1" ht="11.25" customHeight="1">
      <c r="A13" s="2" t="s">
        <v>909</v>
      </c>
      <c r="B13" s="122" t="s">
        <v>1597</v>
      </c>
      <c r="C13" s="2" t="s">
        <v>910</v>
      </c>
      <c r="D13" s="34" t="s">
        <v>901</v>
      </c>
      <c r="E13" s="34"/>
      <c r="F13" s="34"/>
      <c r="G13" s="2">
        <v>0</v>
      </c>
      <c r="H13" s="6"/>
      <c r="I13" s="6"/>
      <c r="J13" s="6"/>
      <c r="K13" s="6"/>
      <c r="L13" s="6"/>
      <c r="M13" s="6"/>
      <c r="N13" s="6"/>
      <c r="O13" s="6"/>
      <c r="P13" s="6"/>
      <c r="Q13" s="6"/>
      <c r="R13" s="6"/>
      <c r="S13" s="6"/>
      <c r="T13" s="6"/>
      <c r="U13" s="6"/>
      <c r="V13" s="6"/>
      <c r="W13" s="6"/>
      <c r="X13" s="6"/>
      <c r="Y13" s="6"/>
      <c r="Z13" s="6"/>
      <c r="AA13" s="6"/>
      <c r="AB13" s="6"/>
      <c r="AC13" s="12"/>
      <c r="AD13" s="12"/>
      <c r="AE13" s="12"/>
      <c r="AJ13" s="21"/>
    </row>
    <row r="14" spans="1:37" s="2" customFormat="1" ht="11.25" customHeight="1">
      <c r="A14" s="2" t="s">
        <v>911</v>
      </c>
      <c r="B14" s="117" t="s">
        <v>1598</v>
      </c>
      <c r="C14" s="2" t="s">
        <v>912</v>
      </c>
      <c r="D14" s="34" t="s">
        <v>901</v>
      </c>
      <c r="E14" s="34"/>
      <c r="F14" s="34"/>
      <c r="G14" s="2">
        <v>0</v>
      </c>
      <c r="H14" s="6"/>
      <c r="I14" s="6"/>
      <c r="J14" s="6"/>
      <c r="K14" s="6"/>
      <c r="L14" s="6"/>
      <c r="M14" s="6"/>
      <c r="N14" s="6"/>
      <c r="O14" s="6"/>
      <c r="P14" s="6"/>
      <c r="Q14" s="6"/>
      <c r="R14" s="6"/>
      <c r="S14" s="6"/>
      <c r="T14" s="6"/>
      <c r="U14" s="6"/>
      <c r="V14" s="6"/>
      <c r="W14" s="6"/>
      <c r="X14" s="6"/>
      <c r="Y14" s="6"/>
      <c r="Z14" s="6"/>
      <c r="AA14" s="6"/>
      <c r="AB14" s="6"/>
      <c r="AC14" s="6"/>
      <c r="AD14" s="6"/>
      <c r="AE14" s="6"/>
      <c r="AJ14" s="21"/>
    </row>
    <row r="15" spans="1:37" s="2" customFormat="1" ht="11.25" customHeight="1">
      <c r="A15" s="2" t="s">
        <v>911</v>
      </c>
      <c r="B15" s="122" t="s">
        <v>1599</v>
      </c>
      <c r="C15" s="2" t="s">
        <v>913</v>
      </c>
      <c r="D15" s="34" t="s">
        <v>901</v>
      </c>
      <c r="E15" s="34"/>
      <c r="F15" s="34"/>
      <c r="G15" s="2">
        <v>0</v>
      </c>
      <c r="H15" s="6"/>
      <c r="I15" s="6"/>
      <c r="J15" s="6"/>
      <c r="K15" s="6"/>
      <c r="L15" s="6"/>
      <c r="M15" s="6"/>
      <c r="N15" s="6"/>
      <c r="O15" s="6"/>
      <c r="P15" s="6"/>
      <c r="Q15" s="6"/>
      <c r="R15" s="6"/>
      <c r="S15" s="6"/>
      <c r="T15" s="6"/>
      <c r="U15" s="6"/>
      <c r="V15" s="6"/>
      <c r="W15" s="6"/>
      <c r="X15" s="6"/>
      <c r="Y15" s="6"/>
      <c r="Z15" s="6"/>
      <c r="AA15" s="6"/>
      <c r="AB15" s="6"/>
      <c r="AC15" s="12"/>
      <c r="AD15" s="12"/>
      <c r="AE15" s="12"/>
      <c r="AJ15" s="21"/>
    </row>
    <row r="16" spans="1:37" s="2" customFormat="1" ht="11.25" customHeight="1">
      <c r="A16" s="2" t="s">
        <v>914</v>
      </c>
      <c r="B16" s="117" t="s">
        <v>1600</v>
      </c>
      <c r="C16" s="2" t="s">
        <v>915</v>
      </c>
      <c r="D16" s="34" t="s">
        <v>387</v>
      </c>
      <c r="E16" s="34"/>
      <c r="F16" s="34"/>
      <c r="G16" s="2">
        <v>0</v>
      </c>
      <c r="H16" s="6"/>
      <c r="I16" s="6"/>
      <c r="J16" s="6"/>
      <c r="K16" s="6"/>
      <c r="L16" s="6"/>
      <c r="M16" s="6"/>
      <c r="N16" s="6"/>
      <c r="O16" s="6"/>
      <c r="P16" s="6"/>
      <c r="Q16" s="6"/>
      <c r="R16" s="6"/>
      <c r="S16" s="6"/>
      <c r="T16" s="6"/>
      <c r="U16" s="6"/>
      <c r="V16" s="6"/>
      <c r="W16" s="6"/>
      <c r="X16" s="6"/>
      <c r="Y16" s="6"/>
      <c r="Z16" s="6"/>
      <c r="AA16" s="6"/>
      <c r="AB16" s="6"/>
      <c r="AC16" s="12"/>
      <c r="AD16" s="12"/>
      <c r="AE16" s="12"/>
      <c r="AJ16" s="21"/>
    </row>
    <row r="17" spans="1:36" s="2" customFormat="1" ht="11.25" customHeight="1">
      <c r="A17" s="2" t="s">
        <v>916</v>
      </c>
      <c r="B17" s="122" t="s">
        <v>1601</v>
      </c>
      <c r="C17" s="2" t="s">
        <v>917</v>
      </c>
      <c r="D17" s="34" t="s">
        <v>739</v>
      </c>
      <c r="E17" s="34"/>
      <c r="F17" s="34"/>
      <c r="G17" s="2">
        <v>0</v>
      </c>
      <c r="H17" s="6"/>
      <c r="I17" s="6"/>
      <c r="J17" s="6"/>
      <c r="K17" s="6"/>
      <c r="L17" s="6"/>
      <c r="M17" s="6"/>
      <c r="N17" s="6"/>
      <c r="O17" s="6"/>
      <c r="P17" s="6"/>
      <c r="Q17" s="6"/>
      <c r="R17" s="6"/>
      <c r="S17" s="6"/>
      <c r="T17" s="6"/>
      <c r="U17" s="6"/>
      <c r="V17" s="6"/>
      <c r="W17" s="6"/>
      <c r="X17" s="6"/>
      <c r="Y17" s="6"/>
      <c r="Z17" s="6"/>
      <c r="AA17" s="6"/>
      <c r="AB17" s="6"/>
      <c r="AC17" s="12"/>
      <c r="AD17" s="12"/>
      <c r="AE17" s="12"/>
      <c r="AJ17" s="21"/>
    </row>
    <row r="18" spans="1:36" s="2" customFormat="1" ht="11.25" customHeight="1">
      <c r="A18" s="2" t="s">
        <v>916</v>
      </c>
      <c r="B18" s="117" t="s">
        <v>1602</v>
      </c>
      <c r="C18" s="2" t="s">
        <v>918</v>
      </c>
      <c r="D18" s="34" t="s">
        <v>739</v>
      </c>
      <c r="E18" s="34"/>
      <c r="F18" s="34"/>
      <c r="G18" s="2">
        <v>0</v>
      </c>
      <c r="H18" s="6"/>
      <c r="I18" s="6"/>
      <c r="J18" s="6"/>
      <c r="K18" s="6"/>
      <c r="L18" s="6"/>
      <c r="M18" s="6"/>
      <c r="N18" s="6"/>
      <c r="O18" s="6"/>
      <c r="P18" s="6"/>
      <c r="Q18" s="6"/>
      <c r="R18" s="6"/>
      <c r="S18" s="6"/>
      <c r="T18" s="6"/>
      <c r="U18" s="6"/>
      <c r="V18" s="6"/>
      <c r="W18" s="6"/>
      <c r="X18" s="6"/>
      <c r="Y18" s="6"/>
      <c r="Z18" s="6"/>
      <c r="AA18" s="6"/>
      <c r="AB18" s="6"/>
      <c r="AC18" s="12"/>
      <c r="AD18" s="12"/>
      <c r="AE18" s="12"/>
      <c r="AJ18" s="21"/>
    </row>
    <row r="19" spans="1:36" s="2" customFormat="1" ht="11.25" customHeight="1">
      <c r="A19" s="2" t="s">
        <v>916</v>
      </c>
      <c r="B19" s="122" t="s">
        <v>1603</v>
      </c>
      <c r="C19" s="2" t="s">
        <v>919</v>
      </c>
      <c r="D19" s="34" t="s">
        <v>387</v>
      </c>
      <c r="E19" s="34"/>
      <c r="F19" s="34"/>
      <c r="G19" s="2">
        <v>0</v>
      </c>
      <c r="H19" s="6"/>
      <c r="I19" s="6"/>
      <c r="J19" s="6"/>
      <c r="K19" s="6"/>
      <c r="L19" s="6"/>
      <c r="M19" s="6"/>
      <c r="N19" s="6"/>
      <c r="O19" s="6"/>
      <c r="P19" s="6"/>
      <c r="Q19" s="6"/>
      <c r="R19" s="6"/>
      <c r="S19" s="6"/>
      <c r="T19" s="6"/>
      <c r="U19" s="6"/>
      <c r="V19" s="6"/>
      <c r="W19" s="6"/>
      <c r="X19" s="6"/>
      <c r="Y19" s="6"/>
      <c r="Z19" s="6"/>
      <c r="AA19" s="6"/>
      <c r="AB19" s="6"/>
      <c r="AC19" s="12"/>
      <c r="AD19" s="12"/>
      <c r="AE19" s="12"/>
      <c r="AJ19" s="21"/>
    </row>
    <row r="20" spans="1:36" s="2" customFormat="1" ht="11.25" customHeight="1">
      <c r="A20" s="2" t="s">
        <v>920</v>
      </c>
      <c r="B20" s="117" t="s">
        <v>1604</v>
      </c>
      <c r="C20" s="2" t="s">
        <v>921</v>
      </c>
      <c r="D20" s="34" t="s">
        <v>901</v>
      </c>
      <c r="E20" s="34"/>
      <c r="F20" s="34"/>
      <c r="G20" s="2">
        <v>0</v>
      </c>
      <c r="H20" s="6"/>
      <c r="I20" s="6"/>
      <c r="J20" s="6"/>
      <c r="K20" s="6"/>
      <c r="L20" s="6"/>
      <c r="M20" s="6"/>
      <c r="N20" s="6"/>
      <c r="O20" s="6"/>
      <c r="P20" s="6"/>
      <c r="Q20" s="6"/>
      <c r="R20" s="6"/>
      <c r="S20" s="6"/>
      <c r="T20" s="6"/>
      <c r="U20" s="6"/>
      <c r="V20" s="6"/>
      <c r="W20" s="6"/>
      <c r="X20" s="6"/>
      <c r="Y20" s="6"/>
      <c r="Z20" s="6"/>
      <c r="AA20" s="6"/>
      <c r="AB20" s="6"/>
      <c r="AC20" s="12"/>
      <c r="AD20" s="12"/>
      <c r="AE20" s="12"/>
      <c r="AJ20" s="21"/>
    </row>
    <row r="21" spans="1:36" s="2" customFormat="1" ht="11.25" customHeight="1">
      <c r="A21" s="2" t="s">
        <v>922</v>
      </c>
      <c r="B21" s="122" t="s">
        <v>1605</v>
      </c>
      <c r="C21" s="2" t="s">
        <v>923</v>
      </c>
      <c r="D21" s="34" t="s">
        <v>739</v>
      </c>
      <c r="E21" s="34"/>
      <c r="F21" s="34"/>
      <c r="G21" s="2">
        <v>0</v>
      </c>
      <c r="H21" s="6"/>
      <c r="I21" s="6"/>
      <c r="J21" s="6"/>
      <c r="K21" s="6"/>
      <c r="L21" s="6"/>
      <c r="M21" s="6"/>
      <c r="N21" s="6"/>
      <c r="O21" s="6"/>
      <c r="P21" s="6"/>
      <c r="Q21" s="6"/>
      <c r="R21" s="6"/>
      <c r="S21" s="6"/>
      <c r="T21" s="6"/>
      <c r="U21" s="6"/>
      <c r="V21" s="6"/>
      <c r="W21" s="6"/>
      <c r="X21" s="6"/>
      <c r="Y21" s="6"/>
      <c r="Z21" s="6"/>
      <c r="AA21" s="6"/>
      <c r="AB21" s="6"/>
      <c r="AC21" s="12"/>
      <c r="AD21" s="12"/>
      <c r="AE21" s="12"/>
      <c r="AJ21" s="21"/>
    </row>
    <row r="22" spans="1:36" s="2" customFormat="1" ht="11.25" customHeight="1">
      <c r="A22" s="2" t="s">
        <v>924</v>
      </c>
      <c r="B22" s="117" t="s">
        <v>1606</v>
      </c>
      <c r="C22" s="2" t="s">
        <v>925</v>
      </c>
      <c r="D22" s="34" t="s">
        <v>387</v>
      </c>
      <c r="E22" s="34"/>
      <c r="F22" s="34"/>
      <c r="G22" s="2">
        <v>0</v>
      </c>
      <c r="H22" s="6"/>
      <c r="I22" s="6"/>
      <c r="J22" s="6"/>
      <c r="K22" s="6"/>
      <c r="L22" s="6"/>
      <c r="M22" s="6"/>
      <c r="N22" s="6"/>
      <c r="O22" s="6"/>
      <c r="P22" s="6"/>
      <c r="Q22" s="6"/>
      <c r="R22" s="6"/>
      <c r="S22" s="6"/>
      <c r="T22" s="6"/>
      <c r="U22" s="6"/>
      <c r="V22" s="6"/>
      <c r="W22" s="6"/>
      <c r="X22" s="6"/>
      <c r="Y22" s="6"/>
      <c r="Z22" s="6"/>
      <c r="AA22" s="6"/>
      <c r="AB22" s="6"/>
      <c r="AC22" s="12"/>
      <c r="AD22" s="12"/>
      <c r="AE22" s="12"/>
      <c r="AJ22" s="21"/>
    </row>
    <row r="23" spans="1:36" s="2" customFormat="1" ht="11.25" customHeight="1">
      <c r="A23" s="2" t="s">
        <v>926</v>
      </c>
      <c r="B23" s="122" t="s">
        <v>1607</v>
      </c>
      <c r="C23" s="2" t="s">
        <v>927</v>
      </c>
      <c r="D23" s="34" t="s">
        <v>387</v>
      </c>
      <c r="E23" s="34"/>
      <c r="F23" s="34"/>
      <c r="G23" s="2">
        <v>0</v>
      </c>
      <c r="H23" s="6"/>
      <c r="I23" s="6"/>
      <c r="J23" s="6"/>
      <c r="K23" s="6"/>
      <c r="L23" s="6"/>
      <c r="M23" s="6"/>
      <c r="N23" s="6"/>
      <c r="O23" s="6"/>
      <c r="P23" s="6"/>
      <c r="Q23" s="6"/>
      <c r="R23" s="6"/>
      <c r="S23" s="6"/>
      <c r="T23" s="6"/>
      <c r="U23" s="6"/>
      <c r="V23" s="6"/>
      <c r="W23" s="6"/>
      <c r="X23" s="6"/>
      <c r="Y23" s="6"/>
      <c r="Z23" s="6"/>
      <c r="AA23" s="6"/>
      <c r="AB23" s="6"/>
      <c r="AC23" s="12"/>
      <c r="AD23" s="12"/>
      <c r="AE23" s="12"/>
      <c r="AJ23" s="21"/>
    </row>
    <row r="24" spans="1:36" s="2" customFormat="1" ht="11.25" customHeight="1">
      <c r="A24" s="2" t="s">
        <v>928</v>
      </c>
      <c r="B24" s="117" t="s">
        <v>1608</v>
      </c>
      <c r="C24" s="2" t="s">
        <v>929</v>
      </c>
      <c r="D24" s="34" t="s">
        <v>387</v>
      </c>
      <c r="E24" s="34"/>
      <c r="F24" s="34"/>
      <c r="G24" s="2">
        <v>0</v>
      </c>
      <c r="H24" s="6"/>
      <c r="I24" s="6"/>
      <c r="J24" s="6"/>
      <c r="K24" s="6"/>
      <c r="L24" s="6"/>
      <c r="M24" s="6"/>
      <c r="N24" s="6"/>
      <c r="O24" s="6"/>
      <c r="P24" s="6"/>
      <c r="Q24" s="6"/>
      <c r="R24" s="6"/>
      <c r="S24" s="6"/>
      <c r="T24" s="6"/>
      <c r="U24" s="6"/>
      <c r="V24" s="6"/>
      <c r="W24" s="6"/>
      <c r="X24" s="6"/>
      <c r="Y24" s="6"/>
      <c r="Z24" s="6"/>
      <c r="AA24" s="6"/>
      <c r="AB24" s="6"/>
      <c r="AC24" s="12"/>
      <c r="AD24" s="12"/>
      <c r="AE24" s="12"/>
      <c r="AJ24" s="21"/>
    </row>
    <row r="25" spans="1:36" s="2" customFormat="1" ht="11.25" customHeight="1">
      <c r="A25" s="2" t="s">
        <v>928</v>
      </c>
      <c r="B25" s="122" t="s">
        <v>1609</v>
      </c>
      <c r="C25" s="2" t="s">
        <v>930</v>
      </c>
      <c r="D25" s="34" t="s">
        <v>387</v>
      </c>
      <c r="E25" s="34"/>
      <c r="F25" s="34"/>
      <c r="G25" s="2">
        <v>0</v>
      </c>
      <c r="H25" s="6"/>
      <c r="I25" s="6"/>
      <c r="J25" s="6"/>
      <c r="K25" s="6"/>
      <c r="L25" s="6"/>
      <c r="M25" s="6"/>
      <c r="N25" s="6"/>
      <c r="O25" s="6"/>
      <c r="P25" s="6"/>
      <c r="Q25" s="6"/>
      <c r="R25" s="6"/>
      <c r="S25" s="6"/>
      <c r="T25" s="6"/>
      <c r="U25" s="6"/>
      <c r="V25" s="6"/>
      <c r="W25" s="6"/>
      <c r="X25" s="6"/>
      <c r="Y25" s="6"/>
      <c r="Z25" s="6"/>
      <c r="AA25" s="6"/>
      <c r="AB25" s="6"/>
      <c r="AC25" s="12"/>
      <c r="AD25" s="12"/>
      <c r="AE25" s="12"/>
      <c r="AJ25" s="21"/>
    </row>
    <row r="26" spans="1:36" s="2" customFormat="1" ht="11.25" customHeight="1">
      <c r="A26" s="2" t="s">
        <v>931</v>
      </c>
      <c r="B26" s="117" t="s">
        <v>1610</v>
      </c>
      <c r="C26" s="2" t="s">
        <v>932</v>
      </c>
      <c r="D26" s="34" t="s">
        <v>387</v>
      </c>
      <c r="E26" s="34"/>
      <c r="F26" s="34"/>
      <c r="G26" s="2">
        <v>0</v>
      </c>
      <c r="H26" s="6"/>
      <c r="I26" s="6"/>
      <c r="J26" s="6"/>
      <c r="K26" s="6"/>
      <c r="L26" s="6"/>
      <c r="M26" s="6"/>
      <c r="N26" s="6"/>
      <c r="O26" s="6"/>
      <c r="P26" s="6"/>
      <c r="Q26" s="6"/>
      <c r="R26" s="6"/>
      <c r="S26" s="6"/>
      <c r="T26" s="6"/>
      <c r="U26" s="6"/>
      <c r="V26" s="6"/>
      <c r="W26" s="6"/>
      <c r="X26" s="6"/>
      <c r="Y26" s="6"/>
      <c r="Z26" s="6"/>
      <c r="AA26" s="6"/>
      <c r="AB26" s="6"/>
      <c r="AC26" s="12"/>
      <c r="AD26" s="12"/>
      <c r="AE26" s="12"/>
      <c r="AJ26" s="21"/>
    </row>
    <row r="27" spans="1:36" s="2" customFormat="1" ht="11.25" customHeight="1">
      <c r="A27" s="2" t="s">
        <v>933</v>
      </c>
      <c r="B27" s="122" t="s">
        <v>1611</v>
      </c>
      <c r="C27" s="2" t="s">
        <v>934</v>
      </c>
      <c r="D27" s="34" t="s">
        <v>739</v>
      </c>
      <c r="E27" s="34"/>
      <c r="F27" s="34"/>
      <c r="G27" s="2">
        <v>0</v>
      </c>
      <c r="H27" s="6"/>
      <c r="I27" s="6"/>
      <c r="J27" s="6"/>
      <c r="K27" s="6"/>
      <c r="L27" s="6"/>
      <c r="M27" s="6"/>
      <c r="N27" s="6"/>
      <c r="O27" s="6"/>
      <c r="P27" s="6"/>
      <c r="Q27" s="6"/>
      <c r="R27" s="6"/>
      <c r="S27" s="6"/>
      <c r="T27" s="6"/>
      <c r="U27" s="6"/>
      <c r="V27" s="6"/>
      <c r="W27" s="6"/>
      <c r="X27" s="6"/>
      <c r="Y27" s="6"/>
      <c r="Z27" s="6"/>
      <c r="AA27" s="6"/>
      <c r="AB27" s="6"/>
      <c r="AC27" s="12"/>
      <c r="AD27" s="12"/>
      <c r="AE27" s="12"/>
      <c r="AJ27" s="21"/>
    </row>
    <row r="28" spans="1:36" s="2" customFormat="1" ht="11.25" customHeight="1">
      <c r="A28" s="2" t="s">
        <v>935</v>
      </c>
      <c r="B28" s="117" t="s">
        <v>1612</v>
      </c>
      <c r="C28" s="2" t="s">
        <v>936</v>
      </c>
      <c r="D28" s="34" t="s">
        <v>739</v>
      </c>
      <c r="E28" s="34"/>
      <c r="F28" s="34"/>
      <c r="G28" s="2">
        <v>0</v>
      </c>
      <c r="H28" s="6"/>
      <c r="I28" s="6"/>
      <c r="J28" s="6"/>
      <c r="K28" s="6"/>
      <c r="L28" s="6"/>
      <c r="M28" s="6"/>
      <c r="N28" s="6"/>
      <c r="O28" s="6"/>
      <c r="P28" s="6"/>
      <c r="Q28" s="6"/>
      <c r="R28" s="6"/>
      <c r="S28" s="6"/>
      <c r="T28" s="6"/>
      <c r="U28" s="6"/>
      <c r="V28" s="6"/>
      <c r="W28" s="6"/>
      <c r="X28" s="6"/>
      <c r="Y28" s="6"/>
      <c r="Z28" s="6"/>
      <c r="AA28" s="6"/>
      <c r="AB28" s="6"/>
      <c r="AC28" s="12"/>
      <c r="AD28" s="12"/>
      <c r="AE28" s="12"/>
      <c r="AJ28" s="21"/>
    </row>
    <row r="29" spans="1:36" s="2" customFormat="1" ht="11.25" customHeight="1">
      <c r="A29" s="2" t="s">
        <v>937</v>
      </c>
      <c r="B29" s="122" t="s">
        <v>1613</v>
      </c>
      <c r="C29" s="2" t="s">
        <v>938</v>
      </c>
      <c r="D29" s="34" t="s">
        <v>739</v>
      </c>
      <c r="E29" s="34"/>
      <c r="F29" s="34"/>
      <c r="G29" s="2">
        <v>0</v>
      </c>
      <c r="H29" s="6"/>
      <c r="I29" s="6"/>
      <c r="J29" s="6"/>
      <c r="K29" s="6"/>
      <c r="L29" s="6"/>
      <c r="M29" s="6"/>
      <c r="N29" s="6"/>
      <c r="O29" s="6"/>
      <c r="P29" s="6"/>
      <c r="Q29" s="6"/>
      <c r="R29" s="6"/>
      <c r="S29" s="6"/>
      <c r="T29" s="6"/>
      <c r="U29" s="6"/>
      <c r="V29" s="6"/>
      <c r="W29" s="6"/>
      <c r="X29" s="6"/>
      <c r="Y29" s="6"/>
      <c r="Z29" s="6"/>
      <c r="AA29" s="6"/>
      <c r="AB29" s="6"/>
      <c r="AC29" s="12"/>
      <c r="AD29" s="12"/>
      <c r="AE29" s="12"/>
      <c r="AJ29" s="21"/>
    </row>
    <row r="30" spans="1:36" s="2" customFormat="1" ht="11.25" customHeight="1">
      <c r="A30" s="2" t="s">
        <v>937</v>
      </c>
      <c r="B30" s="117" t="s">
        <v>1614</v>
      </c>
      <c r="C30" s="2" t="s">
        <v>939</v>
      </c>
      <c r="D30" s="34" t="s">
        <v>387</v>
      </c>
      <c r="E30" s="34"/>
      <c r="F30" s="34"/>
      <c r="G30" s="2">
        <v>0</v>
      </c>
      <c r="H30" s="6"/>
      <c r="I30" s="6"/>
      <c r="J30" s="6"/>
      <c r="K30" s="6"/>
      <c r="L30" s="6"/>
      <c r="M30" s="6"/>
      <c r="N30" s="6"/>
      <c r="O30" s="6"/>
      <c r="P30" s="6"/>
      <c r="Q30" s="6"/>
      <c r="R30" s="6"/>
      <c r="S30" s="6"/>
      <c r="T30" s="6"/>
      <c r="U30" s="6"/>
      <c r="V30" s="6"/>
      <c r="W30" s="6"/>
      <c r="X30" s="6"/>
      <c r="Y30" s="6"/>
      <c r="Z30" s="6"/>
      <c r="AA30" s="6"/>
      <c r="AB30" s="6"/>
      <c r="AC30" s="12"/>
      <c r="AD30" s="12"/>
      <c r="AE30" s="12"/>
      <c r="AJ30" s="21"/>
    </row>
    <row r="31" spans="1:36" s="2" customFormat="1" ht="11.25" customHeight="1">
      <c r="A31" s="2" t="s">
        <v>940</v>
      </c>
      <c r="B31" s="122" t="s">
        <v>1615</v>
      </c>
      <c r="C31" s="3" t="s">
        <v>941</v>
      </c>
      <c r="D31" s="13" t="s">
        <v>387</v>
      </c>
      <c r="E31" s="13"/>
      <c r="F31" s="13"/>
      <c r="G31" s="2">
        <v>0</v>
      </c>
      <c r="H31" s="6"/>
      <c r="I31" s="6"/>
      <c r="J31" s="6"/>
      <c r="K31" s="6"/>
      <c r="L31" s="6"/>
      <c r="M31" s="6"/>
      <c r="N31" s="6"/>
      <c r="O31" s="6"/>
      <c r="P31" s="6"/>
      <c r="Q31" s="6"/>
      <c r="R31" s="6"/>
      <c r="S31" s="6"/>
      <c r="T31" s="6"/>
      <c r="U31" s="6"/>
      <c r="V31" s="6"/>
      <c r="W31" s="6"/>
      <c r="X31" s="6"/>
      <c r="Y31" s="6"/>
      <c r="Z31" s="6"/>
      <c r="AA31" s="6"/>
      <c r="AB31" s="6"/>
      <c r="AC31" s="12"/>
      <c r="AD31" s="12"/>
      <c r="AE31" s="12"/>
      <c r="AG31" s="17"/>
      <c r="AJ31" s="21"/>
    </row>
    <row r="32" spans="1:36" s="2" customFormat="1" ht="11.25" customHeight="1">
      <c r="A32" s="2" t="s">
        <v>944</v>
      </c>
      <c r="B32" s="117" t="s">
        <v>1616</v>
      </c>
      <c r="C32" s="2" t="s">
        <v>945</v>
      </c>
      <c r="D32" s="34" t="s">
        <v>387</v>
      </c>
      <c r="E32" s="34"/>
      <c r="F32" s="34"/>
      <c r="G32" s="2">
        <v>0</v>
      </c>
      <c r="H32" s="6"/>
      <c r="I32" s="6"/>
      <c r="J32" s="6"/>
      <c r="K32" s="6"/>
      <c r="L32" s="6"/>
      <c r="M32" s="6"/>
      <c r="N32" s="6"/>
      <c r="O32" s="6"/>
      <c r="P32" s="6"/>
      <c r="Q32" s="6"/>
      <c r="R32" s="6"/>
      <c r="S32" s="6"/>
      <c r="T32" s="6"/>
      <c r="U32" s="6"/>
      <c r="V32" s="6"/>
      <c r="W32" s="6"/>
      <c r="X32" s="6"/>
      <c r="Y32" s="6"/>
      <c r="Z32" s="6"/>
      <c r="AA32" s="6"/>
      <c r="AB32" s="6"/>
      <c r="AC32" s="12"/>
      <c r="AD32" s="12"/>
      <c r="AJ32" s="21"/>
    </row>
    <row r="33" spans="1:37" s="2" customFormat="1" ht="11.25" customHeight="1">
      <c r="A33" s="2" t="s">
        <v>946</v>
      </c>
      <c r="B33" s="122" t="s">
        <v>1617</v>
      </c>
      <c r="C33" s="2" t="s">
        <v>947</v>
      </c>
      <c r="D33" s="34" t="s">
        <v>739</v>
      </c>
      <c r="E33" s="34"/>
      <c r="F33" s="34"/>
      <c r="G33" s="2">
        <v>0</v>
      </c>
      <c r="H33" s="6"/>
      <c r="I33" s="6"/>
      <c r="J33" s="6"/>
      <c r="K33" s="6"/>
      <c r="L33" s="6"/>
      <c r="M33" s="6"/>
      <c r="N33" s="6"/>
      <c r="O33" s="6"/>
      <c r="P33" s="6"/>
      <c r="Q33" s="6"/>
      <c r="R33" s="6"/>
      <c r="S33" s="6"/>
      <c r="T33" s="6"/>
      <c r="U33" s="6"/>
      <c r="V33" s="6"/>
      <c r="W33" s="6"/>
      <c r="X33" s="6"/>
      <c r="Y33" s="6"/>
      <c r="Z33" s="6"/>
      <c r="AA33" s="6"/>
      <c r="AB33" s="6"/>
      <c r="AC33" s="12"/>
      <c r="AD33" s="12"/>
      <c r="AJ33" s="21"/>
    </row>
    <row r="34" spans="1:37" s="2" customFormat="1" ht="11.25" customHeight="1">
      <c r="A34" s="2" t="s">
        <v>948</v>
      </c>
      <c r="B34" s="117" t="s">
        <v>1618</v>
      </c>
      <c r="C34" s="2" t="s">
        <v>949</v>
      </c>
      <c r="D34" s="34" t="s">
        <v>739</v>
      </c>
      <c r="E34" s="34"/>
      <c r="F34" s="34"/>
      <c r="G34" s="2">
        <v>2</v>
      </c>
      <c r="H34" s="6"/>
      <c r="I34" s="6"/>
      <c r="J34" s="6"/>
      <c r="K34" s="6"/>
      <c r="L34" s="6"/>
      <c r="M34" s="6"/>
      <c r="N34" s="6"/>
      <c r="O34" s="6"/>
      <c r="P34" s="6"/>
      <c r="Q34" s="6"/>
      <c r="R34" s="6"/>
      <c r="S34" s="6"/>
      <c r="T34" s="6" t="s">
        <v>623</v>
      </c>
      <c r="U34" s="6"/>
      <c r="V34" s="6"/>
      <c r="W34" s="6"/>
      <c r="X34" s="6"/>
      <c r="Y34" s="6"/>
      <c r="Z34" s="6" t="s">
        <v>623</v>
      </c>
      <c r="AA34" s="6" t="s">
        <v>623</v>
      </c>
      <c r="AB34" s="6"/>
      <c r="AC34" s="6"/>
      <c r="AD34" s="6"/>
      <c r="AJ34" s="21"/>
    </row>
    <row r="35" spans="1:37" s="2" customFormat="1" ht="11.25" customHeight="1">
      <c r="A35" s="2" t="s">
        <v>950</v>
      </c>
      <c r="B35" s="122" t="s">
        <v>1619</v>
      </c>
      <c r="C35" s="2" t="s">
        <v>951</v>
      </c>
      <c r="D35" s="34" t="s">
        <v>739</v>
      </c>
      <c r="E35" s="34"/>
      <c r="F35" s="34"/>
      <c r="G35" s="2">
        <v>0</v>
      </c>
      <c r="H35" s="6"/>
      <c r="I35" s="6"/>
      <c r="J35" s="6"/>
      <c r="K35" s="6"/>
      <c r="L35" s="6"/>
      <c r="M35" s="6"/>
      <c r="N35" s="6"/>
      <c r="O35" s="6"/>
      <c r="P35" s="6"/>
      <c r="Q35" s="6"/>
      <c r="R35" s="6"/>
      <c r="S35" s="6"/>
      <c r="T35" s="6"/>
      <c r="U35" s="6"/>
      <c r="V35" s="6"/>
      <c r="W35" s="6"/>
      <c r="X35" s="6"/>
      <c r="Y35" s="6"/>
      <c r="Z35" s="6"/>
      <c r="AA35" s="6"/>
      <c r="AB35" s="6"/>
      <c r="AC35" s="6"/>
      <c r="AD35" s="6"/>
      <c r="AJ35" s="21"/>
    </row>
    <row r="36" spans="1:37" s="2" customFormat="1" ht="11.25" customHeight="1">
      <c r="A36" s="2" t="s">
        <v>952</v>
      </c>
      <c r="B36" s="117" t="s">
        <v>1620</v>
      </c>
      <c r="C36" s="2" t="s">
        <v>953</v>
      </c>
      <c r="D36" s="34" t="s">
        <v>739</v>
      </c>
      <c r="E36" s="34"/>
      <c r="F36" s="34"/>
      <c r="G36" s="2">
        <v>0</v>
      </c>
      <c r="H36" s="6"/>
      <c r="I36" s="6"/>
      <c r="J36" s="6"/>
      <c r="K36" s="6"/>
      <c r="L36" s="6"/>
      <c r="M36" s="6"/>
      <c r="N36" s="6"/>
      <c r="O36" s="6"/>
      <c r="P36" s="6"/>
      <c r="Q36" s="6"/>
      <c r="R36" s="6"/>
      <c r="S36" s="6"/>
      <c r="T36" s="6"/>
      <c r="U36" s="6"/>
      <c r="V36" s="6"/>
      <c r="W36" s="6"/>
      <c r="X36" s="6"/>
      <c r="Y36" s="6"/>
      <c r="Z36" s="6"/>
      <c r="AA36" s="6"/>
      <c r="AB36" s="6"/>
      <c r="AC36" s="12"/>
      <c r="AD36" s="12"/>
      <c r="AJ36" s="21"/>
    </row>
    <row r="37" spans="1:37" s="2" customFormat="1" ht="11.25" customHeight="1">
      <c r="A37" s="2" t="s">
        <v>954</v>
      </c>
      <c r="B37" s="122" t="s">
        <v>1621</v>
      </c>
      <c r="C37" s="2" t="s">
        <v>955</v>
      </c>
      <c r="D37" s="34" t="s">
        <v>739</v>
      </c>
      <c r="E37" s="34"/>
      <c r="F37" s="34"/>
      <c r="G37" s="2">
        <v>0</v>
      </c>
      <c r="H37" s="6"/>
      <c r="I37" s="6"/>
      <c r="J37" s="6"/>
      <c r="K37" s="6"/>
      <c r="L37" s="6"/>
      <c r="M37" s="6"/>
      <c r="N37" s="6"/>
      <c r="O37" s="6"/>
      <c r="P37" s="6"/>
      <c r="Q37" s="6"/>
      <c r="R37" s="6"/>
      <c r="S37" s="6"/>
      <c r="T37" s="6"/>
      <c r="U37" s="6"/>
      <c r="V37" s="6"/>
      <c r="W37" s="6"/>
      <c r="X37" s="6"/>
      <c r="Y37" s="6"/>
      <c r="Z37" s="6"/>
      <c r="AA37" s="6"/>
      <c r="AB37" s="6"/>
      <c r="AC37" s="6"/>
      <c r="AD37" s="6"/>
      <c r="AI37" s="2" t="s">
        <v>1586</v>
      </c>
      <c r="AJ37" s="21"/>
    </row>
    <row r="38" spans="1:37" s="2" customFormat="1" ht="11.25" customHeight="1">
      <c r="A38" s="2" t="s">
        <v>956</v>
      </c>
      <c r="B38" s="117" t="s">
        <v>1622</v>
      </c>
      <c r="C38" s="2" t="s">
        <v>957</v>
      </c>
      <c r="D38" s="34" t="s">
        <v>739</v>
      </c>
      <c r="E38" s="34"/>
      <c r="F38" s="34"/>
      <c r="G38" s="2">
        <v>0</v>
      </c>
      <c r="H38" s="6"/>
      <c r="I38" s="6"/>
      <c r="J38" s="6"/>
      <c r="K38" s="6"/>
      <c r="L38" s="6"/>
      <c r="M38" s="6"/>
      <c r="N38" s="6"/>
      <c r="O38" s="6"/>
      <c r="P38" s="6"/>
      <c r="Q38" s="6"/>
      <c r="R38" s="6"/>
      <c r="S38" s="6"/>
      <c r="T38" s="6"/>
      <c r="U38" s="6"/>
      <c r="V38" s="6"/>
      <c r="W38" s="6"/>
      <c r="X38" s="6"/>
      <c r="Y38" s="6"/>
      <c r="Z38" s="6"/>
      <c r="AA38" s="6"/>
      <c r="AB38" s="6"/>
      <c r="AC38" s="12"/>
      <c r="AD38" s="12"/>
      <c r="AJ38" s="21"/>
    </row>
    <row r="39" spans="1:37" s="2" customFormat="1" ht="11.25" customHeight="1">
      <c r="A39" s="2" t="s">
        <v>958</v>
      </c>
      <c r="B39" s="122" t="s">
        <v>1623</v>
      </c>
      <c r="C39" s="2" t="s">
        <v>959</v>
      </c>
      <c r="D39" s="34" t="s">
        <v>739</v>
      </c>
      <c r="E39" s="34"/>
      <c r="F39" s="34"/>
      <c r="G39" s="2">
        <v>3</v>
      </c>
      <c r="H39" s="6"/>
      <c r="I39" s="6"/>
      <c r="J39" s="6"/>
      <c r="K39" s="6"/>
      <c r="L39" s="6"/>
      <c r="M39" s="6" t="s">
        <v>623</v>
      </c>
      <c r="N39" s="6"/>
      <c r="O39" s="6"/>
      <c r="P39" s="6"/>
      <c r="Q39" s="6"/>
      <c r="R39" s="6"/>
      <c r="S39" s="6"/>
      <c r="T39" s="6"/>
      <c r="U39" s="6"/>
      <c r="V39" s="6" t="s">
        <v>623</v>
      </c>
      <c r="W39" s="6" t="s">
        <v>623</v>
      </c>
      <c r="X39" s="6" t="s">
        <v>623</v>
      </c>
      <c r="Y39" s="6" t="s">
        <v>623</v>
      </c>
      <c r="Z39" s="6" t="s">
        <v>623</v>
      </c>
      <c r="AA39" s="6"/>
      <c r="AB39" s="6"/>
      <c r="AC39" s="12"/>
      <c r="AD39" s="12" t="s">
        <v>623</v>
      </c>
      <c r="AJ39" s="21"/>
    </row>
    <row r="40" spans="1:37" s="2" customFormat="1" ht="11.25" customHeight="1">
      <c r="A40" s="2" t="s">
        <v>960</v>
      </c>
      <c r="B40" s="117" t="s">
        <v>1624</v>
      </c>
      <c r="C40" s="2" t="s">
        <v>961</v>
      </c>
      <c r="D40" s="34" t="s">
        <v>739</v>
      </c>
      <c r="E40" s="34"/>
      <c r="F40" s="34"/>
      <c r="G40" s="2">
        <v>0</v>
      </c>
      <c r="H40" s="6"/>
      <c r="I40" s="6"/>
      <c r="J40" s="6"/>
      <c r="K40" s="6"/>
      <c r="L40" s="6"/>
      <c r="M40" s="6"/>
      <c r="N40" s="6"/>
      <c r="O40" s="6"/>
      <c r="P40" s="6"/>
      <c r="Q40" s="6"/>
      <c r="R40" s="6"/>
      <c r="S40" s="6"/>
      <c r="T40" s="6"/>
      <c r="U40" s="6"/>
      <c r="V40" s="6"/>
      <c r="W40" s="6"/>
      <c r="X40" s="6"/>
      <c r="Y40" s="6"/>
      <c r="Z40" s="6"/>
      <c r="AA40" s="6"/>
      <c r="AB40" s="6"/>
      <c r="AC40" s="12"/>
      <c r="AD40" s="12"/>
      <c r="AE40" s="12"/>
      <c r="AJ40" s="21"/>
    </row>
    <row r="41" spans="1:37" s="2" customFormat="1" ht="11.25" customHeight="1">
      <c r="A41" s="2" t="s">
        <v>962</v>
      </c>
      <c r="B41" s="122" t="s">
        <v>1625</v>
      </c>
      <c r="C41" s="2" t="s">
        <v>963</v>
      </c>
      <c r="D41" s="34" t="s">
        <v>387</v>
      </c>
      <c r="E41" s="34"/>
      <c r="F41" s="34"/>
      <c r="G41" s="2">
        <v>2</v>
      </c>
      <c r="H41" s="6"/>
      <c r="I41" s="6"/>
      <c r="J41" s="6"/>
      <c r="K41" s="6"/>
      <c r="L41" s="6"/>
      <c r="M41" s="6"/>
      <c r="N41" s="6"/>
      <c r="O41" s="6"/>
      <c r="P41" s="6"/>
      <c r="Q41" s="6"/>
      <c r="R41" s="6"/>
      <c r="S41" s="6"/>
      <c r="T41" s="6"/>
      <c r="U41" s="6"/>
      <c r="V41" s="6"/>
      <c r="W41" s="6"/>
      <c r="X41" s="6"/>
      <c r="Y41" s="6"/>
      <c r="Z41" s="6"/>
      <c r="AA41" s="6"/>
      <c r="AB41" s="6"/>
      <c r="AC41" s="12"/>
      <c r="AD41" s="12"/>
      <c r="AE41" s="12"/>
      <c r="AJ41" s="21"/>
    </row>
    <row r="42" spans="1:37" ht="11.25" customHeight="1">
      <c r="A42" s="1" t="s">
        <v>964</v>
      </c>
      <c r="B42" s="117" t="s">
        <v>1626</v>
      </c>
      <c r="C42" s="2" t="s">
        <v>965</v>
      </c>
      <c r="D42" s="34" t="s">
        <v>387</v>
      </c>
      <c r="E42" s="34"/>
      <c r="F42" s="34"/>
      <c r="G42" s="2">
        <v>0</v>
      </c>
      <c r="H42" s="6"/>
      <c r="I42" s="6"/>
      <c r="J42" s="6"/>
      <c r="K42" s="6"/>
      <c r="L42" s="6"/>
      <c r="M42" s="6"/>
      <c r="N42" s="6"/>
      <c r="O42" s="6"/>
      <c r="P42" s="6"/>
      <c r="Q42" s="6"/>
      <c r="R42" s="6"/>
      <c r="S42" s="6"/>
      <c r="T42" s="6"/>
      <c r="U42" s="6"/>
      <c r="V42" s="6"/>
      <c r="W42" s="6"/>
      <c r="X42" s="6"/>
      <c r="Y42" s="6"/>
      <c r="Z42" s="6"/>
      <c r="AA42" s="6"/>
      <c r="AB42" s="6"/>
      <c r="AC42" s="6"/>
      <c r="AD42" s="6"/>
      <c r="AE42" s="6"/>
      <c r="AF42" s="2"/>
      <c r="AG42" s="2"/>
      <c r="AH42" s="2"/>
      <c r="AI42" s="2"/>
      <c r="AJ42" s="21"/>
      <c r="AK42" s="2"/>
    </row>
    <row r="43" spans="1:37" ht="11.25" customHeight="1">
      <c r="A43" s="1" t="s">
        <v>966</v>
      </c>
      <c r="B43" s="122" t="s">
        <v>1627</v>
      </c>
      <c r="C43" s="1" t="s">
        <v>967</v>
      </c>
      <c r="D43" s="4" t="s">
        <v>387</v>
      </c>
      <c r="E43" s="4"/>
      <c r="F43" s="4"/>
      <c r="G43" s="1">
        <v>0</v>
      </c>
      <c r="U43" s="5" t="s">
        <v>623</v>
      </c>
      <c r="AB43" s="5"/>
      <c r="AC43" s="8"/>
      <c r="AD43" s="8"/>
      <c r="AE43" s="8"/>
      <c r="AI43" s="1"/>
      <c r="AJ43" s="20"/>
      <c r="AK43" s="2"/>
    </row>
    <row r="44" spans="1:37" ht="11.25" customHeight="1">
      <c r="A44" s="1" t="s">
        <v>966</v>
      </c>
      <c r="B44" s="117" t="s">
        <v>1628</v>
      </c>
      <c r="C44" s="1" t="s">
        <v>968</v>
      </c>
      <c r="D44" s="4" t="s">
        <v>387</v>
      </c>
      <c r="E44" s="4"/>
      <c r="F44" s="4"/>
      <c r="G44" s="1">
        <v>0</v>
      </c>
      <c r="AB44" s="5"/>
      <c r="AC44" s="8"/>
      <c r="AD44" s="8"/>
      <c r="AE44" s="8"/>
      <c r="AI44" s="1"/>
      <c r="AJ44" s="20"/>
      <c r="AK44" s="2"/>
    </row>
    <row r="45" spans="1:37" ht="11.25" customHeight="1">
      <c r="A45" s="1" t="s">
        <v>969</v>
      </c>
      <c r="B45" s="122" t="s">
        <v>1629</v>
      </c>
      <c r="C45" s="1" t="s">
        <v>970</v>
      </c>
      <c r="D45" s="4" t="s">
        <v>901</v>
      </c>
      <c r="E45" s="4"/>
      <c r="F45" s="4"/>
      <c r="G45" s="1">
        <v>0</v>
      </c>
      <c r="AB45" s="5"/>
      <c r="AC45" s="8"/>
      <c r="AD45" s="8"/>
      <c r="AE45" s="8"/>
      <c r="AI45" s="1"/>
      <c r="AJ45" s="20"/>
      <c r="AK45" s="2"/>
    </row>
    <row r="46" spans="1:37" ht="11.25" customHeight="1">
      <c r="A46" s="1" t="s">
        <v>971</v>
      </c>
      <c r="B46" s="117" t="s">
        <v>1630</v>
      </c>
      <c r="C46" s="1" t="s">
        <v>972</v>
      </c>
      <c r="D46" s="4" t="s">
        <v>739</v>
      </c>
      <c r="E46" s="4"/>
      <c r="F46" s="4"/>
      <c r="G46" s="1">
        <v>3</v>
      </c>
      <c r="AB46" s="5"/>
      <c r="AC46" s="8"/>
      <c r="AD46" s="8"/>
      <c r="AE46" s="8"/>
      <c r="AI46" s="1"/>
      <c r="AJ46" s="20"/>
      <c r="AK46" s="2"/>
    </row>
    <row r="47" spans="1:37" ht="11.25" customHeight="1">
      <c r="A47" s="1" t="s">
        <v>973</v>
      </c>
      <c r="B47" s="122" t="s">
        <v>1631</v>
      </c>
      <c r="C47" s="1" t="s">
        <v>974</v>
      </c>
      <c r="D47" s="4" t="s">
        <v>387</v>
      </c>
      <c r="E47" s="4"/>
      <c r="F47" s="4"/>
      <c r="G47" s="1">
        <v>1</v>
      </c>
      <c r="V47" s="5" t="s">
        <v>623</v>
      </c>
      <c r="AB47" s="5"/>
      <c r="AC47" s="5"/>
      <c r="AD47" s="5"/>
      <c r="AE47" s="5" t="s">
        <v>623</v>
      </c>
      <c r="AI47" s="1"/>
      <c r="AJ47" s="20"/>
      <c r="AK47" s="2"/>
    </row>
    <row r="48" spans="1:37" ht="11.25" customHeight="1">
      <c r="A48" s="1" t="s">
        <v>973</v>
      </c>
      <c r="B48" s="117" t="s">
        <v>1631</v>
      </c>
      <c r="C48" s="1" t="s">
        <v>974</v>
      </c>
      <c r="D48" s="4" t="s">
        <v>387</v>
      </c>
      <c r="E48" s="4"/>
      <c r="F48" s="4"/>
      <c r="G48" s="1">
        <v>0</v>
      </c>
      <c r="AB48" s="5"/>
      <c r="AC48" s="8"/>
      <c r="AD48" s="8"/>
      <c r="AE48" s="8"/>
      <c r="AI48" s="1"/>
      <c r="AJ48" s="20"/>
      <c r="AK48" s="2"/>
    </row>
    <row r="49" spans="1:37" ht="11.25" customHeight="1">
      <c r="A49" s="1" t="s">
        <v>975</v>
      </c>
      <c r="B49" s="122" t="s">
        <v>1632</v>
      </c>
      <c r="C49" s="1" t="s">
        <v>976</v>
      </c>
      <c r="D49" s="4" t="s">
        <v>739</v>
      </c>
      <c r="E49" s="4"/>
      <c r="F49" s="4"/>
      <c r="G49" s="2">
        <v>1</v>
      </c>
      <c r="AB49" s="5"/>
      <c r="AC49" s="8"/>
      <c r="AD49" s="8"/>
      <c r="AE49" s="8"/>
      <c r="AG49" s="2"/>
      <c r="AI49" s="1"/>
      <c r="AJ49" s="20"/>
      <c r="AK49" s="2"/>
    </row>
    <row r="50" spans="1:37" ht="11.25" customHeight="1">
      <c r="A50" s="1" t="s">
        <v>977</v>
      </c>
      <c r="B50" s="117" t="s">
        <v>1592</v>
      </c>
      <c r="C50" s="1" t="s">
        <v>978</v>
      </c>
      <c r="D50" s="4" t="s">
        <v>387</v>
      </c>
      <c r="E50" s="4"/>
      <c r="F50" s="4"/>
      <c r="G50" s="2">
        <v>0</v>
      </c>
      <c r="AB50" s="5"/>
      <c r="AC50" s="8"/>
      <c r="AD50" s="8"/>
      <c r="AE50" s="8"/>
      <c r="AG50" s="2"/>
      <c r="AI50" s="1"/>
      <c r="AJ50" s="20"/>
      <c r="AK50" s="2"/>
    </row>
    <row r="51" spans="1:37" ht="11.25" customHeight="1">
      <c r="A51" s="1" t="s">
        <v>979</v>
      </c>
      <c r="B51" s="122" t="s">
        <v>1633</v>
      </c>
      <c r="C51" s="1" t="s">
        <v>980</v>
      </c>
      <c r="D51" s="4" t="s">
        <v>739</v>
      </c>
      <c r="E51" s="4"/>
      <c r="F51" s="4"/>
      <c r="G51" s="1">
        <v>2</v>
      </c>
      <c r="U51" s="5" t="s">
        <v>623</v>
      </c>
      <c r="AB51" s="5"/>
      <c r="AC51" s="8"/>
      <c r="AD51" s="8"/>
      <c r="AE51" s="8"/>
      <c r="AI51" s="1"/>
      <c r="AJ51" s="20"/>
      <c r="AK51" s="2"/>
    </row>
    <row r="52" spans="1:37" ht="11.25" customHeight="1">
      <c r="A52" s="1" t="s">
        <v>981</v>
      </c>
      <c r="B52" s="117" t="s">
        <v>1634</v>
      </c>
      <c r="C52" s="1" t="s">
        <v>982</v>
      </c>
      <c r="D52" s="4" t="s">
        <v>739</v>
      </c>
      <c r="E52" s="4"/>
      <c r="F52" s="4"/>
      <c r="G52" s="1">
        <v>2</v>
      </c>
      <c r="R52" s="5" t="s">
        <v>623</v>
      </c>
      <c r="AB52" s="5"/>
      <c r="AC52" s="8"/>
      <c r="AD52" s="8"/>
      <c r="AE52" s="8" t="s">
        <v>623</v>
      </c>
      <c r="AI52" s="1"/>
      <c r="AJ52" s="20"/>
      <c r="AK52" s="2"/>
    </row>
    <row r="53" spans="1:37" ht="11.25" customHeight="1">
      <c r="A53" s="1" t="s">
        <v>981</v>
      </c>
      <c r="B53" s="122" t="s">
        <v>1592</v>
      </c>
      <c r="C53" s="1" t="s">
        <v>983</v>
      </c>
      <c r="D53" s="4" t="s">
        <v>387</v>
      </c>
      <c r="E53" s="4"/>
      <c r="F53" s="4"/>
      <c r="G53" s="1">
        <v>0</v>
      </c>
      <c r="AB53" s="5"/>
      <c r="AC53" s="8"/>
      <c r="AD53" s="8"/>
      <c r="AE53" s="8"/>
      <c r="AI53" s="1"/>
      <c r="AJ53" s="20"/>
      <c r="AK53" s="2"/>
    </row>
    <row r="54" spans="1:37" ht="11.25" customHeight="1">
      <c r="A54" s="1" t="s">
        <v>981</v>
      </c>
      <c r="B54" s="117" t="s">
        <v>1635</v>
      </c>
      <c r="C54" s="1" t="s">
        <v>984</v>
      </c>
      <c r="D54" s="4" t="s">
        <v>387</v>
      </c>
      <c r="E54" s="4"/>
      <c r="F54" s="4"/>
      <c r="G54" s="1">
        <v>0</v>
      </c>
      <c r="AB54" s="5"/>
      <c r="AC54" s="8"/>
      <c r="AD54" s="8"/>
      <c r="AE54" s="8"/>
      <c r="AH54" s="2"/>
      <c r="AI54" s="2"/>
      <c r="AJ54" s="20"/>
      <c r="AK54" s="2"/>
    </row>
    <row r="55" spans="1:37" ht="11.25" customHeight="1">
      <c r="A55" s="1" t="s">
        <v>985</v>
      </c>
      <c r="B55" s="122" t="s">
        <v>1636</v>
      </c>
      <c r="C55" s="29" t="s">
        <v>986</v>
      </c>
      <c r="D55" s="37" t="s">
        <v>387</v>
      </c>
      <c r="E55" s="37"/>
      <c r="F55" s="37"/>
      <c r="G55" s="32">
        <v>1</v>
      </c>
      <c r="H55" s="30"/>
      <c r="I55" s="30"/>
      <c r="J55" s="30"/>
      <c r="K55" s="30"/>
      <c r="L55" s="30"/>
      <c r="M55" s="30"/>
      <c r="N55" s="30"/>
      <c r="O55" s="30"/>
      <c r="P55" s="30"/>
      <c r="Q55" s="30"/>
      <c r="R55" s="30"/>
      <c r="S55" s="30"/>
      <c r="T55" s="30"/>
      <c r="U55" s="30" t="s">
        <v>623</v>
      </c>
      <c r="V55" s="30"/>
      <c r="W55" s="30"/>
      <c r="X55" s="30"/>
      <c r="Y55" s="30"/>
      <c r="Z55" s="30"/>
      <c r="AA55" s="30"/>
      <c r="AB55" s="30"/>
      <c r="AC55" s="31"/>
      <c r="AD55" s="31"/>
      <c r="AE55" s="31"/>
      <c r="AF55" s="32"/>
      <c r="AG55" s="32"/>
      <c r="AH55" s="32"/>
      <c r="AI55" s="32"/>
      <c r="AJ55" s="33"/>
      <c r="AK55" s="39"/>
    </row>
    <row r="56" spans="1:37" ht="11.25" customHeight="1">
      <c r="A56" s="1" t="s">
        <v>987</v>
      </c>
      <c r="B56" s="117" t="s">
        <v>1637</v>
      </c>
      <c r="C56" s="1" t="s">
        <v>988</v>
      </c>
      <c r="D56" s="1" t="s">
        <v>739</v>
      </c>
      <c r="G56" s="1">
        <v>2</v>
      </c>
      <c r="R56" s="5" t="s">
        <v>623</v>
      </c>
    </row>
    <row r="57" spans="1:37" ht="11.25" customHeight="1">
      <c r="A57" s="1" t="s">
        <v>989</v>
      </c>
      <c r="B57" s="122" t="s">
        <v>1638</v>
      </c>
      <c r="C57" s="1" t="s">
        <v>990</v>
      </c>
      <c r="D57" s="1" t="s">
        <v>1299</v>
      </c>
      <c r="G57" s="1">
        <v>3</v>
      </c>
    </row>
    <row r="58" spans="1:37" ht="11.25" customHeight="1">
      <c r="A58" s="1" t="s">
        <v>991</v>
      </c>
      <c r="B58" s="117" t="s">
        <v>1592</v>
      </c>
      <c r="C58" s="1" t="s">
        <v>889</v>
      </c>
      <c r="D58" s="1" t="s">
        <v>688</v>
      </c>
      <c r="G58" s="1">
        <v>0</v>
      </c>
    </row>
    <row r="59" spans="1:37" ht="11.25" customHeight="1">
      <c r="A59" s="1" t="s">
        <v>992</v>
      </c>
      <c r="B59" s="122" t="s">
        <v>1639</v>
      </c>
      <c r="C59" s="1" t="s">
        <v>993</v>
      </c>
      <c r="D59" s="1" t="s">
        <v>739</v>
      </c>
    </row>
    <row r="60" spans="1:37" ht="11.25" customHeight="1">
      <c r="A60" s="1" t="s">
        <v>994</v>
      </c>
      <c r="B60" s="117" t="s">
        <v>1640</v>
      </c>
      <c r="C60" s="1" t="s">
        <v>995</v>
      </c>
      <c r="D60" s="1" t="s">
        <v>387</v>
      </c>
      <c r="G60" s="1">
        <v>1</v>
      </c>
      <c r="U60" s="5" t="s">
        <v>623</v>
      </c>
    </row>
    <row r="61" spans="1:37" ht="11.25" customHeight="1">
      <c r="A61" s="1" t="s">
        <v>994</v>
      </c>
      <c r="B61" s="122" t="s">
        <v>1641</v>
      </c>
      <c r="C61" s="1" t="s">
        <v>996</v>
      </c>
      <c r="D61" s="1" t="s">
        <v>387</v>
      </c>
      <c r="G61" s="1">
        <v>1</v>
      </c>
    </row>
    <row r="62" spans="1:37" ht="11.25" customHeight="1">
      <c r="A62" s="1" t="s">
        <v>997</v>
      </c>
      <c r="B62" s="117" t="s">
        <v>1642</v>
      </c>
      <c r="C62" s="1" t="s">
        <v>998</v>
      </c>
      <c r="D62" s="1" t="s">
        <v>739</v>
      </c>
      <c r="G62" s="1">
        <v>1</v>
      </c>
      <c r="U62" s="5" t="s">
        <v>623</v>
      </c>
    </row>
    <row r="63" spans="1:37" ht="11.25" customHeight="1">
      <c r="A63" s="1" t="s">
        <v>999</v>
      </c>
      <c r="B63" s="122" t="s">
        <v>1643</v>
      </c>
      <c r="C63" s="1" t="s">
        <v>1000</v>
      </c>
      <c r="D63" s="1" t="s">
        <v>739</v>
      </c>
      <c r="G63" s="1">
        <v>0</v>
      </c>
    </row>
    <row r="64" spans="1:37" ht="11.25" customHeight="1">
      <c r="A64" s="1" t="s">
        <v>1001</v>
      </c>
      <c r="B64" s="117" t="s">
        <v>1644</v>
      </c>
      <c r="C64" s="1" t="s">
        <v>1002</v>
      </c>
      <c r="D64" s="1" t="s">
        <v>739</v>
      </c>
      <c r="G64" s="1">
        <v>0</v>
      </c>
    </row>
    <row r="65" spans="1:30" ht="11.25" customHeight="1">
      <c r="A65" s="1" t="s">
        <v>1003</v>
      </c>
      <c r="B65" s="122" t="s">
        <v>1645</v>
      </c>
      <c r="C65" s="1" t="s">
        <v>1004</v>
      </c>
      <c r="D65" s="1" t="s">
        <v>739</v>
      </c>
      <c r="G65" s="1">
        <v>0</v>
      </c>
    </row>
    <row r="66" spans="1:30" ht="11.25" customHeight="1">
      <c r="A66" s="1" t="s">
        <v>1005</v>
      </c>
      <c r="B66" s="117" t="s">
        <v>1646</v>
      </c>
      <c r="C66" s="1" t="s">
        <v>1006</v>
      </c>
      <c r="D66" s="1" t="s">
        <v>739</v>
      </c>
      <c r="G66" s="1">
        <v>0</v>
      </c>
    </row>
    <row r="67" spans="1:30" ht="11.25" customHeight="1">
      <c r="A67" s="1" t="s">
        <v>1007</v>
      </c>
      <c r="B67" s="123" t="s">
        <v>1647</v>
      </c>
      <c r="C67" s="1" t="s">
        <v>1008</v>
      </c>
      <c r="D67" s="1" t="s">
        <v>387</v>
      </c>
      <c r="G67" s="1">
        <v>3</v>
      </c>
      <c r="V67" s="5" t="s">
        <v>623</v>
      </c>
      <c r="W67" s="5" t="s">
        <v>623</v>
      </c>
      <c r="X67" s="5" t="s">
        <v>623</v>
      </c>
      <c r="Y67" s="5" t="s">
        <v>623</v>
      </c>
      <c r="Z67" s="5" t="s">
        <v>623</v>
      </c>
      <c r="AD67" s="15" t="s">
        <v>623</v>
      </c>
    </row>
  </sheetData>
  <pageMargins left="0.25" right="0.25" top="0.25" bottom="0.25" header="0.3" footer="0.3"/>
  <pageSetup paperSize="5" scale="42" fitToHeight="6" orientation="landscape"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sheetPr>
    <pageSetUpPr fitToPage="1"/>
  </sheetPr>
  <dimension ref="A1:AK17"/>
  <sheetViews>
    <sheetView zoomScale="120" zoomScaleNormal="120" workbookViewId="0">
      <pane xSplit="3" ySplit="2" topLeftCell="D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5.5703125" style="1" customWidth="1"/>
    <col min="5" max="6" width="4.7109375" style="1" customWidth="1"/>
    <col min="7" max="7" width="11.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2.75" customHeight="1">
      <c r="A3" s="1" t="s">
        <v>1064</v>
      </c>
      <c r="B3" s="1" t="s">
        <v>1063</v>
      </c>
      <c r="C3" s="1" t="s">
        <v>1066</v>
      </c>
      <c r="D3" s="1" t="s">
        <v>739</v>
      </c>
      <c r="G3" s="1">
        <v>1</v>
      </c>
      <c r="K3" s="5" t="s">
        <v>388</v>
      </c>
      <c r="P3" s="5" t="s">
        <v>388</v>
      </c>
      <c r="T3" s="5" t="s">
        <v>388</v>
      </c>
      <c r="U3" s="5" t="s">
        <v>388</v>
      </c>
      <c r="W3" s="5" t="s">
        <v>388</v>
      </c>
      <c r="X3" s="5" t="s">
        <v>388</v>
      </c>
      <c r="Z3" s="5" t="s">
        <v>388</v>
      </c>
      <c r="AA3" s="5" t="s">
        <v>388</v>
      </c>
      <c r="AE3" s="101">
        <v>3</v>
      </c>
      <c r="AF3" s="1" t="s">
        <v>389</v>
      </c>
      <c r="AG3" s="1" t="s">
        <v>1065</v>
      </c>
    </row>
    <row r="4" spans="1:37" ht="11.25">
      <c r="A4" s="1" t="s">
        <v>1068</v>
      </c>
      <c r="B4" s="9" t="s">
        <v>1069</v>
      </c>
      <c r="C4" s="35" t="s">
        <v>1067</v>
      </c>
      <c r="D4" s="4" t="s">
        <v>739</v>
      </c>
      <c r="E4" s="35"/>
      <c r="F4" s="35"/>
      <c r="G4" s="1">
        <v>1</v>
      </c>
      <c r="K4" s="5" t="s">
        <v>388</v>
      </c>
      <c r="O4" s="6"/>
      <c r="Q4" s="6"/>
      <c r="T4" s="5" t="s">
        <v>388</v>
      </c>
      <c r="X4" s="5" t="s">
        <v>388</v>
      </c>
      <c r="Y4" s="5" t="s">
        <v>388</v>
      </c>
      <c r="Z4" s="5" t="s">
        <v>388</v>
      </c>
      <c r="AA4" s="5" t="s">
        <v>388</v>
      </c>
      <c r="AB4" s="5" t="s">
        <v>388</v>
      </c>
      <c r="AC4" s="8"/>
      <c r="AD4" s="8"/>
      <c r="AE4" s="101">
        <v>3</v>
      </c>
      <c r="AF4" s="8" t="s">
        <v>389</v>
      </c>
      <c r="AG4" s="2" t="s">
        <v>1070</v>
      </c>
      <c r="AH4" s="2"/>
      <c r="AI4" s="1"/>
      <c r="AJ4" s="20"/>
      <c r="AK4" s="2"/>
    </row>
    <row r="5" spans="1:37" ht="11.25">
      <c r="A5" s="1" t="s">
        <v>1073</v>
      </c>
      <c r="B5" s="1" t="s">
        <v>1071</v>
      </c>
      <c r="C5" s="4" t="s">
        <v>1072</v>
      </c>
      <c r="D5" s="4" t="s">
        <v>739</v>
      </c>
      <c r="E5" s="4"/>
      <c r="F5" s="4"/>
      <c r="G5" s="1">
        <v>1</v>
      </c>
      <c r="K5" s="5" t="s">
        <v>388</v>
      </c>
      <c r="R5" s="5" t="s">
        <v>388</v>
      </c>
      <c r="T5" s="5" t="s">
        <v>388</v>
      </c>
      <c r="W5" s="5" t="s">
        <v>388</v>
      </c>
      <c r="X5" s="5" t="s">
        <v>388</v>
      </c>
      <c r="Z5" s="5" t="s">
        <v>388</v>
      </c>
      <c r="AA5" s="5" t="s">
        <v>388</v>
      </c>
      <c r="AB5" s="5"/>
      <c r="AC5" s="8"/>
      <c r="AD5" s="8"/>
      <c r="AE5" s="101">
        <v>3</v>
      </c>
      <c r="AF5" s="8" t="s">
        <v>389</v>
      </c>
      <c r="AG5" s="2" t="s">
        <v>1074</v>
      </c>
      <c r="AH5" s="2"/>
      <c r="AI5" s="1"/>
      <c r="AJ5" s="20"/>
      <c r="AK5" s="2"/>
    </row>
    <row r="6" spans="1:37" ht="11.25">
      <c r="A6" s="1" t="s">
        <v>1078</v>
      </c>
      <c r="B6" s="1" t="s">
        <v>1077</v>
      </c>
      <c r="C6" s="90" t="s">
        <v>1076</v>
      </c>
      <c r="D6" s="4" t="s">
        <v>739</v>
      </c>
      <c r="E6" s="4"/>
      <c r="F6" s="4"/>
      <c r="G6" s="1">
        <v>0</v>
      </c>
      <c r="K6" s="5" t="s">
        <v>388</v>
      </c>
      <c r="T6" s="5" t="s">
        <v>388</v>
      </c>
      <c r="W6" s="5" t="s">
        <v>388</v>
      </c>
      <c r="Z6" s="5" t="s">
        <v>388</v>
      </c>
      <c r="AA6" s="5" t="s">
        <v>388</v>
      </c>
      <c r="AB6" s="5"/>
      <c r="AC6" s="8"/>
      <c r="AD6" s="8"/>
      <c r="AE6" s="12"/>
      <c r="AF6" s="8" t="s">
        <v>389</v>
      </c>
      <c r="AG6" s="2" t="s">
        <v>1075</v>
      </c>
      <c r="AH6" s="2"/>
      <c r="AI6" s="1"/>
      <c r="AJ6" s="20"/>
      <c r="AK6" s="2"/>
    </row>
    <row r="7" spans="1:37" ht="11.25">
      <c r="A7" s="1" t="s">
        <v>1079</v>
      </c>
      <c r="B7" s="16" t="s">
        <v>1081</v>
      </c>
      <c r="C7" s="1" t="s">
        <v>1080</v>
      </c>
      <c r="D7" s="4" t="s">
        <v>739</v>
      </c>
      <c r="E7" s="4"/>
      <c r="F7" s="4"/>
      <c r="G7" s="1">
        <v>0</v>
      </c>
      <c r="K7" s="5" t="s">
        <v>388</v>
      </c>
      <c r="AA7" s="5" t="s">
        <v>388</v>
      </c>
      <c r="AB7" s="5"/>
      <c r="AC7" s="8"/>
      <c r="AD7" s="8"/>
      <c r="AE7" s="8"/>
      <c r="AF7" s="1" t="s">
        <v>389</v>
      </c>
      <c r="AG7" s="1" t="s">
        <v>1082</v>
      </c>
      <c r="AI7" s="1"/>
      <c r="AJ7" s="20"/>
      <c r="AK7" s="2"/>
    </row>
    <row r="8" spans="1:37" ht="11.25">
      <c r="A8" s="117" t="s">
        <v>1393</v>
      </c>
      <c r="B8" s="70" t="s">
        <v>1394</v>
      </c>
      <c r="C8" s="3" t="s">
        <v>1392</v>
      </c>
      <c r="D8" s="13" t="s">
        <v>739</v>
      </c>
      <c r="E8" s="13"/>
      <c r="F8" s="13"/>
      <c r="G8" s="1">
        <v>1</v>
      </c>
      <c r="K8" s="5" t="s">
        <v>388</v>
      </c>
      <c r="M8" s="5" t="s">
        <v>388</v>
      </c>
      <c r="R8" s="5" t="s">
        <v>388</v>
      </c>
      <c r="T8" s="5" t="s">
        <v>388</v>
      </c>
      <c r="Y8" s="5" t="s">
        <v>388</v>
      </c>
      <c r="Z8" s="5" t="s">
        <v>388</v>
      </c>
      <c r="AA8" s="5" t="s">
        <v>388</v>
      </c>
      <c r="AB8" s="5" t="s">
        <v>388</v>
      </c>
      <c r="AC8" s="8"/>
      <c r="AD8" s="8"/>
      <c r="AE8" s="8" t="s">
        <v>648</v>
      </c>
      <c r="AF8" s="1" t="s">
        <v>394</v>
      </c>
      <c r="AG8" s="1" t="s">
        <v>1395</v>
      </c>
      <c r="AI8" s="1"/>
      <c r="AJ8" s="20"/>
      <c r="AK8" s="2"/>
    </row>
    <row r="9" spans="1:37" ht="11.25">
      <c r="A9" s="1" t="s">
        <v>1398</v>
      </c>
      <c r="B9" s="17" t="s">
        <v>1397</v>
      </c>
      <c r="C9" s="1" t="s">
        <v>1396</v>
      </c>
      <c r="D9" s="4" t="s">
        <v>739</v>
      </c>
      <c r="E9" s="4"/>
      <c r="F9" s="4"/>
      <c r="G9" s="1">
        <v>1</v>
      </c>
      <c r="T9" s="5" t="s">
        <v>388</v>
      </c>
      <c r="W9" s="5" t="s">
        <v>388</v>
      </c>
      <c r="Z9" s="5" t="s">
        <v>388</v>
      </c>
      <c r="AB9" s="5"/>
      <c r="AC9" s="8"/>
      <c r="AD9" s="8"/>
      <c r="AE9" s="8" t="s">
        <v>648</v>
      </c>
      <c r="AF9" s="1" t="s">
        <v>394</v>
      </c>
      <c r="AG9" s="1" t="s">
        <v>1399</v>
      </c>
      <c r="AI9" s="1"/>
      <c r="AJ9" s="20"/>
      <c r="AK9" s="2"/>
    </row>
    <row r="10" spans="1:37" ht="11.25">
      <c r="A10" s="1" t="s">
        <v>1401</v>
      </c>
      <c r="B10" s="17" t="s">
        <v>1402</v>
      </c>
      <c r="C10" s="1" t="s">
        <v>1400</v>
      </c>
      <c r="D10" s="4" t="s">
        <v>739</v>
      </c>
      <c r="E10" s="4"/>
      <c r="F10" s="4"/>
      <c r="G10" s="1">
        <v>1</v>
      </c>
      <c r="T10" s="5" t="s">
        <v>388</v>
      </c>
      <c r="AA10" s="5" t="s">
        <v>388</v>
      </c>
      <c r="AB10" s="5"/>
      <c r="AC10" s="8"/>
      <c r="AD10" s="8"/>
      <c r="AE10" s="8" t="s">
        <v>648</v>
      </c>
      <c r="AF10" s="1" t="s">
        <v>394</v>
      </c>
      <c r="AG10" s="1" t="s">
        <v>1403</v>
      </c>
      <c r="AI10" s="1"/>
      <c r="AJ10" s="20" t="s">
        <v>1404</v>
      </c>
      <c r="AK10" s="2"/>
    </row>
    <row r="11" spans="1:37" ht="11.25">
      <c r="A11" s="1" t="s">
        <v>1405</v>
      </c>
      <c r="B11" s="17" t="s">
        <v>1407</v>
      </c>
      <c r="C11" s="3" t="s">
        <v>1406</v>
      </c>
      <c r="D11" s="13" t="s">
        <v>739</v>
      </c>
      <c r="E11" s="13"/>
      <c r="F11" s="13"/>
      <c r="G11" s="1">
        <v>1</v>
      </c>
      <c r="K11" s="5" t="s">
        <v>388</v>
      </c>
      <c r="AB11" s="5"/>
      <c r="AC11" s="8"/>
      <c r="AD11" s="8" t="s">
        <v>388</v>
      </c>
      <c r="AE11" s="8" t="s">
        <v>648</v>
      </c>
      <c r="AF11" s="1" t="s">
        <v>394</v>
      </c>
      <c r="AG11" s="1" t="s">
        <v>1408</v>
      </c>
      <c r="AI11" s="1"/>
      <c r="AJ11" s="20" t="s">
        <v>1409</v>
      </c>
      <c r="AK11" s="2"/>
    </row>
    <row r="12" spans="1:37" ht="11.25">
      <c r="A12" s="1" t="s">
        <v>1412</v>
      </c>
      <c r="B12" s="17" t="s">
        <v>1411</v>
      </c>
      <c r="C12" s="2" t="s">
        <v>1410</v>
      </c>
      <c r="D12" s="34" t="s">
        <v>1306</v>
      </c>
      <c r="E12" s="34"/>
      <c r="F12" s="34"/>
      <c r="G12" s="1">
        <v>1</v>
      </c>
      <c r="H12" s="6"/>
      <c r="I12" s="6"/>
      <c r="J12" s="6"/>
      <c r="K12" s="6"/>
      <c r="L12" s="6"/>
      <c r="M12" s="6"/>
      <c r="N12" s="6"/>
      <c r="O12" s="6"/>
      <c r="P12" s="6"/>
      <c r="Q12" s="6"/>
      <c r="R12" s="6"/>
      <c r="S12" s="6"/>
      <c r="T12" s="6" t="s">
        <v>388</v>
      </c>
      <c r="U12" s="6"/>
      <c r="V12" s="6" t="s">
        <v>388</v>
      </c>
      <c r="W12" s="6"/>
      <c r="X12" s="6" t="s">
        <v>388</v>
      </c>
      <c r="Y12" s="6"/>
      <c r="Z12" s="6" t="s">
        <v>388</v>
      </c>
      <c r="AA12" s="6"/>
      <c r="AB12" s="6"/>
      <c r="AC12" s="6"/>
      <c r="AD12" s="6" t="s">
        <v>388</v>
      </c>
      <c r="AE12" s="6">
        <v>3</v>
      </c>
      <c r="AF12" s="2" t="s">
        <v>394</v>
      </c>
      <c r="AG12" s="1" t="s">
        <v>1413</v>
      </c>
      <c r="AH12" s="2"/>
      <c r="AI12" s="2" t="s">
        <v>1414</v>
      </c>
      <c r="AJ12" s="21" t="s">
        <v>1415</v>
      </c>
      <c r="AK12" s="2"/>
    </row>
    <row r="13" spans="1:37" ht="11.25">
      <c r="A13" s="1" t="s">
        <v>1417</v>
      </c>
      <c r="B13" s="28" t="s">
        <v>1418</v>
      </c>
      <c r="C13" s="29" t="s">
        <v>1416</v>
      </c>
      <c r="D13" s="37" t="s">
        <v>1306</v>
      </c>
      <c r="E13" s="37"/>
      <c r="F13" s="37"/>
      <c r="G13" s="32">
        <v>1</v>
      </c>
      <c r="H13" s="30"/>
      <c r="I13" s="30"/>
      <c r="J13" s="30"/>
      <c r="K13" s="30"/>
      <c r="L13" s="30"/>
      <c r="M13" s="30"/>
      <c r="N13" s="30"/>
      <c r="O13" s="30"/>
      <c r="P13" s="30"/>
      <c r="Q13" s="30"/>
      <c r="R13" s="30"/>
      <c r="S13" s="30"/>
      <c r="T13" s="30"/>
      <c r="U13" s="30"/>
      <c r="V13" s="30" t="s">
        <v>388</v>
      </c>
      <c r="W13" s="30"/>
      <c r="X13" s="30"/>
      <c r="Y13" s="30"/>
      <c r="Z13" s="30"/>
      <c r="AA13" s="30"/>
      <c r="AB13" s="30"/>
      <c r="AC13" s="31"/>
      <c r="AD13" s="31"/>
      <c r="AE13" s="31" t="s">
        <v>648</v>
      </c>
      <c r="AF13" s="32" t="s">
        <v>394</v>
      </c>
      <c r="AG13" s="32" t="s">
        <v>1419</v>
      </c>
      <c r="AH13" s="32"/>
      <c r="AI13" s="32"/>
      <c r="AJ13" s="33"/>
      <c r="AK13" s="39"/>
    </row>
    <row r="14" spans="1:37">
      <c r="A14" s="1" t="s">
        <v>1091</v>
      </c>
      <c r="B14" s="110" t="s">
        <v>1421</v>
      </c>
      <c r="C14" s="71" t="s">
        <v>1420</v>
      </c>
      <c r="D14" s="118" t="s">
        <v>1306</v>
      </c>
      <c r="E14" s="119"/>
      <c r="F14" s="119"/>
      <c r="G14" s="104" t="s">
        <v>664</v>
      </c>
      <c r="H14" s="105"/>
      <c r="I14" s="105"/>
      <c r="J14" s="105"/>
      <c r="K14" s="105"/>
      <c r="L14" s="105"/>
      <c r="M14" s="105"/>
      <c r="N14" s="106"/>
      <c r="O14" s="105"/>
      <c r="P14" s="106"/>
      <c r="Q14" s="105"/>
      <c r="R14" s="106"/>
      <c r="S14" s="106"/>
      <c r="T14" s="106" t="s">
        <v>388</v>
      </c>
      <c r="U14" s="106"/>
      <c r="V14" s="106"/>
      <c r="W14" s="106"/>
      <c r="X14" s="106"/>
      <c r="Y14" s="106"/>
      <c r="Z14" s="106"/>
      <c r="AA14" s="106"/>
      <c r="AB14" s="106"/>
      <c r="AC14" s="104" t="s">
        <v>388</v>
      </c>
      <c r="AD14" s="107" t="s">
        <v>388</v>
      </c>
      <c r="AE14" s="107" t="s">
        <v>648</v>
      </c>
      <c r="AF14" s="108" t="s">
        <v>394</v>
      </c>
      <c r="AG14" s="108" t="s">
        <v>1422</v>
      </c>
      <c r="AH14" s="108"/>
      <c r="AI14" s="109" t="s">
        <v>1423</v>
      </c>
      <c r="AJ14" s="109"/>
      <c r="AK14" s="108"/>
    </row>
    <row r="15" spans="1:37" ht="11.25">
      <c r="A15" s="1" t="s">
        <v>1424</v>
      </c>
      <c r="B15" s="110" t="s">
        <v>1425</v>
      </c>
      <c r="C15" s="71" t="s">
        <v>990</v>
      </c>
      <c r="D15" s="103" t="s">
        <v>739</v>
      </c>
      <c r="E15" s="32"/>
      <c r="F15" s="32"/>
      <c r="G15" s="104" t="s">
        <v>674</v>
      </c>
      <c r="H15" s="105"/>
      <c r="I15" s="105"/>
      <c r="J15" s="105"/>
      <c r="K15" s="105"/>
      <c r="L15" s="105"/>
      <c r="M15" s="105"/>
      <c r="N15" s="106"/>
      <c r="O15" s="105"/>
      <c r="P15" s="106"/>
      <c r="Q15" s="105"/>
      <c r="R15" s="106" t="s">
        <v>388</v>
      </c>
      <c r="S15" s="106"/>
      <c r="T15" s="106"/>
      <c r="U15" s="106"/>
      <c r="V15" s="106"/>
      <c r="W15" s="106"/>
      <c r="X15" s="106"/>
      <c r="Y15" s="106"/>
      <c r="Z15" s="106"/>
      <c r="AA15" s="106"/>
      <c r="AB15" s="107"/>
      <c r="AC15" s="104"/>
      <c r="AD15" s="107"/>
      <c r="AE15" s="107" t="s">
        <v>648</v>
      </c>
      <c r="AF15" s="108" t="s">
        <v>394</v>
      </c>
      <c r="AG15" s="108" t="s">
        <v>1426</v>
      </c>
      <c r="AH15" s="108"/>
      <c r="AI15" s="108" t="s">
        <v>1428</v>
      </c>
      <c r="AJ15" s="109" t="s">
        <v>1427</v>
      </c>
      <c r="AK15" s="108"/>
    </row>
    <row r="16" spans="1:37" ht="11.25">
      <c r="A16" s="1" t="s">
        <v>1412</v>
      </c>
      <c r="B16" s="110" t="s">
        <v>1429</v>
      </c>
      <c r="C16" s="71" t="s">
        <v>1410</v>
      </c>
      <c r="D16" s="103" t="s">
        <v>1306</v>
      </c>
      <c r="E16" s="32"/>
      <c r="F16" s="32"/>
      <c r="G16" s="104" t="s">
        <v>664</v>
      </c>
      <c r="H16" s="105"/>
      <c r="I16" s="105"/>
      <c r="J16" s="105"/>
      <c r="K16" s="105"/>
      <c r="L16" s="105"/>
      <c r="M16" s="105"/>
      <c r="N16" s="106"/>
      <c r="O16" s="105"/>
      <c r="P16" s="106"/>
      <c r="Q16" s="105"/>
      <c r="R16" s="106"/>
      <c r="S16" s="106"/>
      <c r="T16" s="106" t="s">
        <v>388</v>
      </c>
      <c r="U16" s="106"/>
      <c r="V16" s="106"/>
      <c r="W16" s="106"/>
      <c r="X16" s="106" t="s">
        <v>388</v>
      </c>
      <c r="Y16" s="106"/>
      <c r="Z16" s="106" t="s">
        <v>388</v>
      </c>
      <c r="AA16" s="106"/>
      <c r="AB16" s="107"/>
      <c r="AC16" s="104"/>
      <c r="AD16" s="107"/>
      <c r="AE16" s="107" t="s">
        <v>648</v>
      </c>
      <c r="AF16" s="108" t="s">
        <v>394</v>
      </c>
      <c r="AG16" s="108" t="s">
        <v>1413</v>
      </c>
      <c r="AH16" s="108"/>
      <c r="AI16" s="108" t="s">
        <v>1430</v>
      </c>
      <c r="AJ16" s="109"/>
      <c r="AK16" s="108"/>
    </row>
    <row r="17" spans="1:37" ht="11.25">
      <c r="A17" s="1" t="s">
        <v>1417</v>
      </c>
      <c r="B17" s="110" t="s">
        <v>1432</v>
      </c>
      <c r="C17" s="71" t="s">
        <v>1431</v>
      </c>
      <c r="D17" s="103" t="s">
        <v>1306</v>
      </c>
      <c r="E17" s="32"/>
      <c r="F17" s="32"/>
      <c r="G17" s="104" t="s">
        <v>664</v>
      </c>
      <c r="H17" s="105"/>
      <c r="I17" s="105"/>
      <c r="J17" s="105"/>
      <c r="K17" s="105"/>
      <c r="L17" s="105"/>
      <c r="M17" s="105"/>
      <c r="N17" s="106"/>
      <c r="O17" s="105"/>
      <c r="P17" s="106"/>
      <c r="Q17" s="105"/>
      <c r="R17" s="106"/>
      <c r="S17" s="106"/>
      <c r="T17" s="106" t="s">
        <v>388</v>
      </c>
      <c r="U17" s="106"/>
      <c r="V17" s="106" t="s">
        <v>388</v>
      </c>
      <c r="W17" s="106"/>
      <c r="X17" s="106"/>
      <c r="Y17" s="106"/>
      <c r="Z17" s="106"/>
      <c r="AA17" s="106"/>
      <c r="AB17" s="107"/>
      <c r="AC17" s="104"/>
      <c r="AD17" s="107"/>
      <c r="AE17" s="107" t="s">
        <v>648</v>
      </c>
      <c r="AF17" s="108" t="s">
        <v>389</v>
      </c>
      <c r="AG17" s="108" t="s">
        <v>1433</v>
      </c>
      <c r="AH17" s="108"/>
      <c r="AI17" s="108" t="s">
        <v>1434</v>
      </c>
      <c r="AJ17" s="109"/>
      <c r="AK17" s="108"/>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sheetPr>
    <pageSetUpPr fitToPage="1"/>
  </sheetPr>
  <dimension ref="A1:AK276"/>
  <sheetViews>
    <sheetView workbookViewId="0">
      <pane xSplit="3" ySplit="2" topLeftCell="V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2.42578125" style="1" customWidth="1"/>
    <col min="3" max="3" width="37.42578125" style="1" customWidth="1"/>
    <col min="4" max="6" width="4.7109375" style="1" customWidth="1"/>
    <col min="7" max="7" width="13.14062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2" max="32" width="13.28515625" style="1" customWidth="1"/>
    <col min="33" max="33" width="5.2851562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62" t="s">
        <v>3</v>
      </c>
      <c r="I1" s="62"/>
      <c r="J1" s="62"/>
      <c r="K1" s="62"/>
      <c r="L1" s="62"/>
      <c r="M1" s="62"/>
      <c r="N1" s="62"/>
      <c r="O1" s="62"/>
      <c r="P1" s="62"/>
      <c r="Q1" s="62"/>
      <c r="R1" s="62"/>
      <c r="S1" s="62"/>
      <c r="T1" s="62"/>
      <c r="U1" s="62"/>
      <c r="V1" s="62"/>
      <c r="W1" s="62"/>
      <c r="X1" s="63"/>
      <c r="Y1" s="64"/>
      <c r="Z1" s="64"/>
      <c r="AA1" s="64"/>
      <c r="AB1" s="65"/>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s="2" customFormat="1" ht="11.25">
      <c r="A3" s="2" t="s">
        <v>687</v>
      </c>
      <c r="B3" s="2" t="s">
        <v>685</v>
      </c>
      <c r="C3" s="2" t="s">
        <v>686</v>
      </c>
      <c r="D3" s="2" t="s">
        <v>688</v>
      </c>
      <c r="E3" s="34"/>
      <c r="F3" s="34"/>
      <c r="G3" s="2">
        <v>0</v>
      </c>
      <c r="H3" s="6"/>
      <c r="I3" s="6"/>
      <c r="J3" s="6"/>
      <c r="K3" s="6"/>
      <c r="L3" s="6"/>
      <c r="M3" s="6"/>
      <c r="N3" s="6"/>
      <c r="O3" s="6" t="s">
        <v>388</v>
      </c>
      <c r="P3" s="6"/>
      <c r="Q3" s="6"/>
      <c r="R3" s="6"/>
      <c r="S3" s="6"/>
      <c r="T3" s="6"/>
      <c r="U3" s="6"/>
      <c r="V3" s="6"/>
      <c r="W3" s="6"/>
      <c r="X3" s="6"/>
      <c r="Y3" s="6"/>
      <c r="Z3" s="6"/>
      <c r="AA3" s="6"/>
      <c r="AB3" s="6"/>
      <c r="AC3" s="12"/>
      <c r="AD3" s="12" t="s">
        <v>388</v>
      </c>
      <c r="AE3" s="12" t="s">
        <v>648</v>
      </c>
      <c r="AF3" s="2" t="s">
        <v>394</v>
      </c>
      <c r="AG3" s="2" t="s">
        <v>689</v>
      </c>
      <c r="AJ3" s="21"/>
      <c r="AK3" s="38"/>
    </row>
    <row r="4" spans="1:37" s="2" customFormat="1" ht="11.25">
      <c r="A4" s="2" t="s">
        <v>691</v>
      </c>
      <c r="B4" s="2" t="s">
        <v>690</v>
      </c>
      <c r="C4" s="2" t="s">
        <v>692</v>
      </c>
      <c r="D4" s="2" t="s">
        <v>387</v>
      </c>
      <c r="E4" s="34"/>
      <c r="F4" s="34"/>
      <c r="G4" s="2">
        <v>0</v>
      </c>
      <c r="H4" s="6"/>
      <c r="I4" s="6"/>
      <c r="J4" s="6"/>
      <c r="K4" s="6"/>
      <c r="L4" s="6"/>
      <c r="M4" s="6"/>
      <c r="N4" s="6"/>
      <c r="O4" s="6" t="s">
        <v>388</v>
      </c>
      <c r="P4" s="6"/>
      <c r="Q4" s="6"/>
      <c r="R4" s="6"/>
      <c r="S4" s="6"/>
      <c r="T4" s="6"/>
      <c r="U4" s="6"/>
      <c r="V4" s="6"/>
      <c r="W4" s="6"/>
      <c r="X4" s="6"/>
      <c r="Y4" s="6"/>
      <c r="Z4" s="6"/>
      <c r="AA4" s="6"/>
      <c r="AB4" s="6"/>
      <c r="AC4" s="12" t="s">
        <v>388</v>
      </c>
      <c r="AD4" s="12"/>
      <c r="AE4" s="12" t="s">
        <v>648</v>
      </c>
      <c r="AF4" s="2" t="s">
        <v>389</v>
      </c>
      <c r="AG4" s="2" t="s">
        <v>693</v>
      </c>
      <c r="AJ4" s="21"/>
    </row>
    <row r="5" spans="1:37" s="2" customFormat="1" ht="11.25">
      <c r="A5" s="2" t="s">
        <v>695</v>
      </c>
      <c r="B5" s="2" t="s">
        <v>694</v>
      </c>
      <c r="C5" s="2" t="s">
        <v>696</v>
      </c>
      <c r="D5" s="2" t="s">
        <v>387</v>
      </c>
      <c r="E5" s="34"/>
      <c r="F5" s="34"/>
      <c r="G5" s="2">
        <v>0</v>
      </c>
      <c r="H5" s="6"/>
      <c r="I5" s="6"/>
      <c r="J5" s="6"/>
      <c r="K5" s="6"/>
      <c r="L5" s="6"/>
      <c r="M5" s="6"/>
      <c r="N5" s="6"/>
      <c r="O5" s="6" t="s">
        <v>388</v>
      </c>
      <c r="P5" s="6"/>
      <c r="Q5" s="6"/>
      <c r="R5" s="6"/>
      <c r="S5" s="6"/>
      <c r="T5" s="6"/>
      <c r="U5" s="6" t="s">
        <v>388</v>
      </c>
      <c r="V5" s="6"/>
      <c r="W5" s="6"/>
      <c r="X5" s="6"/>
      <c r="Y5" s="6"/>
      <c r="Z5" s="6"/>
      <c r="AA5" s="6"/>
      <c r="AB5" s="6"/>
      <c r="AC5" s="12"/>
      <c r="AD5" s="12" t="s">
        <v>388</v>
      </c>
      <c r="AE5" s="12" t="s">
        <v>648</v>
      </c>
      <c r="AF5" s="2" t="s">
        <v>394</v>
      </c>
      <c r="AG5" s="2" t="s">
        <v>705</v>
      </c>
      <c r="AJ5" s="21"/>
    </row>
    <row r="6" spans="1:37" s="2" customFormat="1" ht="11.25">
      <c r="A6" s="2" t="s">
        <v>698</v>
      </c>
      <c r="B6" s="2" t="s">
        <v>697</v>
      </c>
      <c r="C6" s="2" t="s">
        <v>699</v>
      </c>
      <c r="D6" s="2" t="s">
        <v>387</v>
      </c>
      <c r="E6" s="34"/>
      <c r="F6" s="34"/>
      <c r="G6" s="2">
        <v>0</v>
      </c>
      <c r="H6" s="6"/>
      <c r="I6" s="6"/>
      <c r="J6" s="6"/>
      <c r="K6" s="6"/>
      <c r="L6" s="6"/>
      <c r="M6" s="6"/>
      <c r="N6" s="6"/>
      <c r="O6" s="6" t="s">
        <v>388</v>
      </c>
      <c r="P6" s="6"/>
      <c r="Q6" s="6"/>
      <c r="R6" s="6"/>
      <c r="S6" s="6"/>
      <c r="T6" s="6"/>
      <c r="U6" s="6"/>
      <c r="V6" s="6"/>
      <c r="W6" s="6"/>
      <c r="X6" s="6"/>
      <c r="Y6" s="6"/>
      <c r="Z6" s="6"/>
      <c r="AA6" s="6"/>
      <c r="AB6" s="6"/>
      <c r="AC6" s="12"/>
      <c r="AD6" s="12"/>
      <c r="AE6" s="12" t="s">
        <v>648</v>
      </c>
      <c r="AF6" s="2" t="s">
        <v>389</v>
      </c>
      <c r="AG6" s="2" t="s">
        <v>700</v>
      </c>
      <c r="AJ6" s="21"/>
    </row>
    <row r="7" spans="1:37" s="2" customFormat="1" ht="11.25">
      <c r="A7" s="2" t="s">
        <v>701</v>
      </c>
      <c r="B7" s="17" t="s">
        <v>703</v>
      </c>
      <c r="C7" s="2" t="s">
        <v>702</v>
      </c>
      <c r="D7" s="34" t="s">
        <v>387</v>
      </c>
      <c r="E7" s="34"/>
      <c r="F7" s="34"/>
      <c r="G7" s="2">
        <v>2</v>
      </c>
      <c r="H7" s="6"/>
      <c r="I7" s="6"/>
      <c r="J7" s="6"/>
      <c r="K7" s="6"/>
      <c r="L7" s="6"/>
      <c r="M7" s="6"/>
      <c r="N7" s="6"/>
      <c r="O7" s="6" t="s">
        <v>388</v>
      </c>
      <c r="P7" s="6" t="s">
        <v>388</v>
      </c>
      <c r="Q7" s="6" t="s">
        <v>388</v>
      </c>
      <c r="R7" s="6"/>
      <c r="S7" s="6" t="s">
        <v>388</v>
      </c>
      <c r="T7" s="6"/>
      <c r="U7" s="6"/>
      <c r="V7" s="6" t="s">
        <v>388</v>
      </c>
      <c r="W7" s="6"/>
      <c r="X7" s="6" t="s">
        <v>388</v>
      </c>
      <c r="Y7" s="6"/>
      <c r="Z7" s="6"/>
      <c r="AA7" s="6"/>
      <c r="AB7" s="6"/>
      <c r="AC7" s="12"/>
      <c r="AD7" s="12"/>
      <c r="AE7" s="12" t="s">
        <v>648</v>
      </c>
      <c r="AF7" s="2" t="s">
        <v>394</v>
      </c>
      <c r="AG7" s="2" t="s">
        <v>704</v>
      </c>
      <c r="AJ7" s="21"/>
    </row>
    <row r="8" spans="1:37" s="2" customFormat="1" ht="11.25">
      <c r="A8" s="2" t="s">
        <v>706</v>
      </c>
      <c r="B8" s="17" t="s">
        <v>707</v>
      </c>
      <c r="C8" s="2" t="s">
        <v>708</v>
      </c>
      <c r="D8" s="34" t="s">
        <v>387</v>
      </c>
      <c r="E8" s="34"/>
      <c r="F8" s="34"/>
      <c r="G8" s="2">
        <v>1</v>
      </c>
      <c r="H8" s="6"/>
      <c r="I8" s="6"/>
      <c r="J8" s="6"/>
      <c r="K8" s="6"/>
      <c r="L8" s="6"/>
      <c r="M8" s="6" t="s">
        <v>388</v>
      </c>
      <c r="N8" s="6"/>
      <c r="O8" s="6" t="s">
        <v>388</v>
      </c>
      <c r="P8" s="6"/>
      <c r="Q8" s="6"/>
      <c r="R8" s="6"/>
      <c r="S8" s="6"/>
      <c r="T8" s="6"/>
      <c r="U8" s="6"/>
      <c r="V8" s="6" t="s">
        <v>388</v>
      </c>
      <c r="W8" s="6" t="s">
        <v>388</v>
      </c>
      <c r="X8" s="6"/>
      <c r="Y8" s="6"/>
      <c r="Z8" s="6"/>
      <c r="AA8" s="6"/>
      <c r="AB8" s="6"/>
      <c r="AC8" s="12"/>
      <c r="AD8" s="12"/>
      <c r="AE8" s="12" t="s">
        <v>648</v>
      </c>
      <c r="AF8" s="2" t="s">
        <v>389</v>
      </c>
      <c r="AJ8" s="21"/>
    </row>
    <row r="9" spans="1:37" s="2" customFormat="1" ht="11.25">
      <c r="A9" s="2" t="s">
        <v>711</v>
      </c>
      <c r="B9" s="17" t="s">
        <v>709</v>
      </c>
      <c r="C9" s="2" t="s">
        <v>710</v>
      </c>
      <c r="D9" s="34" t="s">
        <v>387</v>
      </c>
      <c r="E9" s="34"/>
      <c r="F9" s="34"/>
      <c r="G9" s="2">
        <v>1</v>
      </c>
      <c r="H9" s="6"/>
      <c r="I9" s="6"/>
      <c r="J9" s="6"/>
      <c r="K9" s="6" t="s">
        <v>388</v>
      </c>
      <c r="L9" s="6"/>
      <c r="M9" s="6" t="s">
        <v>388</v>
      </c>
      <c r="N9" s="6"/>
      <c r="O9" s="6" t="s">
        <v>388</v>
      </c>
      <c r="P9" s="6"/>
      <c r="Q9" s="6"/>
      <c r="R9" s="6" t="s">
        <v>388</v>
      </c>
      <c r="S9" s="6"/>
      <c r="T9" s="6"/>
      <c r="U9" s="6"/>
      <c r="V9" s="6" t="s">
        <v>388</v>
      </c>
      <c r="W9" s="6" t="s">
        <v>388</v>
      </c>
      <c r="X9" s="6" t="s">
        <v>388</v>
      </c>
      <c r="Y9" s="6"/>
      <c r="Z9" s="6" t="s">
        <v>388</v>
      </c>
      <c r="AA9" s="6"/>
      <c r="AB9" s="6"/>
      <c r="AC9" s="6" t="s">
        <v>388</v>
      </c>
      <c r="AD9" s="6"/>
      <c r="AE9" s="6">
        <v>3</v>
      </c>
      <c r="AF9" s="2" t="s">
        <v>389</v>
      </c>
      <c r="AG9" s="2" t="s">
        <v>712</v>
      </c>
      <c r="AJ9" s="21"/>
    </row>
    <row r="10" spans="1:37" s="2" customFormat="1" ht="11.25">
      <c r="A10" s="2" t="s">
        <v>713</v>
      </c>
      <c r="B10" s="17" t="s">
        <v>714</v>
      </c>
      <c r="C10" s="2" t="s">
        <v>715</v>
      </c>
      <c r="D10" s="34" t="s">
        <v>387</v>
      </c>
      <c r="E10" s="34"/>
      <c r="F10" s="34"/>
      <c r="G10" s="2">
        <v>0</v>
      </c>
      <c r="H10" s="6"/>
      <c r="I10" s="6"/>
      <c r="J10" s="6"/>
      <c r="K10" s="6"/>
      <c r="L10" s="6"/>
      <c r="M10" s="6" t="s">
        <v>388</v>
      </c>
      <c r="N10" s="6"/>
      <c r="O10" s="6" t="s">
        <v>388</v>
      </c>
      <c r="P10" s="6"/>
      <c r="Q10" s="6"/>
      <c r="R10" s="6"/>
      <c r="S10" s="6"/>
      <c r="T10" s="6"/>
      <c r="U10" s="6"/>
      <c r="V10" s="6"/>
      <c r="W10" s="6"/>
      <c r="X10" s="6"/>
      <c r="Y10" s="6"/>
      <c r="Z10" s="6"/>
      <c r="AA10" s="6"/>
      <c r="AB10" s="6"/>
      <c r="AC10" s="12"/>
      <c r="AD10" s="12"/>
      <c r="AE10" s="12" t="s">
        <v>648</v>
      </c>
      <c r="AF10" s="2" t="s">
        <v>389</v>
      </c>
      <c r="AJ10" s="21"/>
    </row>
    <row r="11" spans="1:37" s="2" customFormat="1" ht="11.25">
      <c r="A11" s="2" t="s">
        <v>269</v>
      </c>
      <c r="B11" s="70" t="s">
        <v>724</v>
      </c>
      <c r="C11" s="74" t="s">
        <v>271</v>
      </c>
      <c r="D11" s="34" t="s">
        <v>387</v>
      </c>
      <c r="E11" s="34"/>
      <c r="F11" s="34"/>
      <c r="G11" s="81">
        <v>0</v>
      </c>
      <c r="H11" s="73"/>
      <c r="I11" s="73"/>
      <c r="J11" s="73"/>
      <c r="K11" s="73"/>
      <c r="L11" s="73"/>
      <c r="M11" s="73"/>
      <c r="N11" s="73"/>
      <c r="O11" s="73" t="s">
        <v>388</v>
      </c>
      <c r="P11" s="73"/>
      <c r="Q11" s="73"/>
      <c r="R11" s="73"/>
      <c r="S11" s="73"/>
      <c r="T11" s="73" t="s">
        <v>388</v>
      </c>
      <c r="U11" s="73" t="s">
        <v>388</v>
      </c>
      <c r="V11" s="73" t="s">
        <v>388</v>
      </c>
      <c r="W11" s="73"/>
      <c r="X11" s="73"/>
      <c r="Y11" s="73"/>
      <c r="Z11" s="73"/>
      <c r="AA11" s="73"/>
      <c r="AB11" s="73"/>
      <c r="AC11" s="72"/>
      <c r="AD11" s="72"/>
      <c r="AE11" s="72" t="s">
        <v>648</v>
      </c>
      <c r="AF11" s="74" t="s">
        <v>389</v>
      </c>
      <c r="AG11" s="74" t="s">
        <v>725</v>
      </c>
      <c r="AH11" s="74"/>
      <c r="AI11" s="74"/>
      <c r="AJ11" s="75"/>
      <c r="AK11" s="74"/>
    </row>
    <row r="12" spans="1:37" s="2" customFormat="1" ht="11.25">
      <c r="A12" s="2" t="s">
        <v>726</v>
      </c>
      <c r="B12" s="70" t="s">
        <v>728</v>
      </c>
      <c r="C12" s="71" t="s">
        <v>727</v>
      </c>
      <c r="D12" s="34" t="s">
        <v>387</v>
      </c>
      <c r="E12" s="34"/>
      <c r="F12" s="34"/>
      <c r="G12" s="81">
        <v>1</v>
      </c>
      <c r="H12" s="73"/>
      <c r="I12" s="73"/>
      <c r="J12" s="73"/>
      <c r="K12" s="73"/>
      <c r="L12" s="73"/>
      <c r="M12" s="73" t="s">
        <v>388</v>
      </c>
      <c r="N12" s="73"/>
      <c r="O12" s="73" t="s">
        <v>388</v>
      </c>
      <c r="P12" s="73"/>
      <c r="Q12" s="73"/>
      <c r="R12" s="73"/>
      <c r="S12" s="73"/>
      <c r="T12" s="73" t="s">
        <v>388</v>
      </c>
      <c r="U12" s="73"/>
      <c r="V12" s="73"/>
      <c r="W12" s="73"/>
      <c r="X12" s="73"/>
      <c r="Y12" s="73" t="s">
        <v>388</v>
      </c>
      <c r="Z12" s="73"/>
      <c r="AA12" s="73"/>
      <c r="AB12" s="73"/>
      <c r="AC12" s="72"/>
      <c r="AD12" s="72"/>
      <c r="AE12" s="72" t="s">
        <v>648</v>
      </c>
      <c r="AF12" s="74" t="s">
        <v>394</v>
      </c>
      <c r="AG12" s="74" t="s">
        <v>729</v>
      </c>
      <c r="AH12" s="74"/>
      <c r="AI12" s="74"/>
      <c r="AJ12" s="75"/>
      <c r="AK12" s="74"/>
    </row>
    <row r="13" spans="1:37" s="2" customFormat="1" ht="11.25">
      <c r="A13" s="2" t="s">
        <v>716</v>
      </c>
      <c r="B13" s="17" t="s">
        <v>717</v>
      </c>
      <c r="C13" s="2" t="s">
        <v>718</v>
      </c>
      <c r="D13" s="34" t="s">
        <v>387</v>
      </c>
      <c r="E13" s="34"/>
      <c r="F13" s="34"/>
      <c r="G13" s="82">
        <v>0</v>
      </c>
      <c r="H13" s="6"/>
      <c r="I13" s="6"/>
      <c r="J13" s="6"/>
      <c r="K13" s="6"/>
      <c r="L13" s="6"/>
      <c r="M13" s="6"/>
      <c r="N13" s="6"/>
      <c r="O13" s="6" t="s">
        <v>388</v>
      </c>
      <c r="P13" s="6"/>
      <c r="Q13" s="6"/>
      <c r="R13" s="6"/>
      <c r="S13" s="6"/>
      <c r="T13" s="6"/>
      <c r="U13" s="6"/>
      <c r="V13" s="6" t="s">
        <v>388</v>
      </c>
      <c r="W13" s="6"/>
      <c r="X13" s="6"/>
      <c r="Y13" s="6"/>
      <c r="Z13" s="6"/>
      <c r="AA13" s="6"/>
      <c r="AB13" s="6"/>
      <c r="AC13" s="12"/>
      <c r="AD13" s="12"/>
      <c r="AE13" s="12" t="s">
        <v>648</v>
      </c>
      <c r="AF13" s="2" t="s">
        <v>394</v>
      </c>
      <c r="AG13" s="2" t="s">
        <v>719</v>
      </c>
      <c r="AJ13" s="21"/>
    </row>
    <row r="14" spans="1:37" s="2" customFormat="1" ht="11.25">
      <c r="A14" s="2" t="s">
        <v>732</v>
      </c>
      <c r="B14" s="70" t="s">
        <v>730</v>
      </c>
      <c r="C14" s="74" t="s">
        <v>731</v>
      </c>
      <c r="D14" s="34" t="s">
        <v>387</v>
      </c>
      <c r="E14" s="34"/>
      <c r="F14" s="34"/>
      <c r="G14" s="81">
        <v>0</v>
      </c>
      <c r="H14" s="73"/>
      <c r="I14" s="73"/>
      <c r="J14" s="73"/>
      <c r="K14" s="73" t="s">
        <v>388</v>
      </c>
      <c r="L14" s="73"/>
      <c r="M14" s="73"/>
      <c r="N14" s="73"/>
      <c r="O14" s="73" t="s">
        <v>388</v>
      </c>
      <c r="P14" s="73"/>
      <c r="Q14" s="73"/>
      <c r="R14" s="73"/>
      <c r="S14" s="73"/>
      <c r="T14" s="73" t="s">
        <v>388</v>
      </c>
      <c r="U14" s="73"/>
      <c r="V14" s="73"/>
      <c r="W14" s="73" t="s">
        <v>388</v>
      </c>
      <c r="X14" s="73" t="s">
        <v>388</v>
      </c>
      <c r="Y14" s="73"/>
      <c r="Z14" s="73" t="s">
        <v>388</v>
      </c>
      <c r="AA14" s="73"/>
      <c r="AB14" s="73"/>
      <c r="AC14" s="72"/>
      <c r="AD14" s="72"/>
      <c r="AE14" s="72" t="s">
        <v>648</v>
      </c>
      <c r="AF14" s="74" t="s">
        <v>394</v>
      </c>
      <c r="AG14" s="74"/>
      <c r="AH14" s="74"/>
      <c r="AI14" s="74"/>
      <c r="AJ14" s="75"/>
      <c r="AK14" s="74"/>
    </row>
    <row r="15" spans="1:37" s="2" customFormat="1" ht="12" customHeight="1">
      <c r="A15" s="2" t="s">
        <v>721</v>
      </c>
      <c r="B15" s="70" t="s">
        <v>720</v>
      </c>
      <c r="C15" s="76" t="s">
        <v>722</v>
      </c>
      <c r="D15" s="34" t="s">
        <v>387</v>
      </c>
      <c r="E15" s="34"/>
      <c r="F15" s="34"/>
      <c r="G15" s="81">
        <v>0</v>
      </c>
      <c r="H15" s="73"/>
      <c r="I15" s="73"/>
      <c r="J15" s="73"/>
      <c r="K15" s="73"/>
      <c r="L15" s="73"/>
      <c r="M15" s="73"/>
      <c r="N15" s="73"/>
      <c r="O15" s="73" t="s">
        <v>388</v>
      </c>
      <c r="P15" s="73"/>
      <c r="Q15" s="73"/>
      <c r="R15" s="73"/>
      <c r="S15" s="73"/>
      <c r="T15" s="73"/>
      <c r="U15" s="73"/>
      <c r="V15" s="73" t="s">
        <v>388</v>
      </c>
      <c r="W15" s="73"/>
      <c r="X15" s="73"/>
      <c r="Y15" s="73"/>
      <c r="Z15" s="73"/>
      <c r="AA15" s="73"/>
      <c r="AB15" s="73"/>
      <c r="AC15" s="72"/>
      <c r="AD15" s="72"/>
      <c r="AE15" s="72" t="s">
        <v>648</v>
      </c>
      <c r="AF15" s="74" t="s">
        <v>723</v>
      </c>
      <c r="AG15" s="74"/>
      <c r="AH15" s="74"/>
      <c r="AI15" s="74"/>
      <c r="AJ15" s="75"/>
      <c r="AK15" s="74"/>
    </row>
    <row r="16" spans="1:37" s="2" customFormat="1" ht="11.25">
      <c r="A16" s="2" t="s">
        <v>713</v>
      </c>
      <c r="B16" s="70" t="s">
        <v>733</v>
      </c>
      <c r="C16" s="71" t="s">
        <v>735</v>
      </c>
      <c r="D16" s="34" t="s">
        <v>387</v>
      </c>
      <c r="E16" s="34"/>
      <c r="F16" s="34"/>
      <c r="G16" s="81">
        <v>0</v>
      </c>
      <c r="H16" s="73"/>
      <c r="I16" s="73"/>
      <c r="J16" s="73"/>
      <c r="K16" s="73"/>
      <c r="L16" s="73"/>
      <c r="M16" s="73"/>
      <c r="N16" s="73"/>
      <c r="O16" s="73" t="s">
        <v>388</v>
      </c>
      <c r="P16" s="73"/>
      <c r="Q16" s="73"/>
      <c r="R16" s="73"/>
      <c r="S16" s="73"/>
      <c r="T16" s="73"/>
      <c r="U16" s="73"/>
      <c r="V16" s="73"/>
      <c r="W16" s="73"/>
      <c r="X16" s="73"/>
      <c r="Y16" s="73"/>
      <c r="Z16" s="73"/>
      <c r="AA16" s="73"/>
      <c r="AB16" s="73"/>
      <c r="AC16" s="72"/>
      <c r="AD16" s="72" t="s">
        <v>388</v>
      </c>
      <c r="AE16" s="72" t="s">
        <v>648</v>
      </c>
      <c r="AF16" s="74" t="s">
        <v>394</v>
      </c>
      <c r="AG16" s="74"/>
      <c r="AH16" s="74"/>
      <c r="AI16" s="74"/>
      <c r="AJ16" s="75" t="s">
        <v>734</v>
      </c>
      <c r="AK16" s="74"/>
    </row>
    <row r="17" spans="2:36" s="2" customFormat="1" ht="11.25">
      <c r="B17" s="17"/>
      <c r="D17" s="34"/>
      <c r="E17" s="34"/>
      <c r="F17" s="34"/>
      <c r="H17" s="6"/>
      <c r="I17" s="6"/>
      <c r="J17" s="6"/>
      <c r="K17" s="6"/>
      <c r="L17" s="6"/>
      <c r="M17" s="6"/>
      <c r="N17" s="6"/>
      <c r="O17" s="6"/>
      <c r="P17" s="6"/>
      <c r="Q17" s="6"/>
      <c r="R17" s="6"/>
      <c r="S17" s="6"/>
      <c r="T17" s="6"/>
      <c r="U17" s="6"/>
      <c r="V17" s="6"/>
      <c r="W17" s="6"/>
      <c r="X17" s="6"/>
      <c r="Y17" s="6"/>
      <c r="Z17" s="6"/>
      <c r="AA17" s="6"/>
      <c r="AB17" s="6"/>
      <c r="AC17" s="12"/>
      <c r="AD17" s="12"/>
      <c r="AE17" s="12"/>
      <c r="AJ17" s="21"/>
    </row>
    <row r="18" spans="2:36" s="2" customFormat="1" ht="11.25">
      <c r="B18" s="17"/>
      <c r="C18" s="3"/>
      <c r="D18" s="13"/>
      <c r="E18" s="13"/>
      <c r="F18" s="13"/>
      <c r="H18" s="6"/>
      <c r="I18" s="6"/>
      <c r="J18" s="6"/>
      <c r="K18" s="6"/>
      <c r="L18" s="6"/>
      <c r="M18" s="6"/>
      <c r="N18" s="6"/>
      <c r="O18" s="6"/>
      <c r="P18" s="6"/>
      <c r="Q18" s="6"/>
      <c r="R18" s="6"/>
      <c r="S18" s="6"/>
      <c r="T18" s="6"/>
      <c r="U18" s="6"/>
      <c r="V18" s="6"/>
      <c r="W18" s="6"/>
      <c r="X18" s="6"/>
      <c r="Y18" s="6"/>
      <c r="Z18" s="6"/>
      <c r="AA18" s="6"/>
      <c r="AB18" s="6"/>
      <c r="AC18" s="12"/>
      <c r="AD18" s="12"/>
      <c r="AE18" s="12"/>
      <c r="AJ18" s="21"/>
    </row>
    <row r="19" spans="2:36" s="2" customFormat="1" ht="11.25">
      <c r="B19" s="17"/>
      <c r="C19" s="3"/>
      <c r="D19" s="13"/>
      <c r="E19" s="13"/>
      <c r="F19" s="13"/>
      <c r="H19" s="6"/>
      <c r="I19" s="6"/>
      <c r="J19" s="6"/>
      <c r="K19" s="6"/>
      <c r="L19" s="6"/>
      <c r="M19" s="6"/>
      <c r="N19" s="6"/>
      <c r="O19" s="6"/>
      <c r="P19" s="6"/>
      <c r="Q19" s="6"/>
      <c r="R19" s="6"/>
      <c r="S19" s="6"/>
      <c r="T19" s="6"/>
      <c r="U19" s="6"/>
      <c r="V19" s="6"/>
      <c r="W19" s="6"/>
      <c r="X19" s="6"/>
      <c r="Y19" s="6"/>
      <c r="Z19" s="6"/>
      <c r="AA19" s="6"/>
      <c r="AB19" s="6"/>
      <c r="AC19" s="12"/>
      <c r="AD19" s="12"/>
      <c r="AE19" s="12"/>
      <c r="AJ19" s="21"/>
    </row>
    <row r="20" spans="2:36" s="2" customFormat="1" ht="11.25">
      <c r="B20" s="17"/>
      <c r="D20" s="34"/>
      <c r="E20" s="34"/>
      <c r="F20" s="34"/>
      <c r="H20" s="6"/>
      <c r="I20" s="6"/>
      <c r="J20" s="6"/>
      <c r="K20" s="6"/>
      <c r="L20" s="6"/>
      <c r="M20" s="6"/>
      <c r="N20" s="6"/>
      <c r="O20" s="6"/>
      <c r="P20" s="6"/>
      <c r="Q20" s="6"/>
      <c r="R20" s="6"/>
      <c r="S20" s="6"/>
      <c r="T20" s="6"/>
      <c r="U20" s="6"/>
      <c r="V20" s="6"/>
      <c r="W20" s="6"/>
      <c r="X20" s="6"/>
      <c r="Y20" s="6"/>
      <c r="Z20" s="6"/>
      <c r="AA20" s="6"/>
      <c r="AB20" s="6"/>
      <c r="AC20" s="12"/>
      <c r="AD20" s="12"/>
      <c r="AE20" s="12"/>
      <c r="AJ20" s="21"/>
    </row>
    <row r="21" spans="2:36" s="2" customFormat="1" ht="11.25">
      <c r="B21" s="17"/>
      <c r="D21" s="34"/>
      <c r="E21" s="34"/>
      <c r="F21" s="34"/>
      <c r="H21" s="6"/>
      <c r="I21" s="6"/>
      <c r="J21" s="6"/>
      <c r="K21" s="6"/>
      <c r="L21" s="6"/>
      <c r="M21" s="6"/>
      <c r="N21" s="6"/>
      <c r="O21" s="6"/>
      <c r="P21" s="6"/>
      <c r="Q21" s="6"/>
      <c r="R21" s="6"/>
      <c r="S21" s="6"/>
      <c r="T21" s="6"/>
      <c r="U21" s="6"/>
      <c r="V21" s="6"/>
      <c r="W21" s="6"/>
      <c r="X21" s="6"/>
      <c r="Y21" s="6"/>
      <c r="Z21" s="6"/>
      <c r="AA21" s="6"/>
      <c r="AB21" s="6"/>
      <c r="AC21" s="12"/>
      <c r="AD21" s="12"/>
      <c r="AE21" s="12"/>
      <c r="AJ21" s="21"/>
    </row>
    <row r="22" spans="2:36" s="2" customFormat="1" ht="11.25">
      <c r="B22" s="17"/>
      <c r="D22" s="34"/>
      <c r="E22" s="34"/>
      <c r="F22" s="34"/>
      <c r="H22" s="6"/>
      <c r="I22" s="6"/>
      <c r="J22" s="6"/>
      <c r="K22" s="6"/>
      <c r="L22" s="6"/>
      <c r="M22" s="6"/>
      <c r="N22" s="6"/>
      <c r="O22" s="6"/>
      <c r="P22" s="6"/>
      <c r="Q22" s="6"/>
      <c r="R22" s="6"/>
      <c r="S22" s="6"/>
      <c r="T22" s="6"/>
      <c r="U22" s="6"/>
      <c r="V22" s="6"/>
      <c r="W22" s="6"/>
      <c r="X22" s="6"/>
      <c r="Y22" s="6"/>
      <c r="Z22" s="6"/>
      <c r="AA22" s="6"/>
      <c r="AB22" s="6"/>
      <c r="AC22" s="12"/>
      <c r="AD22" s="12"/>
      <c r="AE22" s="12"/>
      <c r="AJ22" s="21"/>
    </row>
    <row r="23" spans="2:36" s="2" customFormat="1" ht="11.25">
      <c r="B23" s="17"/>
      <c r="D23" s="34"/>
      <c r="E23" s="34"/>
      <c r="F23" s="34"/>
      <c r="H23" s="6"/>
      <c r="I23" s="6"/>
      <c r="J23" s="6"/>
      <c r="K23" s="6"/>
      <c r="L23" s="6"/>
      <c r="M23" s="6"/>
      <c r="N23" s="6"/>
      <c r="O23" s="6"/>
      <c r="P23" s="6"/>
      <c r="Q23" s="6"/>
      <c r="R23" s="6"/>
      <c r="S23" s="6"/>
      <c r="T23" s="6"/>
      <c r="U23" s="6"/>
      <c r="V23" s="6"/>
      <c r="W23" s="6"/>
      <c r="X23" s="6"/>
      <c r="Y23" s="6"/>
      <c r="Z23" s="6"/>
      <c r="AA23" s="6"/>
      <c r="AB23" s="6"/>
      <c r="AC23" s="12"/>
      <c r="AD23" s="12"/>
      <c r="AE23" s="12"/>
      <c r="AJ23" s="21"/>
    </row>
    <row r="24" spans="2:36" s="2" customFormat="1" ht="11.25">
      <c r="B24" s="17"/>
      <c r="D24" s="34"/>
      <c r="E24" s="34"/>
      <c r="F24" s="34"/>
      <c r="H24" s="6"/>
      <c r="I24" s="6"/>
      <c r="J24" s="6"/>
      <c r="K24" s="6"/>
      <c r="L24" s="6"/>
      <c r="M24" s="6"/>
      <c r="N24" s="6"/>
      <c r="O24" s="6"/>
      <c r="P24" s="6"/>
      <c r="Q24" s="6"/>
      <c r="R24" s="6"/>
      <c r="S24" s="6"/>
      <c r="T24" s="6"/>
      <c r="U24" s="6"/>
      <c r="V24" s="6"/>
      <c r="W24" s="6"/>
      <c r="X24" s="6"/>
      <c r="Y24" s="6"/>
      <c r="Z24" s="6"/>
      <c r="AA24" s="6"/>
      <c r="AB24" s="6"/>
      <c r="AC24" s="12"/>
      <c r="AD24" s="12"/>
      <c r="AE24" s="12"/>
      <c r="AJ24" s="21"/>
    </row>
    <row r="25" spans="2:36" s="2" customFormat="1" ht="11.25">
      <c r="B25" s="17"/>
      <c r="D25" s="34"/>
      <c r="E25" s="34"/>
      <c r="F25" s="34"/>
      <c r="H25" s="6"/>
      <c r="I25" s="6"/>
      <c r="J25" s="6"/>
      <c r="K25" s="6"/>
      <c r="L25" s="6"/>
      <c r="M25" s="6"/>
      <c r="N25" s="6"/>
      <c r="O25" s="6"/>
      <c r="P25" s="6"/>
      <c r="Q25" s="6"/>
      <c r="R25" s="6"/>
      <c r="S25" s="6"/>
      <c r="T25" s="6"/>
      <c r="U25" s="6"/>
      <c r="V25" s="6"/>
      <c r="W25" s="6"/>
      <c r="X25" s="6"/>
      <c r="Y25" s="6"/>
      <c r="Z25" s="6"/>
      <c r="AA25" s="6"/>
      <c r="AB25" s="6"/>
      <c r="AC25" s="12"/>
      <c r="AD25" s="12"/>
      <c r="AE25" s="12"/>
      <c r="AJ25" s="21"/>
    </row>
    <row r="26" spans="2:36" s="2" customFormat="1" ht="11.25">
      <c r="B26" s="17"/>
      <c r="D26" s="34"/>
      <c r="E26" s="34"/>
      <c r="F26" s="34"/>
      <c r="H26" s="6"/>
      <c r="I26" s="6"/>
      <c r="J26" s="6"/>
      <c r="K26" s="6"/>
      <c r="L26" s="6"/>
      <c r="M26" s="6"/>
      <c r="N26" s="6"/>
      <c r="O26" s="6"/>
      <c r="P26" s="6"/>
      <c r="Q26" s="6"/>
      <c r="R26" s="6"/>
      <c r="S26" s="6"/>
      <c r="T26" s="6"/>
      <c r="U26" s="6"/>
      <c r="V26" s="6"/>
      <c r="W26" s="6"/>
      <c r="X26" s="6"/>
      <c r="Y26" s="6"/>
      <c r="Z26" s="6"/>
      <c r="AA26" s="6"/>
      <c r="AB26" s="6"/>
      <c r="AC26" s="12"/>
      <c r="AD26" s="12"/>
      <c r="AE26" s="12"/>
      <c r="AJ26" s="21"/>
    </row>
    <row r="27" spans="2:36" s="2" customFormat="1" ht="11.25">
      <c r="B27" s="17"/>
      <c r="D27" s="34"/>
      <c r="E27" s="34"/>
      <c r="F27" s="34"/>
      <c r="H27" s="6"/>
      <c r="I27" s="6"/>
      <c r="J27" s="6"/>
      <c r="K27" s="6"/>
      <c r="L27" s="6"/>
      <c r="M27" s="6"/>
      <c r="N27" s="6"/>
      <c r="O27" s="6"/>
      <c r="P27" s="6"/>
      <c r="Q27" s="6"/>
      <c r="R27" s="6"/>
      <c r="S27" s="6"/>
      <c r="T27" s="6"/>
      <c r="U27" s="6"/>
      <c r="V27" s="6"/>
      <c r="W27" s="6"/>
      <c r="X27" s="6"/>
      <c r="Y27" s="6"/>
      <c r="Z27" s="6"/>
      <c r="AA27" s="6"/>
      <c r="AB27" s="6"/>
      <c r="AC27" s="12"/>
      <c r="AD27" s="12"/>
      <c r="AE27" s="12"/>
      <c r="AJ27" s="21"/>
    </row>
    <row r="28" spans="2:36" s="2" customFormat="1" ht="11.25">
      <c r="B28" s="17"/>
      <c r="D28" s="34"/>
      <c r="E28" s="34"/>
      <c r="F28" s="34"/>
      <c r="H28" s="6"/>
      <c r="I28" s="6"/>
      <c r="J28" s="6"/>
      <c r="K28" s="6"/>
      <c r="L28" s="6"/>
      <c r="M28" s="6"/>
      <c r="N28" s="6"/>
      <c r="O28" s="6"/>
      <c r="P28" s="6"/>
      <c r="Q28" s="6"/>
      <c r="R28" s="6"/>
      <c r="S28" s="6"/>
      <c r="T28" s="6"/>
      <c r="U28" s="6"/>
      <c r="V28" s="6"/>
      <c r="W28" s="6"/>
      <c r="X28" s="6"/>
      <c r="Y28" s="6"/>
      <c r="Z28" s="6"/>
      <c r="AA28" s="6"/>
      <c r="AB28" s="6"/>
      <c r="AC28" s="12"/>
      <c r="AD28" s="12"/>
      <c r="AE28" s="12"/>
      <c r="AJ28" s="21"/>
    </row>
    <row r="29" spans="2:36" s="2" customFormat="1" ht="11.25">
      <c r="B29" s="17"/>
      <c r="D29" s="34"/>
      <c r="E29" s="34"/>
      <c r="F29" s="34"/>
      <c r="H29" s="6"/>
      <c r="I29" s="6"/>
      <c r="J29" s="6"/>
      <c r="K29" s="6"/>
      <c r="L29" s="6"/>
      <c r="M29" s="6"/>
      <c r="N29" s="6"/>
      <c r="O29" s="6"/>
      <c r="P29" s="6"/>
      <c r="Q29" s="6"/>
      <c r="R29" s="6"/>
      <c r="S29" s="6"/>
      <c r="T29" s="6"/>
      <c r="U29" s="6"/>
      <c r="V29" s="6"/>
      <c r="W29" s="6"/>
      <c r="X29" s="6"/>
      <c r="Y29" s="6"/>
      <c r="Z29" s="6"/>
      <c r="AA29" s="6"/>
      <c r="AB29" s="6"/>
      <c r="AC29" s="12"/>
      <c r="AD29" s="12"/>
      <c r="AE29" s="12"/>
      <c r="AJ29" s="21"/>
    </row>
    <row r="30" spans="2:36" s="2" customFormat="1" ht="11.25">
      <c r="B30" s="17"/>
      <c r="D30" s="34"/>
      <c r="E30" s="34"/>
      <c r="F30" s="34"/>
      <c r="H30" s="6"/>
      <c r="I30" s="6"/>
      <c r="J30" s="6"/>
      <c r="K30" s="6"/>
      <c r="L30" s="6"/>
      <c r="M30" s="6"/>
      <c r="N30" s="6"/>
      <c r="O30" s="6"/>
      <c r="P30" s="6"/>
      <c r="Q30" s="6"/>
      <c r="R30" s="6"/>
      <c r="S30" s="6"/>
      <c r="T30" s="6"/>
      <c r="U30" s="6"/>
      <c r="V30" s="6"/>
      <c r="W30" s="6"/>
      <c r="X30" s="6"/>
      <c r="Y30" s="6"/>
      <c r="Z30" s="6"/>
      <c r="AA30" s="6"/>
      <c r="AB30" s="6"/>
      <c r="AC30" s="12"/>
      <c r="AD30" s="12"/>
      <c r="AE30" s="12"/>
      <c r="AJ30" s="21"/>
    </row>
    <row r="31" spans="2:36" s="2" customFormat="1" ht="11.25">
      <c r="B31" s="17"/>
      <c r="D31" s="34"/>
      <c r="E31" s="34"/>
      <c r="F31" s="34"/>
      <c r="H31" s="6"/>
      <c r="I31" s="6"/>
      <c r="J31" s="6"/>
      <c r="K31" s="6"/>
      <c r="L31" s="6"/>
      <c r="M31" s="6"/>
      <c r="N31" s="6"/>
      <c r="O31" s="6"/>
      <c r="P31" s="6"/>
      <c r="Q31" s="6"/>
      <c r="R31" s="6"/>
      <c r="S31" s="6"/>
      <c r="T31" s="6"/>
      <c r="U31" s="6"/>
      <c r="V31" s="6"/>
      <c r="W31" s="6"/>
      <c r="X31" s="6"/>
      <c r="Y31" s="6"/>
      <c r="Z31" s="6"/>
      <c r="AA31" s="6"/>
      <c r="AB31" s="6"/>
      <c r="AC31" s="12"/>
      <c r="AD31" s="12"/>
      <c r="AE31" s="12"/>
      <c r="AJ31" s="21"/>
    </row>
    <row r="32" spans="2:36" s="2" customFormat="1" ht="11.25">
      <c r="B32" s="17"/>
      <c r="D32" s="34"/>
      <c r="E32" s="34"/>
      <c r="F32" s="34"/>
      <c r="H32" s="6"/>
      <c r="I32" s="6"/>
      <c r="J32" s="6"/>
      <c r="K32" s="6"/>
      <c r="L32" s="6"/>
      <c r="M32" s="6"/>
      <c r="N32" s="6"/>
      <c r="O32" s="6"/>
      <c r="P32" s="6"/>
      <c r="Q32" s="6"/>
      <c r="R32" s="6"/>
      <c r="S32" s="6"/>
      <c r="T32" s="6"/>
      <c r="U32" s="6"/>
      <c r="V32" s="6"/>
      <c r="W32" s="6"/>
      <c r="X32" s="6"/>
      <c r="Y32" s="6"/>
      <c r="Z32" s="6"/>
      <c r="AA32" s="6"/>
      <c r="AB32" s="6"/>
      <c r="AC32" s="12"/>
      <c r="AD32" s="12"/>
      <c r="AE32" s="12"/>
      <c r="AJ32" s="21"/>
    </row>
    <row r="33" spans="2:36" s="2" customFormat="1" ht="11.25">
      <c r="B33" s="17"/>
      <c r="D33" s="34"/>
      <c r="E33" s="34"/>
      <c r="F33" s="34"/>
      <c r="H33" s="6"/>
      <c r="I33" s="6"/>
      <c r="J33" s="6"/>
      <c r="K33" s="6"/>
      <c r="L33" s="6"/>
      <c r="M33" s="6"/>
      <c r="N33" s="6"/>
      <c r="O33" s="6"/>
      <c r="P33" s="6"/>
      <c r="Q33" s="6"/>
      <c r="R33" s="6"/>
      <c r="S33" s="6"/>
      <c r="T33" s="6"/>
      <c r="U33" s="6"/>
      <c r="V33" s="6"/>
      <c r="W33" s="6"/>
      <c r="X33" s="6"/>
      <c r="Y33" s="6"/>
      <c r="Z33" s="6"/>
      <c r="AA33" s="6"/>
      <c r="AB33" s="6"/>
      <c r="AC33" s="12"/>
      <c r="AD33" s="12"/>
      <c r="AE33" s="12"/>
      <c r="AJ33" s="21"/>
    </row>
    <row r="34" spans="2:36" s="2" customFormat="1" ht="11.25">
      <c r="B34" s="17"/>
      <c r="D34" s="34"/>
      <c r="E34" s="34"/>
      <c r="F34" s="34"/>
      <c r="H34" s="6"/>
      <c r="I34" s="6"/>
      <c r="J34" s="6"/>
      <c r="K34" s="6"/>
      <c r="L34" s="6"/>
      <c r="M34" s="6"/>
      <c r="N34" s="6"/>
      <c r="O34" s="6"/>
      <c r="P34" s="6"/>
      <c r="Q34" s="6"/>
      <c r="R34" s="6"/>
      <c r="S34" s="6"/>
      <c r="T34" s="6"/>
      <c r="U34" s="6"/>
      <c r="V34" s="6"/>
      <c r="W34" s="6"/>
      <c r="X34" s="6"/>
      <c r="Y34" s="6"/>
      <c r="Z34" s="6"/>
      <c r="AA34" s="6"/>
      <c r="AB34" s="6"/>
      <c r="AC34" s="12"/>
      <c r="AD34" s="12"/>
      <c r="AE34" s="12"/>
      <c r="AJ34" s="21"/>
    </row>
    <row r="35" spans="2:36" s="2" customFormat="1" ht="11.25">
      <c r="B35" s="17"/>
      <c r="D35" s="34"/>
      <c r="E35" s="34"/>
      <c r="F35" s="34"/>
      <c r="H35" s="6"/>
      <c r="I35" s="6"/>
      <c r="J35" s="6"/>
      <c r="K35" s="6"/>
      <c r="L35" s="6"/>
      <c r="M35" s="6"/>
      <c r="N35" s="6"/>
      <c r="O35" s="6"/>
      <c r="P35" s="6"/>
      <c r="Q35" s="6"/>
      <c r="R35" s="6"/>
      <c r="S35" s="6"/>
      <c r="T35" s="6"/>
      <c r="U35" s="6"/>
      <c r="V35" s="6"/>
      <c r="W35" s="6"/>
      <c r="X35" s="6"/>
      <c r="Y35" s="6"/>
      <c r="Z35" s="6"/>
      <c r="AA35" s="6"/>
      <c r="AB35" s="6"/>
      <c r="AC35" s="12"/>
      <c r="AD35" s="12"/>
      <c r="AE35" s="12"/>
      <c r="AJ35" s="21"/>
    </row>
    <row r="36" spans="2:36" s="2" customFormat="1" ht="11.25">
      <c r="B36" s="17"/>
      <c r="D36" s="34"/>
      <c r="E36" s="34"/>
      <c r="F36" s="34"/>
      <c r="H36" s="6"/>
      <c r="I36" s="6"/>
      <c r="J36" s="6"/>
      <c r="K36" s="6"/>
      <c r="L36" s="6"/>
      <c r="M36" s="6"/>
      <c r="N36" s="6"/>
      <c r="O36" s="6"/>
      <c r="P36" s="6"/>
      <c r="Q36" s="6"/>
      <c r="R36" s="6"/>
      <c r="S36" s="6"/>
      <c r="T36" s="6"/>
      <c r="U36" s="6"/>
      <c r="V36" s="6"/>
      <c r="W36" s="6"/>
      <c r="X36" s="6"/>
      <c r="Y36" s="6"/>
      <c r="Z36" s="6"/>
      <c r="AA36" s="6"/>
      <c r="AB36" s="6"/>
      <c r="AC36" s="12"/>
      <c r="AD36" s="12"/>
      <c r="AE36" s="12"/>
      <c r="AJ36" s="21"/>
    </row>
    <row r="37" spans="2:36" s="2" customFormat="1" ht="11.25">
      <c r="B37" s="17"/>
      <c r="D37" s="34"/>
      <c r="E37" s="34"/>
      <c r="F37" s="34"/>
      <c r="H37" s="6"/>
      <c r="I37" s="6"/>
      <c r="J37" s="6"/>
      <c r="K37" s="6"/>
      <c r="L37" s="6"/>
      <c r="M37" s="6"/>
      <c r="N37" s="6"/>
      <c r="O37" s="6"/>
      <c r="P37" s="6"/>
      <c r="Q37" s="6"/>
      <c r="R37" s="6"/>
      <c r="S37" s="6"/>
      <c r="T37" s="6"/>
      <c r="U37" s="6"/>
      <c r="V37" s="6"/>
      <c r="W37" s="6"/>
      <c r="X37" s="6"/>
      <c r="Y37" s="6"/>
      <c r="Z37" s="6"/>
      <c r="AA37" s="6"/>
      <c r="AB37" s="6"/>
      <c r="AC37" s="12"/>
      <c r="AD37" s="12"/>
      <c r="AE37" s="12"/>
      <c r="AJ37" s="21"/>
    </row>
    <row r="38" spans="2:36" s="2" customFormat="1" ht="11.25">
      <c r="B38" s="17"/>
      <c r="D38" s="34"/>
      <c r="E38" s="34"/>
      <c r="F38" s="34"/>
      <c r="H38" s="6"/>
      <c r="I38" s="6"/>
      <c r="J38" s="6"/>
      <c r="K38" s="6"/>
      <c r="L38" s="6"/>
      <c r="M38" s="6"/>
      <c r="N38" s="6"/>
      <c r="O38" s="6"/>
      <c r="P38" s="6"/>
      <c r="Q38" s="6"/>
      <c r="R38" s="6"/>
      <c r="S38" s="6"/>
      <c r="T38" s="6"/>
      <c r="U38" s="6"/>
      <c r="V38" s="6"/>
      <c r="W38" s="6"/>
      <c r="X38" s="6"/>
      <c r="Y38" s="6"/>
      <c r="Z38" s="6"/>
      <c r="AA38" s="6"/>
      <c r="AB38" s="6"/>
      <c r="AC38" s="12"/>
      <c r="AD38" s="12"/>
      <c r="AE38" s="12"/>
      <c r="AJ38" s="21"/>
    </row>
    <row r="39" spans="2:36" s="2" customFormat="1" ht="11.25">
      <c r="B39" s="17"/>
      <c r="D39" s="34"/>
      <c r="E39" s="34"/>
      <c r="F39" s="34"/>
      <c r="H39" s="6"/>
      <c r="I39" s="6"/>
      <c r="J39" s="6"/>
      <c r="K39" s="6"/>
      <c r="L39" s="6"/>
      <c r="M39" s="6"/>
      <c r="N39" s="6"/>
      <c r="O39" s="6"/>
      <c r="P39" s="6"/>
      <c r="Q39" s="6"/>
      <c r="R39" s="6"/>
      <c r="S39" s="6"/>
      <c r="T39" s="6"/>
      <c r="U39" s="6"/>
      <c r="V39" s="6"/>
      <c r="W39" s="6"/>
      <c r="X39" s="6"/>
      <c r="Y39" s="6"/>
      <c r="Z39" s="6"/>
      <c r="AA39" s="6"/>
      <c r="AB39" s="6"/>
      <c r="AC39" s="12"/>
      <c r="AD39" s="12"/>
      <c r="AE39" s="12"/>
      <c r="AJ39" s="21"/>
    </row>
    <row r="40" spans="2:36" s="2" customFormat="1" ht="11.25">
      <c r="B40" s="17"/>
      <c r="D40" s="34"/>
      <c r="E40" s="34"/>
      <c r="F40" s="34"/>
      <c r="H40" s="6"/>
      <c r="I40" s="6"/>
      <c r="J40" s="6"/>
      <c r="K40" s="6"/>
      <c r="L40" s="6"/>
      <c r="M40" s="6"/>
      <c r="N40" s="6"/>
      <c r="O40" s="6"/>
      <c r="P40" s="6"/>
      <c r="Q40" s="6"/>
      <c r="R40" s="6"/>
      <c r="S40" s="6"/>
      <c r="T40" s="6"/>
      <c r="U40" s="6"/>
      <c r="V40" s="6"/>
      <c r="W40" s="6"/>
      <c r="X40" s="6"/>
      <c r="Y40" s="6"/>
      <c r="Z40" s="6"/>
      <c r="AA40" s="6"/>
      <c r="AB40" s="6"/>
      <c r="AC40" s="12"/>
      <c r="AD40" s="12"/>
      <c r="AE40" s="12"/>
      <c r="AJ40" s="21"/>
    </row>
    <row r="41" spans="2:36" s="2" customFormat="1" ht="11.25">
      <c r="B41" s="17"/>
      <c r="D41" s="34"/>
      <c r="E41" s="34"/>
      <c r="F41" s="34"/>
      <c r="H41" s="6"/>
      <c r="I41" s="6"/>
      <c r="J41" s="6"/>
      <c r="K41" s="6"/>
      <c r="L41" s="6"/>
      <c r="M41" s="6"/>
      <c r="N41" s="6"/>
      <c r="O41" s="6"/>
      <c r="P41" s="6"/>
      <c r="Q41" s="6"/>
      <c r="R41" s="6"/>
      <c r="S41" s="6"/>
      <c r="T41" s="6"/>
      <c r="U41" s="6"/>
      <c r="V41" s="6"/>
      <c r="W41" s="6"/>
      <c r="X41" s="6"/>
      <c r="Y41" s="6"/>
      <c r="Z41" s="6"/>
      <c r="AA41" s="6"/>
      <c r="AB41" s="6"/>
      <c r="AC41" s="12"/>
      <c r="AD41" s="12"/>
      <c r="AE41" s="12"/>
      <c r="AJ41" s="21"/>
    </row>
    <row r="42" spans="2:36" s="2" customFormat="1" ht="11.25">
      <c r="B42" s="17"/>
      <c r="D42" s="34"/>
      <c r="E42" s="34"/>
      <c r="F42" s="34"/>
      <c r="H42" s="6"/>
      <c r="I42" s="6"/>
      <c r="J42" s="6"/>
      <c r="K42" s="6"/>
      <c r="L42" s="6"/>
      <c r="M42" s="6"/>
      <c r="N42" s="6"/>
      <c r="O42" s="6"/>
      <c r="P42" s="6"/>
      <c r="Q42" s="6"/>
      <c r="R42" s="6"/>
      <c r="S42" s="6"/>
      <c r="T42" s="6"/>
      <c r="U42" s="6"/>
      <c r="V42" s="6"/>
      <c r="W42" s="6"/>
      <c r="X42" s="6"/>
      <c r="Y42" s="6"/>
      <c r="Z42" s="6"/>
      <c r="AA42" s="6"/>
      <c r="AB42" s="6"/>
      <c r="AC42" s="12"/>
      <c r="AD42" s="12"/>
      <c r="AE42" s="12"/>
      <c r="AJ42" s="21"/>
    </row>
    <row r="43" spans="2:36" s="2" customFormat="1" ht="11.25">
      <c r="B43" s="17"/>
      <c r="D43" s="34"/>
      <c r="E43" s="34"/>
      <c r="F43" s="34"/>
      <c r="H43" s="6"/>
      <c r="I43" s="6"/>
      <c r="J43" s="6"/>
      <c r="K43" s="6"/>
      <c r="L43" s="6"/>
      <c r="M43" s="6"/>
      <c r="N43" s="6"/>
      <c r="O43" s="6"/>
      <c r="P43" s="6"/>
      <c r="Q43" s="6"/>
      <c r="R43" s="6"/>
      <c r="S43" s="6"/>
      <c r="T43" s="6"/>
      <c r="U43" s="6"/>
      <c r="V43" s="6"/>
      <c r="W43" s="6"/>
      <c r="X43" s="6"/>
      <c r="Y43" s="6"/>
      <c r="Z43" s="6"/>
      <c r="AA43" s="6"/>
      <c r="AB43" s="6"/>
      <c r="AC43" s="12"/>
      <c r="AD43" s="12"/>
      <c r="AE43" s="12"/>
      <c r="AJ43" s="21"/>
    </row>
    <row r="44" spans="2:36" s="2" customFormat="1" ht="11.25">
      <c r="B44" s="17"/>
      <c r="D44" s="34"/>
      <c r="E44" s="34"/>
      <c r="F44" s="34"/>
      <c r="H44" s="6"/>
      <c r="I44" s="6"/>
      <c r="J44" s="6"/>
      <c r="K44" s="6"/>
      <c r="L44" s="6"/>
      <c r="M44" s="6"/>
      <c r="N44" s="6"/>
      <c r="O44" s="6"/>
      <c r="P44" s="6"/>
      <c r="Q44" s="6"/>
      <c r="R44" s="6"/>
      <c r="S44" s="6"/>
      <c r="T44" s="6"/>
      <c r="U44" s="6"/>
      <c r="V44" s="6"/>
      <c r="W44" s="6"/>
      <c r="X44" s="6"/>
      <c r="Y44" s="6"/>
      <c r="Z44" s="6"/>
      <c r="AA44" s="6"/>
      <c r="AB44" s="6"/>
      <c r="AC44" s="12"/>
      <c r="AD44" s="12"/>
      <c r="AE44" s="12"/>
      <c r="AJ44" s="21"/>
    </row>
    <row r="45" spans="2:36" s="2" customFormat="1" ht="11.25">
      <c r="B45" s="17"/>
      <c r="D45" s="34"/>
      <c r="E45" s="34"/>
      <c r="F45" s="34"/>
      <c r="H45" s="6"/>
      <c r="I45" s="6"/>
      <c r="J45" s="6"/>
      <c r="K45" s="6"/>
      <c r="L45" s="6"/>
      <c r="M45" s="6"/>
      <c r="N45" s="6"/>
      <c r="O45" s="6"/>
      <c r="P45" s="6"/>
      <c r="Q45" s="6"/>
      <c r="R45" s="6"/>
      <c r="S45" s="6"/>
      <c r="T45" s="6"/>
      <c r="U45" s="6"/>
      <c r="V45" s="6"/>
      <c r="W45" s="6"/>
      <c r="X45" s="6"/>
      <c r="Y45" s="6"/>
      <c r="Z45" s="6"/>
      <c r="AA45" s="6"/>
      <c r="AB45" s="6"/>
      <c r="AC45" s="12"/>
      <c r="AD45" s="12"/>
      <c r="AE45" s="12"/>
      <c r="AJ45" s="21"/>
    </row>
    <row r="46" spans="2:36" s="2" customFormat="1" ht="11.25">
      <c r="B46" s="17"/>
      <c r="D46" s="34"/>
      <c r="E46" s="34"/>
      <c r="F46" s="34"/>
      <c r="H46" s="6"/>
      <c r="I46" s="6"/>
      <c r="J46" s="6"/>
      <c r="K46" s="6"/>
      <c r="L46" s="6"/>
      <c r="M46" s="6"/>
      <c r="N46" s="6"/>
      <c r="O46" s="6"/>
      <c r="P46" s="6"/>
      <c r="Q46" s="6"/>
      <c r="R46" s="6"/>
      <c r="S46" s="6"/>
      <c r="T46" s="6"/>
      <c r="U46" s="6"/>
      <c r="V46" s="6"/>
      <c r="W46" s="6"/>
      <c r="X46" s="6"/>
      <c r="Y46" s="6"/>
      <c r="Z46" s="6"/>
      <c r="AA46" s="6"/>
      <c r="AB46" s="6"/>
      <c r="AC46" s="12"/>
      <c r="AD46" s="12"/>
      <c r="AE46" s="12"/>
      <c r="AJ46" s="21"/>
    </row>
    <row r="47" spans="2:36" s="2" customFormat="1" ht="11.25">
      <c r="B47" s="17"/>
      <c r="C47" s="3"/>
      <c r="D47" s="13"/>
      <c r="E47" s="13"/>
      <c r="F47" s="13"/>
      <c r="H47" s="6"/>
      <c r="I47" s="6"/>
      <c r="J47" s="6"/>
      <c r="K47" s="6"/>
      <c r="L47" s="6"/>
      <c r="M47" s="6"/>
      <c r="N47" s="6"/>
      <c r="O47" s="6"/>
      <c r="P47" s="6"/>
      <c r="Q47" s="6"/>
      <c r="R47" s="6"/>
      <c r="S47" s="6"/>
      <c r="T47" s="6"/>
      <c r="U47" s="6"/>
      <c r="V47" s="6"/>
      <c r="W47" s="6"/>
      <c r="X47" s="6"/>
      <c r="Y47" s="6"/>
      <c r="Z47" s="6"/>
      <c r="AA47" s="6"/>
      <c r="AB47" s="6"/>
      <c r="AC47" s="12"/>
      <c r="AD47" s="12"/>
      <c r="AE47" s="12"/>
      <c r="AJ47" s="21"/>
    </row>
    <row r="48" spans="2:36" s="2" customFormat="1" ht="11.25">
      <c r="B48" s="17"/>
      <c r="C48" s="3"/>
      <c r="D48" s="13"/>
      <c r="E48" s="13"/>
      <c r="F48" s="13"/>
      <c r="H48" s="6"/>
      <c r="I48" s="6"/>
      <c r="J48" s="6"/>
      <c r="K48" s="6"/>
      <c r="L48" s="6"/>
      <c r="M48" s="6"/>
      <c r="N48" s="6"/>
      <c r="O48" s="6"/>
      <c r="P48" s="6"/>
      <c r="Q48" s="6"/>
      <c r="R48" s="6"/>
      <c r="S48" s="6"/>
      <c r="T48" s="6"/>
      <c r="U48" s="6"/>
      <c r="V48" s="6"/>
      <c r="W48" s="6"/>
      <c r="X48" s="6"/>
      <c r="Y48" s="6"/>
      <c r="Z48" s="6"/>
      <c r="AA48" s="6"/>
      <c r="AB48" s="6"/>
      <c r="AC48" s="12"/>
      <c r="AD48" s="12"/>
      <c r="AE48" s="12"/>
      <c r="AJ48" s="21"/>
    </row>
    <row r="49" spans="2:36" s="2" customFormat="1" ht="11.25">
      <c r="B49" s="17"/>
      <c r="D49" s="34"/>
      <c r="E49" s="34"/>
      <c r="F49" s="34"/>
      <c r="H49" s="6"/>
      <c r="I49" s="6"/>
      <c r="J49" s="6"/>
      <c r="K49" s="6"/>
      <c r="L49" s="6"/>
      <c r="M49" s="6"/>
      <c r="N49" s="6"/>
      <c r="O49" s="6"/>
      <c r="P49" s="6"/>
      <c r="Q49" s="6"/>
      <c r="R49" s="6"/>
      <c r="S49" s="6"/>
      <c r="T49" s="6"/>
      <c r="U49" s="6"/>
      <c r="V49" s="6"/>
      <c r="W49" s="6"/>
      <c r="X49" s="6"/>
      <c r="Y49" s="6"/>
      <c r="Z49" s="6"/>
      <c r="AA49" s="6"/>
      <c r="AB49" s="6"/>
      <c r="AC49" s="12"/>
      <c r="AD49" s="12"/>
      <c r="AE49" s="12"/>
      <c r="AJ49" s="21"/>
    </row>
    <row r="50" spans="2:36" s="2" customFormat="1" ht="11.25">
      <c r="B50" s="17"/>
      <c r="D50" s="34"/>
      <c r="E50" s="34"/>
      <c r="F50" s="34"/>
      <c r="H50" s="6"/>
      <c r="I50" s="6"/>
      <c r="J50" s="6"/>
      <c r="K50" s="6"/>
      <c r="L50" s="6"/>
      <c r="M50" s="6"/>
      <c r="N50" s="6"/>
      <c r="O50" s="6"/>
      <c r="P50" s="6"/>
      <c r="Q50" s="6"/>
      <c r="R50" s="6"/>
      <c r="S50" s="6"/>
      <c r="T50" s="6"/>
      <c r="U50" s="6"/>
      <c r="V50" s="6"/>
      <c r="W50" s="6"/>
      <c r="X50" s="6"/>
      <c r="Y50" s="6"/>
      <c r="Z50" s="6"/>
      <c r="AA50" s="6"/>
      <c r="AB50" s="6"/>
      <c r="AC50" s="12"/>
      <c r="AD50" s="12"/>
      <c r="AE50" s="12"/>
      <c r="AJ50" s="21"/>
    </row>
    <row r="51" spans="2:36" s="2" customFormat="1" ht="11.25">
      <c r="B51" s="17"/>
      <c r="D51" s="34"/>
      <c r="E51" s="34"/>
      <c r="F51" s="34"/>
      <c r="H51" s="6"/>
      <c r="I51" s="6"/>
      <c r="J51" s="6"/>
      <c r="K51" s="6"/>
      <c r="L51" s="6"/>
      <c r="M51" s="6"/>
      <c r="N51" s="6"/>
      <c r="O51" s="6"/>
      <c r="P51" s="6"/>
      <c r="Q51" s="6"/>
      <c r="R51" s="6"/>
      <c r="S51" s="6"/>
      <c r="T51" s="6"/>
      <c r="U51" s="6"/>
      <c r="V51" s="6"/>
      <c r="W51" s="6"/>
      <c r="X51" s="6"/>
      <c r="Y51" s="6"/>
      <c r="Z51" s="6"/>
      <c r="AA51" s="6"/>
      <c r="AB51" s="6"/>
      <c r="AC51" s="12"/>
      <c r="AD51" s="12"/>
      <c r="AE51" s="12"/>
      <c r="AJ51" s="21"/>
    </row>
    <row r="52" spans="2:36" s="2" customFormat="1" ht="11.25">
      <c r="B52" s="17"/>
      <c r="D52" s="34"/>
      <c r="E52" s="34"/>
      <c r="F52" s="34"/>
      <c r="H52" s="6"/>
      <c r="I52" s="6"/>
      <c r="J52" s="6"/>
      <c r="K52" s="6"/>
      <c r="L52" s="6"/>
      <c r="M52" s="6"/>
      <c r="N52" s="6"/>
      <c r="O52" s="6"/>
      <c r="P52" s="6"/>
      <c r="Q52" s="6"/>
      <c r="R52" s="6"/>
      <c r="S52" s="6"/>
      <c r="T52" s="6"/>
      <c r="U52" s="6"/>
      <c r="V52" s="6"/>
      <c r="W52" s="6"/>
      <c r="X52" s="6"/>
      <c r="Y52" s="6"/>
      <c r="Z52" s="6"/>
      <c r="AA52" s="6"/>
      <c r="AB52" s="6"/>
      <c r="AC52" s="12"/>
      <c r="AD52" s="12"/>
      <c r="AE52" s="12"/>
      <c r="AJ52" s="21"/>
    </row>
    <row r="53" spans="2:36" s="2" customFormat="1" ht="11.25">
      <c r="B53" s="17"/>
      <c r="D53" s="34"/>
      <c r="E53" s="34"/>
      <c r="F53" s="34"/>
      <c r="H53" s="6"/>
      <c r="I53" s="6"/>
      <c r="J53" s="6"/>
      <c r="K53" s="6"/>
      <c r="L53" s="6"/>
      <c r="M53" s="6"/>
      <c r="N53" s="6"/>
      <c r="O53" s="6"/>
      <c r="P53" s="6"/>
      <c r="Q53" s="6"/>
      <c r="R53" s="6"/>
      <c r="S53" s="6"/>
      <c r="T53" s="6"/>
      <c r="U53" s="6"/>
      <c r="V53" s="6"/>
      <c r="W53" s="6"/>
      <c r="X53" s="6"/>
      <c r="Y53" s="6"/>
      <c r="Z53" s="6"/>
      <c r="AA53" s="6"/>
      <c r="AB53" s="6"/>
      <c r="AC53" s="12"/>
      <c r="AD53" s="12"/>
      <c r="AE53" s="12"/>
      <c r="AJ53" s="21"/>
    </row>
    <row r="54" spans="2:36" s="2" customFormat="1" ht="11.25">
      <c r="B54" s="17"/>
      <c r="D54" s="34"/>
      <c r="E54" s="34"/>
      <c r="F54" s="34"/>
      <c r="H54" s="6"/>
      <c r="I54" s="6"/>
      <c r="J54" s="6"/>
      <c r="K54" s="6"/>
      <c r="L54" s="6"/>
      <c r="M54" s="6"/>
      <c r="N54" s="6"/>
      <c r="O54" s="6"/>
      <c r="P54" s="6"/>
      <c r="Q54" s="6"/>
      <c r="R54" s="6"/>
      <c r="S54" s="6"/>
      <c r="T54" s="6"/>
      <c r="U54" s="6"/>
      <c r="V54" s="6"/>
      <c r="W54" s="6"/>
      <c r="X54" s="6"/>
      <c r="Y54" s="6"/>
      <c r="Z54" s="6"/>
      <c r="AA54" s="6"/>
      <c r="AB54" s="6"/>
      <c r="AC54" s="12"/>
      <c r="AD54" s="12"/>
      <c r="AE54" s="12"/>
      <c r="AJ54" s="21"/>
    </row>
    <row r="55" spans="2:36" s="2" customFormat="1" ht="11.25">
      <c r="B55" s="17"/>
      <c r="D55" s="34"/>
      <c r="E55" s="34"/>
      <c r="F55" s="34"/>
      <c r="H55" s="6"/>
      <c r="I55" s="6"/>
      <c r="J55" s="6"/>
      <c r="K55" s="6"/>
      <c r="L55" s="6"/>
      <c r="M55" s="6"/>
      <c r="N55" s="6"/>
      <c r="O55" s="6"/>
      <c r="P55" s="6"/>
      <c r="Q55" s="6"/>
      <c r="R55" s="6"/>
      <c r="S55" s="6"/>
      <c r="T55" s="6"/>
      <c r="U55" s="6"/>
      <c r="V55" s="6"/>
      <c r="W55" s="6"/>
      <c r="X55" s="6"/>
      <c r="Y55" s="6"/>
      <c r="Z55" s="6"/>
      <c r="AA55" s="6"/>
      <c r="AB55" s="6"/>
      <c r="AC55" s="12"/>
      <c r="AD55" s="12"/>
      <c r="AE55" s="12"/>
      <c r="AJ55" s="21"/>
    </row>
    <row r="56" spans="2:36" s="2" customFormat="1" ht="11.25">
      <c r="B56" s="17"/>
      <c r="D56" s="34"/>
      <c r="E56" s="34"/>
      <c r="F56" s="34"/>
      <c r="H56" s="6"/>
      <c r="I56" s="6"/>
      <c r="J56" s="6"/>
      <c r="K56" s="6"/>
      <c r="L56" s="6"/>
      <c r="M56" s="6"/>
      <c r="N56" s="6"/>
      <c r="O56" s="6"/>
      <c r="P56" s="6"/>
      <c r="Q56" s="6"/>
      <c r="R56" s="6"/>
      <c r="S56" s="6"/>
      <c r="T56" s="6"/>
      <c r="U56" s="6"/>
      <c r="V56" s="6"/>
      <c r="W56" s="6"/>
      <c r="X56" s="6"/>
      <c r="Y56" s="6"/>
      <c r="Z56" s="6"/>
      <c r="AA56" s="6"/>
      <c r="AB56" s="6"/>
      <c r="AC56" s="12"/>
      <c r="AD56" s="12"/>
      <c r="AE56" s="12"/>
      <c r="AJ56" s="21"/>
    </row>
    <row r="57" spans="2:36" s="2" customFormat="1" ht="11.25">
      <c r="B57" s="17"/>
      <c r="D57" s="34"/>
      <c r="E57" s="34"/>
      <c r="F57" s="34"/>
      <c r="H57" s="6"/>
      <c r="I57" s="6"/>
      <c r="J57" s="6"/>
      <c r="K57" s="6"/>
      <c r="L57" s="6"/>
      <c r="M57" s="6"/>
      <c r="N57" s="6"/>
      <c r="O57" s="6"/>
      <c r="P57" s="6"/>
      <c r="Q57" s="6"/>
      <c r="R57" s="6"/>
      <c r="S57" s="6"/>
      <c r="T57" s="6"/>
      <c r="U57" s="6"/>
      <c r="V57" s="6"/>
      <c r="W57" s="6"/>
      <c r="X57" s="6"/>
      <c r="Y57" s="6"/>
      <c r="Z57" s="6"/>
      <c r="AA57" s="6"/>
      <c r="AB57" s="6"/>
      <c r="AC57" s="12"/>
      <c r="AD57" s="12"/>
      <c r="AE57" s="12"/>
      <c r="AJ57" s="21"/>
    </row>
    <row r="58" spans="2:36" s="2" customFormat="1" ht="11.25">
      <c r="B58" s="17"/>
      <c r="D58" s="34"/>
      <c r="E58" s="34"/>
      <c r="F58" s="34"/>
      <c r="H58" s="6"/>
      <c r="I58" s="6"/>
      <c r="J58" s="6"/>
      <c r="K58" s="6"/>
      <c r="L58" s="6"/>
      <c r="M58" s="6"/>
      <c r="N58" s="6"/>
      <c r="O58" s="6"/>
      <c r="P58" s="6"/>
      <c r="Q58" s="6"/>
      <c r="R58" s="6"/>
      <c r="S58" s="6"/>
      <c r="T58" s="6"/>
      <c r="U58" s="6"/>
      <c r="V58" s="6"/>
      <c r="W58" s="6"/>
      <c r="X58" s="6"/>
      <c r="Y58" s="6"/>
      <c r="Z58" s="6"/>
      <c r="AA58" s="6"/>
      <c r="AB58" s="6"/>
      <c r="AC58" s="12"/>
      <c r="AD58" s="12"/>
      <c r="AE58" s="12"/>
      <c r="AJ58" s="21"/>
    </row>
    <row r="59" spans="2:36" s="2" customFormat="1" ht="11.25">
      <c r="B59" s="17"/>
      <c r="D59" s="34"/>
      <c r="E59" s="34"/>
      <c r="F59" s="34"/>
      <c r="H59" s="6"/>
      <c r="I59" s="6"/>
      <c r="J59" s="6"/>
      <c r="K59" s="6"/>
      <c r="L59" s="6"/>
      <c r="M59" s="6"/>
      <c r="N59" s="6"/>
      <c r="O59" s="6"/>
      <c r="P59" s="6"/>
      <c r="Q59" s="6"/>
      <c r="R59" s="6"/>
      <c r="S59" s="6"/>
      <c r="T59" s="6"/>
      <c r="U59" s="6"/>
      <c r="V59" s="6"/>
      <c r="W59" s="6"/>
      <c r="X59" s="6"/>
      <c r="Y59" s="6"/>
      <c r="Z59" s="6"/>
      <c r="AA59" s="6"/>
      <c r="AB59" s="6"/>
      <c r="AC59" s="12"/>
      <c r="AD59" s="12"/>
      <c r="AE59" s="12"/>
      <c r="AJ59" s="21"/>
    </row>
    <row r="60" spans="2:36" s="2" customFormat="1" ht="11.25">
      <c r="B60" s="17"/>
      <c r="D60" s="34"/>
      <c r="E60" s="34"/>
      <c r="F60" s="34"/>
      <c r="H60" s="6"/>
      <c r="I60" s="6"/>
      <c r="J60" s="6"/>
      <c r="K60" s="6"/>
      <c r="L60" s="6"/>
      <c r="M60" s="6"/>
      <c r="N60" s="6"/>
      <c r="O60" s="6"/>
      <c r="P60" s="6"/>
      <c r="Q60" s="6"/>
      <c r="R60" s="6"/>
      <c r="S60" s="6"/>
      <c r="T60" s="6"/>
      <c r="U60" s="6"/>
      <c r="V60" s="6"/>
      <c r="W60" s="6"/>
      <c r="X60" s="6"/>
      <c r="Y60" s="6"/>
      <c r="Z60" s="6"/>
      <c r="AA60" s="6"/>
      <c r="AB60" s="6"/>
      <c r="AC60" s="12"/>
      <c r="AD60" s="12"/>
      <c r="AE60" s="12"/>
      <c r="AJ60" s="21"/>
    </row>
    <row r="61" spans="2:36" s="2" customFormat="1" ht="11.25">
      <c r="B61" s="17"/>
      <c r="D61" s="34"/>
      <c r="E61" s="34"/>
      <c r="F61" s="34"/>
      <c r="H61" s="6"/>
      <c r="I61" s="6"/>
      <c r="J61" s="6"/>
      <c r="K61" s="6"/>
      <c r="L61" s="6"/>
      <c r="M61" s="6"/>
      <c r="N61" s="6"/>
      <c r="O61" s="6"/>
      <c r="P61" s="6"/>
      <c r="Q61" s="6"/>
      <c r="R61" s="6"/>
      <c r="S61" s="6"/>
      <c r="T61" s="6"/>
      <c r="U61" s="6"/>
      <c r="V61" s="6"/>
      <c r="W61" s="6"/>
      <c r="X61" s="6"/>
      <c r="Y61" s="6"/>
      <c r="Z61" s="6"/>
      <c r="AA61" s="6"/>
      <c r="AB61" s="6"/>
      <c r="AC61" s="12"/>
      <c r="AD61" s="12"/>
      <c r="AE61" s="12"/>
      <c r="AJ61" s="21"/>
    </row>
    <row r="62" spans="2:36" s="2" customFormat="1" ht="11.25">
      <c r="B62" s="17"/>
      <c r="D62" s="34"/>
      <c r="E62" s="34"/>
      <c r="F62" s="34"/>
      <c r="H62" s="6"/>
      <c r="I62" s="6"/>
      <c r="J62" s="6"/>
      <c r="K62" s="6"/>
      <c r="L62" s="6"/>
      <c r="M62" s="6"/>
      <c r="N62" s="6"/>
      <c r="O62" s="6"/>
      <c r="P62" s="6"/>
      <c r="Q62" s="6"/>
      <c r="R62" s="6"/>
      <c r="S62" s="6"/>
      <c r="T62" s="6"/>
      <c r="U62" s="6"/>
      <c r="V62" s="6"/>
      <c r="W62" s="6"/>
      <c r="X62" s="6"/>
      <c r="Y62" s="6"/>
      <c r="Z62" s="6"/>
      <c r="AA62" s="6"/>
      <c r="AB62" s="6"/>
      <c r="AC62" s="12"/>
      <c r="AD62" s="12"/>
      <c r="AE62" s="12"/>
      <c r="AJ62" s="21"/>
    </row>
    <row r="63" spans="2:36" s="2" customFormat="1" ht="11.25">
      <c r="B63" s="17"/>
      <c r="D63" s="34"/>
      <c r="E63" s="34"/>
      <c r="F63" s="34"/>
      <c r="H63" s="6"/>
      <c r="I63" s="6"/>
      <c r="J63" s="6"/>
      <c r="K63" s="6"/>
      <c r="L63" s="6"/>
      <c r="M63" s="6"/>
      <c r="N63" s="6"/>
      <c r="O63" s="6"/>
      <c r="P63" s="6"/>
      <c r="Q63" s="6"/>
      <c r="R63" s="6"/>
      <c r="S63" s="6"/>
      <c r="T63" s="6"/>
      <c r="U63" s="6"/>
      <c r="V63" s="6"/>
      <c r="W63" s="6"/>
      <c r="X63" s="6"/>
      <c r="Y63" s="6"/>
      <c r="Z63" s="6"/>
      <c r="AA63" s="6"/>
      <c r="AB63" s="6"/>
      <c r="AC63" s="12"/>
      <c r="AD63" s="12"/>
      <c r="AE63" s="12"/>
      <c r="AJ63" s="21"/>
    </row>
    <row r="64" spans="2:36" s="2" customFormat="1" ht="11.25">
      <c r="B64" s="17"/>
      <c r="D64" s="34"/>
      <c r="E64" s="34"/>
      <c r="F64" s="34"/>
      <c r="H64" s="6"/>
      <c r="I64" s="6"/>
      <c r="J64" s="6"/>
      <c r="K64" s="6"/>
      <c r="L64" s="6"/>
      <c r="M64" s="6"/>
      <c r="N64" s="6"/>
      <c r="O64" s="6"/>
      <c r="P64" s="6"/>
      <c r="Q64" s="6"/>
      <c r="R64" s="6"/>
      <c r="S64" s="6"/>
      <c r="T64" s="6"/>
      <c r="U64" s="6"/>
      <c r="V64" s="6"/>
      <c r="W64" s="6"/>
      <c r="X64" s="6"/>
      <c r="Y64" s="6"/>
      <c r="Z64" s="6"/>
      <c r="AA64" s="6"/>
      <c r="AB64" s="6"/>
      <c r="AC64" s="12"/>
      <c r="AD64" s="12"/>
      <c r="AE64" s="12"/>
      <c r="AJ64" s="21"/>
    </row>
    <row r="65" spans="2:36" s="2" customFormat="1" ht="11.25">
      <c r="B65" s="17"/>
      <c r="D65" s="34"/>
      <c r="E65" s="34"/>
      <c r="F65" s="34"/>
      <c r="H65" s="6"/>
      <c r="I65" s="6"/>
      <c r="J65" s="6"/>
      <c r="K65" s="6"/>
      <c r="L65" s="6"/>
      <c r="M65" s="6"/>
      <c r="N65" s="6"/>
      <c r="O65" s="6"/>
      <c r="P65" s="6"/>
      <c r="Q65" s="6"/>
      <c r="R65" s="6"/>
      <c r="S65" s="6"/>
      <c r="T65" s="6"/>
      <c r="U65" s="6"/>
      <c r="V65" s="6"/>
      <c r="W65" s="6"/>
      <c r="X65" s="6"/>
      <c r="Y65" s="6"/>
      <c r="Z65" s="6"/>
      <c r="AA65" s="6"/>
      <c r="AB65" s="6"/>
      <c r="AC65" s="12"/>
      <c r="AD65" s="12"/>
      <c r="AE65" s="12"/>
      <c r="AJ65" s="21"/>
    </row>
    <row r="66" spans="2:36" s="2" customFormat="1" ht="11.25">
      <c r="B66" s="17"/>
      <c r="D66" s="34"/>
      <c r="E66" s="34"/>
      <c r="F66" s="34"/>
      <c r="H66" s="6"/>
      <c r="I66" s="6"/>
      <c r="J66" s="6"/>
      <c r="K66" s="6"/>
      <c r="L66" s="6"/>
      <c r="M66" s="6"/>
      <c r="N66" s="6"/>
      <c r="O66" s="6"/>
      <c r="P66" s="6"/>
      <c r="Q66" s="6"/>
      <c r="R66" s="6"/>
      <c r="S66" s="6"/>
      <c r="T66" s="6"/>
      <c r="U66" s="6"/>
      <c r="V66" s="6"/>
      <c r="W66" s="6"/>
      <c r="X66" s="6"/>
      <c r="Y66" s="6"/>
      <c r="Z66" s="6"/>
      <c r="AA66" s="6"/>
      <c r="AB66" s="6"/>
      <c r="AC66" s="12"/>
      <c r="AD66" s="12"/>
      <c r="AE66" s="12"/>
      <c r="AJ66" s="21"/>
    </row>
    <row r="67" spans="2:36" s="2" customFormat="1" ht="11.25">
      <c r="B67" s="17"/>
      <c r="D67" s="34"/>
      <c r="E67" s="34"/>
      <c r="F67" s="34"/>
      <c r="H67" s="6"/>
      <c r="I67" s="6"/>
      <c r="J67" s="6"/>
      <c r="K67" s="6"/>
      <c r="L67" s="6"/>
      <c r="M67" s="6"/>
      <c r="N67" s="6"/>
      <c r="O67" s="6"/>
      <c r="P67" s="6"/>
      <c r="Q67" s="6"/>
      <c r="R67" s="6"/>
      <c r="S67" s="6"/>
      <c r="T67" s="6"/>
      <c r="U67" s="6"/>
      <c r="V67" s="6"/>
      <c r="W67" s="6"/>
      <c r="X67" s="6"/>
      <c r="Y67" s="6"/>
      <c r="Z67" s="6"/>
      <c r="AA67" s="6"/>
      <c r="AB67" s="6"/>
      <c r="AC67" s="12"/>
      <c r="AD67" s="12"/>
      <c r="AE67" s="12"/>
      <c r="AJ67" s="21"/>
    </row>
    <row r="68" spans="2:36" s="2" customFormat="1" ht="11.25">
      <c r="B68" s="17"/>
      <c r="D68" s="34"/>
      <c r="E68" s="34"/>
      <c r="F68" s="34"/>
      <c r="H68" s="6"/>
      <c r="I68" s="6"/>
      <c r="J68" s="6"/>
      <c r="K68" s="6"/>
      <c r="L68" s="6"/>
      <c r="M68" s="6"/>
      <c r="N68" s="6"/>
      <c r="O68" s="6"/>
      <c r="P68" s="6"/>
      <c r="Q68" s="6"/>
      <c r="R68" s="6"/>
      <c r="S68" s="6"/>
      <c r="T68" s="6"/>
      <c r="U68" s="6"/>
      <c r="V68" s="6"/>
      <c r="W68" s="6"/>
      <c r="X68" s="6"/>
      <c r="Y68" s="6"/>
      <c r="Z68" s="6"/>
      <c r="AA68" s="6"/>
      <c r="AB68" s="6"/>
      <c r="AC68" s="12"/>
      <c r="AD68" s="12"/>
      <c r="AE68" s="12"/>
      <c r="AJ68" s="21"/>
    </row>
    <row r="69" spans="2:36" s="2" customFormat="1" ht="11.25">
      <c r="B69" s="17"/>
      <c r="D69" s="34"/>
      <c r="E69" s="34"/>
      <c r="F69" s="34"/>
      <c r="H69" s="6"/>
      <c r="I69" s="6"/>
      <c r="J69" s="6"/>
      <c r="K69" s="6"/>
      <c r="L69" s="6"/>
      <c r="M69" s="6"/>
      <c r="N69" s="6"/>
      <c r="O69" s="6"/>
      <c r="P69" s="6"/>
      <c r="Q69" s="6"/>
      <c r="R69" s="6"/>
      <c r="S69" s="6"/>
      <c r="T69" s="6"/>
      <c r="U69" s="6"/>
      <c r="V69" s="6"/>
      <c r="W69" s="6"/>
      <c r="X69" s="6"/>
      <c r="Y69" s="6"/>
      <c r="Z69" s="6"/>
      <c r="AA69" s="6"/>
      <c r="AB69" s="6"/>
      <c r="AC69" s="12"/>
      <c r="AD69" s="12"/>
      <c r="AE69" s="12"/>
      <c r="AJ69" s="21"/>
    </row>
    <row r="70" spans="2:36" s="2" customFormat="1" ht="11.25">
      <c r="B70" s="17"/>
      <c r="D70" s="34"/>
      <c r="E70" s="34"/>
      <c r="F70" s="34"/>
      <c r="H70" s="6"/>
      <c r="I70" s="6"/>
      <c r="J70" s="6"/>
      <c r="K70" s="6"/>
      <c r="L70" s="6"/>
      <c r="M70" s="6"/>
      <c r="N70" s="6"/>
      <c r="O70" s="6"/>
      <c r="P70" s="6"/>
      <c r="Q70" s="6"/>
      <c r="R70" s="6"/>
      <c r="S70" s="6"/>
      <c r="T70" s="6"/>
      <c r="U70" s="6"/>
      <c r="V70" s="6"/>
      <c r="W70" s="6"/>
      <c r="X70" s="6"/>
      <c r="Y70" s="6"/>
      <c r="Z70" s="6"/>
      <c r="AA70" s="6"/>
      <c r="AB70" s="6"/>
      <c r="AC70" s="12"/>
      <c r="AD70" s="12"/>
      <c r="AE70" s="12"/>
      <c r="AJ70" s="21"/>
    </row>
    <row r="71" spans="2:36" s="2" customFormat="1" ht="11.25">
      <c r="B71" s="17"/>
      <c r="D71" s="34"/>
      <c r="E71" s="34"/>
      <c r="F71" s="34"/>
      <c r="H71" s="6"/>
      <c r="I71" s="6"/>
      <c r="J71" s="6"/>
      <c r="K71" s="6"/>
      <c r="L71" s="6"/>
      <c r="M71" s="6"/>
      <c r="N71" s="6"/>
      <c r="O71" s="6"/>
      <c r="P71" s="6"/>
      <c r="Q71" s="6"/>
      <c r="R71" s="6"/>
      <c r="S71" s="6"/>
      <c r="T71" s="6"/>
      <c r="U71" s="6"/>
      <c r="V71" s="6"/>
      <c r="W71" s="6"/>
      <c r="X71" s="6"/>
      <c r="Y71" s="6"/>
      <c r="Z71" s="6"/>
      <c r="AA71" s="6"/>
      <c r="AB71" s="6"/>
      <c r="AC71" s="12"/>
      <c r="AD71" s="12"/>
      <c r="AE71" s="12"/>
      <c r="AJ71" s="21"/>
    </row>
    <row r="72" spans="2:36" s="2" customFormat="1" ht="11.25">
      <c r="B72" s="17"/>
      <c r="D72" s="34"/>
      <c r="E72" s="34"/>
      <c r="F72" s="34"/>
      <c r="H72" s="6"/>
      <c r="I72" s="6"/>
      <c r="J72" s="6"/>
      <c r="K72" s="6"/>
      <c r="L72" s="6"/>
      <c r="M72" s="6"/>
      <c r="N72" s="6"/>
      <c r="O72" s="6"/>
      <c r="P72" s="6"/>
      <c r="Q72" s="6"/>
      <c r="R72" s="6"/>
      <c r="S72" s="6"/>
      <c r="T72" s="6"/>
      <c r="U72" s="6"/>
      <c r="V72" s="6"/>
      <c r="W72" s="6"/>
      <c r="X72" s="6"/>
      <c r="Y72" s="6"/>
      <c r="Z72" s="6"/>
      <c r="AA72" s="6"/>
      <c r="AB72" s="6"/>
      <c r="AC72" s="12"/>
      <c r="AD72" s="12"/>
      <c r="AE72" s="12"/>
      <c r="AJ72" s="21"/>
    </row>
    <row r="73" spans="2:36" s="2" customFormat="1" ht="11.25">
      <c r="B73" s="17"/>
      <c r="D73" s="34"/>
      <c r="E73" s="34"/>
      <c r="F73" s="34"/>
      <c r="H73" s="6"/>
      <c r="I73" s="6"/>
      <c r="J73" s="6"/>
      <c r="K73" s="6"/>
      <c r="L73" s="6"/>
      <c r="M73" s="6"/>
      <c r="N73" s="6"/>
      <c r="O73" s="6"/>
      <c r="P73" s="6"/>
      <c r="Q73" s="6"/>
      <c r="R73" s="6"/>
      <c r="S73" s="6"/>
      <c r="T73" s="6"/>
      <c r="U73" s="6"/>
      <c r="V73" s="6"/>
      <c r="W73" s="6"/>
      <c r="X73" s="6"/>
      <c r="Y73" s="6"/>
      <c r="Z73" s="6"/>
      <c r="AA73" s="6"/>
      <c r="AB73" s="6"/>
      <c r="AC73" s="12"/>
      <c r="AD73" s="12"/>
      <c r="AE73" s="12"/>
      <c r="AJ73" s="21"/>
    </row>
    <row r="74" spans="2:36" s="2" customFormat="1" ht="11.25">
      <c r="B74" s="17"/>
      <c r="D74" s="34"/>
      <c r="E74" s="34"/>
      <c r="F74" s="34"/>
      <c r="H74" s="6"/>
      <c r="I74" s="6"/>
      <c r="J74" s="6"/>
      <c r="K74" s="6"/>
      <c r="L74" s="6"/>
      <c r="M74" s="6"/>
      <c r="N74" s="6"/>
      <c r="O74" s="6"/>
      <c r="P74" s="6"/>
      <c r="Q74" s="6"/>
      <c r="R74" s="6"/>
      <c r="S74" s="6"/>
      <c r="T74" s="6"/>
      <c r="U74" s="6"/>
      <c r="V74" s="6"/>
      <c r="W74" s="6"/>
      <c r="X74" s="6"/>
      <c r="Y74" s="6"/>
      <c r="Z74" s="6"/>
      <c r="AA74" s="6"/>
      <c r="AB74" s="6"/>
      <c r="AC74" s="12"/>
      <c r="AD74" s="12"/>
      <c r="AE74" s="12"/>
      <c r="AJ74" s="21"/>
    </row>
    <row r="75" spans="2:36" s="2" customFormat="1" ht="11.25">
      <c r="B75" s="17"/>
      <c r="D75" s="34"/>
      <c r="E75" s="34"/>
      <c r="F75" s="34"/>
      <c r="H75" s="6"/>
      <c r="I75" s="6"/>
      <c r="J75" s="6"/>
      <c r="K75" s="6"/>
      <c r="L75" s="6"/>
      <c r="M75" s="6"/>
      <c r="N75" s="6"/>
      <c r="O75" s="6"/>
      <c r="P75" s="6"/>
      <c r="Q75" s="6"/>
      <c r="R75" s="6"/>
      <c r="S75" s="6"/>
      <c r="T75" s="6"/>
      <c r="U75" s="6"/>
      <c r="V75" s="6"/>
      <c r="W75" s="6"/>
      <c r="X75" s="6"/>
      <c r="Y75" s="6"/>
      <c r="Z75" s="6"/>
      <c r="AA75" s="6"/>
      <c r="AB75" s="6"/>
      <c r="AC75" s="12"/>
      <c r="AD75" s="12"/>
      <c r="AE75" s="12"/>
      <c r="AJ75" s="21"/>
    </row>
    <row r="76" spans="2:36" s="2" customFormat="1" ht="11.25">
      <c r="B76" s="17"/>
      <c r="D76" s="34"/>
      <c r="E76" s="34"/>
      <c r="F76" s="34"/>
      <c r="H76" s="6"/>
      <c r="I76" s="6"/>
      <c r="J76" s="6"/>
      <c r="K76" s="6"/>
      <c r="L76" s="6"/>
      <c r="M76" s="6"/>
      <c r="N76" s="6"/>
      <c r="O76" s="6"/>
      <c r="P76" s="6"/>
      <c r="Q76" s="6"/>
      <c r="R76" s="6"/>
      <c r="S76" s="6"/>
      <c r="T76" s="6"/>
      <c r="U76" s="6"/>
      <c r="V76" s="6"/>
      <c r="W76" s="6"/>
      <c r="X76" s="6"/>
      <c r="Y76" s="6"/>
      <c r="Z76" s="6"/>
      <c r="AA76" s="6"/>
      <c r="AB76" s="6"/>
      <c r="AC76" s="12"/>
      <c r="AD76" s="12"/>
      <c r="AE76" s="12"/>
      <c r="AJ76" s="21"/>
    </row>
    <row r="77" spans="2:36" s="2" customFormat="1" ht="11.25">
      <c r="B77" s="17"/>
      <c r="D77" s="34"/>
      <c r="E77" s="34"/>
      <c r="F77" s="34"/>
      <c r="H77" s="6"/>
      <c r="I77" s="6"/>
      <c r="J77" s="6"/>
      <c r="K77" s="6"/>
      <c r="L77" s="6"/>
      <c r="M77" s="6"/>
      <c r="N77" s="6"/>
      <c r="O77" s="6"/>
      <c r="P77" s="6"/>
      <c r="Q77" s="6"/>
      <c r="R77" s="6"/>
      <c r="S77" s="6"/>
      <c r="T77" s="6"/>
      <c r="U77" s="6"/>
      <c r="V77" s="6"/>
      <c r="W77" s="6"/>
      <c r="X77" s="6"/>
      <c r="Y77" s="6"/>
      <c r="Z77" s="6"/>
      <c r="AA77" s="6"/>
      <c r="AB77" s="6"/>
      <c r="AC77" s="12"/>
      <c r="AD77" s="12"/>
      <c r="AE77" s="12"/>
      <c r="AJ77" s="21"/>
    </row>
    <row r="78" spans="2:36" s="2" customFormat="1" ht="11.25">
      <c r="B78" s="17"/>
      <c r="D78" s="34"/>
      <c r="E78" s="34"/>
      <c r="F78" s="34"/>
      <c r="H78" s="6"/>
      <c r="I78" s="6"/>
      <c r="J78" s="6"/>
      <c r="K78" s="6"/>
      <c r="L78" s="6"/>
      <c r="M78" s="6"/>
      <c r="N78" s="6"/>
      <c r="O78" s="6"/>
      <c r="P78" s="6"/>
      <c r="Q78" s="6"/>
      <c r="R78" s="6"/>
      <c r="S78" s="6"/>
      <c r="T78" s="6"/>
      <c r="U78" s="6"/>
      <c r="V78" s="6"/>
      <c r="W78" s="6"/>
      <c r="X78" s="6"/>
      <c r="Y78" s="6"/>
      <c r="Z78" s="6"/>
      <c r="AA78" s="6"/>
      <c r="AB78" s="6"/>
      <c r="AC78" s="12"/>
      <c r="AD78" s="12"/>
      <c r="AE78" s="12"/>
      <c r="AJ78" s="21"/>
    </row>
    <row r="79" spans="2:36" s="2" customFormat="1" ht="11.25">
      <c r="B79" s="17"/>
      <c r="D79" s="34"/>
      <c r="E79" s="34"/>
      <c r="F79" s="34"/>
      <c r="H79" s="6"/>
      <c r="I79" s="6"/>
      <c r="J79" s="6"/>
      <c r="K79" s="6"/>
      <c r="L79" s="6"/>
      <c r="M79" s="6"/>
      <c r="N79" s="6"/>
      <c r="O79" s="6"/>
      <c r="P79" s="6"/>
      <c r="Q79" s="6"/>
      <c r="R79" s="6"/>
      <c r="S79" s="6"/>
      <c r="T79" s="6"/>
      <c r="U79" s="6"/>
      <c r="V79" s="6"/>
      <c r="W79" s="6"/>
      <c r="X79" s="6"/>
      <c r="Y79" s="6"/>
      <c r="Z79" s="6"/>
      <c r="AA79" s="6"/>
      <c r="AB79" s="6"/>
      <c r="AC79" s="12"/>
      <c r="AD79" s="12"/>
      <c r="AE79" s="12"/>
      <c r="AJ79" s="21"/>
    </row>
    <row r="80" spans="2:36" s="2" customFormat="1" ht="11.25">
      <c r="B80" s="17"/>
      <c r="D80" s="34"/>
      <c r="E80" s="34"/>
      <c r="F80" s="34"/>
      <c r="H80" s="6"/>
      <c r="I80" s="6"/>
      <c r="J80" s="6"/>
      <c r="K80" s="6"/>
      <c r="L80" s="6"/>
      <c r="M80" s="6"/>
      <c r="N80" s="6"/>
      <c r="O80" s="6"/>
      <c r="P80" s="6"/>
      <c r="Q80" s="6"/>
      <c r="R80" s="6"/>
      <c r="S80" s="6"/>
      <c r="T80" s="6"/>
      <c r="U80" s="6"/>
      <c r="V80" s="6"/>
      <c r="W80" s="6"/>
      <c r="X80" s="6"/>
      <c r="Y80" s="6"/>
      <c r="Z80" s="6"/>
      <c r="AA80" s="6"/>
      <c r="AB80" s="6"/>
      <c r="AC80" s="12"/>
      <c r="AD80" s="12"/>
      <c r="AE80" s="12"/>
      <c r="AJ80" s="21"/>
    </row>
    <row r="81" spans="2:36" s="2" customFormat="1" ht="11.25">
      <c r="B81" s="17"/>
      <c r="D81" s="34"/>
      <c r="E81" s="34"/>
      <c r="F81" s="34"/>
      <c r="H81" s="6"/>
      <c r="I81" s="6"/>
      <c r="J81" s="6"/>
      <c r="K81" s="6"/>
      <c r="L81" s="6"/>
      <c r="M81" s="6"/>
      <c r="N81" s="6"/>
      <c r="O81" s="6"/>
      <c r="P81" s="6"/>
      <c r="Q81" s="6"/>
      <c r="R81" s="6"/>
      <c r="S81" s="6"/>
      <c r="T81" s="6"/>
      <c r="U81" s="6"/>
      <c r="V81" s="6"/>
      <c r="W81" s="6"/>
      <c r="X81" s="6"/>
      <c r="Y81" s="6"/>
      <c r="Z81" s="6"/>
      <c r="AA81" s="6"/>
      <c r="AB81" s="6"/>
      <c r="AC81" s="6"/>
      <c r="AD81" s="6"/>
      <c r="AE81" s="6"/>
      <c r="AJ81" s="21"/>
    </row>
    <row r="82" spans="2:36" s="2" customFormat="1" ht="11.25">
      <c r="B82" s="17"/>
      <c r="D82" s="34"/>
      <c r="E82" s="34"/>
      <c r="F82" s="34"/>
      <c r="H82" s="6"/>
      <c r="I82" s="6"/>
      <c r="J82" s="6"/>
      <c r="K82" s="6"/>
      <c r="L82" s="6"/>
      <c r="M82" s="6"/>
      <c r="N82" s="6"/>
      <c r="O82" s="6"/>
      <c r="P82" s="6"/>
      <c r="Q82" s="6"/>
      <c r="R82" s="6"/>
      <c r="S82" s="6"/>
      <c r="T82" s="6"/>
      <c r="U82" s="6"/>
      <c r="V82" s="6"/>
      <c r="W82" s="6"/>
      <c r="X82" s="6"/>
      <c r="Y82" s="6"/>
      <c r="Z82" s="6"/>
      <c r="AA82" s="6"/>
      <c r="AB82" s="6"/>
      <c r="AC82" s="6"/>
      <c r="AD82" s="6"/>
      <c r="AE82" s="6"/>
      <c r="AJ82" s="21"/>
    </row>
    <row r="83" spans="2:36" s="2" customFormat="1" ht="11.25">
      <c r="B83" s="17"/>
      <c r="D83" s="34"/>
      <c r="E83" s="34"/>
      <c r="F83" s="34"/>
      <c r="H83" s="6"/>
      <c r="I83" s="6"/>
      <c r="J83" s="6"/>
      <c r="K83" s="6"/>
      <c r="L83" s="6"/>
      <c r="M83" s="6"/>
      <c r="N83" s="6"/>
      <c r="O83" s="6"/>
      <c r="P83" s="6"/>
      <c r="Q83" s="6"/>
      <c r="R83" s="6"/>
      <c r="S83" s="6"/>
      <c r="T83" s="6"/>
      <c r="U83" s="6"/>
      <c r="V83" s="6"/>
      <c r="W83" s="6"/>
      <c r="X83" s="6"/>
      <c r="Y83" s="6"/>
      <c r="Z83" s="6"/>
      <c r="AA83" s="6"/>
      <c r="AB83" s="6"/>
      <c r="AC83" s="6"/>
      <c r="AD83" s="6"/>
      <c r="AE83" s="6"/>
      <c r="AJ83" s="21"/>
    </row>
    <row r="84" spans="2:36" s="2" customFormat="1" ht="11.25">
      <c r="B84" s="17"/>
      <c r="D84" s="34"/>
      <c r="E84" s="34"/>
      <c r="F84" s="34"/>
      <c r="H84" s="6"/>
      <c r="I84" s="6"/>
      <c r="J84" s="6"/>
      <c r="K84" s="6"/>
      <c r="L84" s="6"/>
      <c r="M84" s="6"/>
      <c r="N84" s="6"/>
      <c r="O84" s="6"/>
      <c r="P84" s="6"/>
      <c r="Q84" s="6"/>
      <c r="R84" s="6"/>
      <c r="S84" s="6"/>
      <c r="T84" s="6"/>
      <c r="U84" s="6"/>
      <c r="V84" s="6"/>
      <c r="W84" s="6"/>
      <c r="X84" s="6"/>
      <c r="Y84" s="6"/>
      <c r="Z84" s="6"/>
      <c r="AA84" s="6"/>
      <c r="AB84" s="6"/>
      <c r="AC84" s="6"/>
      <c r="AD84" s="6"/>
      <c r="AE84" s="6"/>
      <c r="AJ84" s="21"/>
    </row>
    <row r="85" spans="2:36" s="2" customFormat="1" ht="11.25">
      <c r="B85" s="17"/>
      <c r="D85" s="34"/>
      <c r="E85" s="34"/>
      <c r="F85" s="34"/>
      <c r="H85" s="6"/>
      <c r="I85" s="6"/>
      <c r="J85" s="6"/>
      <c r="K85" s="6"/>
      <c r="L85" s="6"/>
      <c r="M85" s="6"/>
      <c r="N85" s="6"/>
      <c r="O85" s="6"/>
      <c r="P85" s="6"/>
      <c r="Q85" s="6"/>
      <c r="R85" s="6"/>
      <c r="S85" s="6"/>
      <c r="T85" s="6"/>
      <c r="U85" s="6"/>
      <c r="V85" s="6"/>
      <c r="W85" s="6"/>
      <c r="X85" s="6"/>
      <c r="Y85" s="6"/>
      <c r="Z85" s="6"/>
      <c r="AA85" s="6"/>
      <c r="AB85" s="6"/>
      <c r="AC85" s="12"/>
      <c r="AD85" s="12"/>
      <c r="AE85" s="12"/>
      <c r="AJ85" s="21"/>
    </row>
    <row r="86" spans="2:36" s="2" customFormat="1" ht="11.25">
      <c r="B86" s="17"/>
      <c r="D86" s="34"/>
      <c r="E86" s="34"/>
      <c r="F86" s="34"/>
      <c r="H86" s="6"/>
      <c r="I86" s="6"/>
      <c r="J86" s="6"/>
      <c r="K86" s="6"/>
      <c r="L86" s="6"/>
      <c r="M86" s="6"/>
      <c r="N86" s="6"/>
      <c r="O86" s="6"/>
      <c r="P86" s="6"/>
      <c r="Q86" s="6"/>
      <c r="R86" s="6"/>
      <c r="S86" s="6"/>
      <c r="T86" s="6"/>
      <c r="U86" s="6"/>
      <c r="V86" s="6"/>
      <c r="W86" s="6"/>
      <c r="X86" s="6"/>
      <c r="Y86" s="6"/>
      <c r="Z86" s="6"/>
      <c r="AA86" s="6"/>
      <c r="AB86" s="6"/>
      <c r="AC86" s="12"/>
      <c r="AD86" s="12"/>
      <c r="AE86" s="12"/>
      <c r="AJ86" s="21"/>
    </row>
    <row r="87" spans="2:36" s="2" customFormat="1" ht="11.25">
      <c r="B87" s="17"/>
      <c r="D87" s="34"/>
      <c r="E87" s="34"/>
      <c r="F87" s="34"/>
      <c r="H87" s="6"/>
      <c r="I87" s="6"/>
      <c r="J87" s="6"/>
      <c r="K87" s="6"/>
      <c r="L87" s="6"/>
      <c r="M87" s="6"/>
      <c r="N87" s="6"/>
      <c r="O87" s="6"/>
      <c r="P87" s="6"/>
      <c r="Q87" s="6"/>
      <c r="R87" s="6"/>
      <c r="S87" s="6"/>
      <c r="T87" s="6"/>
      <c r="U87" s="6"/>
      <c r="V87" s="6"/>
      <c r="W87" s="6"/>
      <c r="X87" s="6"/>
      <c r="Y87" s="6"/>
      <c r="Z87" s="6"/>
      <c r="AA87" s="6"/>
      <c r="AB87" s="6"/>
      <c r="AC87" s="12"/>
      <c r="AD87" s="12"/>
      <c r="AE87" s="12"/>
      <c r="AJ87" s="21"/>
    </row>
    <row r="88" spans="2:36" s="2" customFormat="1" ht="11.25">
      <c r="B88" s="17"/>
      <c r="C88" s="14"/>
      <c r="D88" s="36"/>
      <c r="E88" s="36"/>
      <c r="F88" s="36"/>
      <c r="H88" s="6"/>
      <c r="I88" s="6"/>
      <c r="J88" s="6"/>
      <c r="K88" s="6"/>
      <c r="L88" s="6"/>
      <c r="M88" s="6"/>
      <c r="N88" s="6"/>
      <c r="O88" s="6"/>
      <c r="P88" s="6"/>
      <c r="Q88" s="6"/>
      <c r="R88" s="6"/>
      <c r="S88" s="6"/>
      <c r="T88" s="6"/>
      <c r="U88" s="6"/>
      <c r="V88" s="6"/>
      <c r="W88" s="6"/>
      <c r="X88" s="6"/>
      <c r="Y88" s="6"/>
      <c r="Z88" s="6"/>
      <c r="AA88" s="6"/>
      <c r="AB88" s="6"/>
      <c r="AC88" s="12"/>
      <c r="AD88" s="12"/>
      <c r="AE88" s="12"/>
      <c r="AJ88" s="21"/>
    </row>
    <row r="89" spans="2:36" s="2" customFormat="1" ht="11.25">
      <c r="B89" s="17"/>
      <c r="D89" s="34"/>
      <c r="E89" s="34"/>
      <c r="F89" s="34"/>
      <c r="H89" s="6"/>
      <c r="I89" s="6"/>
      <c r="J89" s="6"/>
      <c r="K89" s="6"/>
      <c r="L89" s="6"/>
      <c r="M89" s="6"/>
      <c r="N89" s="6"/>
      <c r="O89" s="6"/>
      <c r="P89" s="6"/>
      <c r="Q89" s="6"/>
      <c r="R89" s="6"/>
      <c r="S89" s="6"/>
      <c r="T89" s="6"/>
      <c r="U89" s="6"/>
      <c r="V89" s="6"/>
      <c r="W89" s="6"/>
      <c r="X89" s="6"/>
      <c r="Y89" s="6"/>
      <c r="Z89" s="6"/>
      <c r="AA89" s="6"/>
      <c r="AB89" s="6"/>
      <c r="AC89" s="6"/>
      <c r="AD89" s="6"/>
      <c r="AE89" s="6"/>
      <c r="AJ89" s="21"/>
    </row>
    <row r="90" spans="2:36" s="2" customFormat="1" ht="11.25">
      <c r="B90" s="17"/>
      <c r="D90" s="34"/>
      <c r="E90" s="34"/>
      <c r="F90" s="34"/>
      <c r="H90" s="6"/>
      <c r="I90" s="6"/>
      <c r="J90" s="6"/>
      <c r="K90" s="6"/>
      <c r="L90" s="6"/>
      <c r="M90" s="6"/>
      <c r="N90" s="6"/>
      <c r="O90" s="6"/>
      <c r="P90" s="6"/>
      <c r="Q90" s="6"/>
      <c r="R90" s="6"/>
      <c r="S90" s="6"/>
      <c r="T90" s="6"/>
      <c r="U90" s="6"/>
      <c r="V90" s="6"/>
      <c r="W90" s="6"/>
      <c r="X90" s="6"/>
      <c r="Y90" s="6"/>
      <c r="Z90" s="6"/>
      <c r="AA90" s="6"/>
      <c r="AB90" s="6"/>
      <c r="AC90" s="12"/>
      <c r="AD90" s="12"/>
      <c r="AE90" s="12"/>
      <c r="AJ90" s="21"/>
    </row>
    <row r="91" spans="2:36" s="2" customFormat="1" ht="11.25">
      <c r="B91" s="17"/>
      <c r="D91" s="34"/>
      <c r="E91" s="34"/>
      <c r="F91" s="34"/>
      <c r="H91" s="6"/>
      <c r="I91" s="6"/>
      <c r="J91" s="6"/>
      <c r="K91" s="6"/>
      <c r="L91" s="6"/>
      <c r="M91" s="6"/>
      <c r="N91" s="6"/>
      <c r="O91" s="6"/>
      <c r="P91" s="6"/>
      <c r="Q91" s="6"/>
      <c r="R91" s="6"/>
      <c r="S91" s="6"/>
      <c r="T91" s="6"/>
      <c r="U91" s="6"/>
      <c r="V91" s="6"/>
      <c r="W91" s="6"/>
      <c r="X91" s="6"/>
      <c r="Y91" s="6"/>
      <c r="Z91" s="6"/>
      <c r="AA91" s="6"/>
      <c r="AB91" s="6"/>
      <c r="AC91" s="12"/>
      <c r="AD91" s="12"/>
      <c r="AE91" s="12"/>
      <c r="AJ91" s="21"/>
    </row>
    <row r="92" spans="2:36" s="2" customFormat="1" ht="11.25">
      <c r="B92" s="17"/>
      <c r="D92" s="34"/>
      <c r="E92" s="34"/>
      <c r="F92" s="34"/>
      <c r="H92" s="6"/>
      <c r="I92" s="6"/>
      <c r="J92" s="6"/>
      <c r="K92" s="6"/>
      <c r="L92" s="6"/>
      <c r="M92" s="6"/>
      <c r="N92" s="6"/>
      <c r="O92" s="6"/>
      <c r="P92" s="6"/>
      <c r="Q92" s="6"/>
      <c r="R92" s="6"/>
      <c r="S92" s="6"/>
      <c r="T92" s="6"/>
      <c r="U92" s="6"/>
      <c r="V92" s="6"/>
      <c r="W92" s="6"/>
      <c r="X92" s="6"/>
      <c r="Y92" s="6"/>
      <c r="Z92" s="6"/>
      <c r="AA92" s="6"/>
      <c r="AB92" s="6"/>
      <c r="AC92" s="12"/>
      <c r="AD92" s="12"/>
      <c r="AE92" s="12"/>
      <c r="AJ92" s="21"/>
    </row>
    <row r="93" spans="2:36" s="2" customFormat="1" ht="11.25">
      <c r="B93" s="17"/>
      <c r="D93" s="34"/>
      <c r="E93" s="34"/>
      <c r="F93" s="34"/>
      <c r="H93" s="6"/>
      <c r="I93" s="6"/>
      <c r="J93" s="6"/>
      <c r="K93" s="6"/>
      <c r="L93" s="6"/>
      <c r="M93" s="6"/>
      <c r="N93" s="6"/>
      <c r="O93" s="6"/>
      <c r="P93" s="6"/>
      <c r="Q93" s="6"/>
      <c r="R93" s="6"/>
      <c r="S93" s="6"/>
      <c r="T93" s="6"/>
      <c r="U93" s="6"/>
      <c r="V93" s="6"/>
      <c r="W93" s="6"/>
      <c r="X93" s="6"/>
      <c r="Y93" s="6"/>
      <c r="Z93" s="6"/>
      <c r="AA93" s="6"/>
      <c r="AB93" s="6"/>
      <c r="AC93" s="12"/>
      <c r="AD93" s="12"/>
      <c r="AE93" s="12"/>
      <c r="AJ93" s="21"/>
    </row>
    <row r="94" spans="2:36" s="2" customFormat="1" ht="11.25">
      <c r="B94" s="17"/>
      <c r="D94" s="34"/>
      <c r="E94" s="34"/>
      <c r="F94" s="34"/>
      <c r="H94" s="6"/>
      <c r="I94" s="6"/>
      <c r="J94" s="6"/>
      <c r="K94" s="6"/>
      <c r="L94" s="6"/>
      <c r="M94" s="6"/>
      <c r="N94" s="6"/>
      <c r="O94" s="6"/>
      <c r="P94" s="6"/>
      <c r="Q94" s="6"/>
      <c r="R94" s="6"/>
      <c r="S94" s="6"/>
      <c r="T94" s="6"/>
      <c r="U94" s="6"/>
      <c r="V94" s="6"/>
      <c r="W94" s="6"/>
      <c r="X94" s="6"/>
      <c r="Y94" s="6"/>
      <c r="Z94" s="6"/>
      <c r="AA94" s="6"/>
      <c r="AB94" s="6"/>
      <c r="AC94" s="12"/>
      <c r="AD94" s="12"/>
      <c r="AE94" s="12"/>
      <c r="AJ94" s="21"/>
    </row>
    <row r="95" spans="2:36" s="2" customFormat="1" ht="11.25">
      <c r="B95" s="17"/>
      <c r="D95" s="34"/>
      <c r="E95" s="34"/>
      <c r="F95" s="34"/>
      <c r="H95" s="6"/>
      <c r="I95" s="6"/>
      <c r="J95" s="6"/>
      <c r="K95" s="6"/>
      <c r="L95" s="6"/>
      <c r="M95" s="6"/>
      <c r="N95" s="6"/>
      <c r="O95" s="6"/>
      <c r="P95" s="6"/>
      <c r="Q95" s="6"/>
      <c r="R95" s="6"/>
      <c r="S95" s="6"/>
      <c r="T95" s="6"/>
      <c r="U95" s="6"/>
      <c r="V95" s="6"/>
      <c r="W95" s="6"/>
      <c r="X95" s="6"/>
      <c r="Y95" s="6"/>
      <c r="Z95" s="6"/>
      <c r="AA95" s="6"/>
      <c r="AB95" s="6"/>
      <c r="AC95" s="12"/>
      <c r="AD95" s="12"/>
      <c r="AE95" s="12"/>
      <c r="AJ95" s="21"/>
    </row>
    <row r="96" spans="2:36" s="2" customFormat="1" ht="11.25">
      <c r="B96" s="17"/>
      <c r="D96" s="34"/>
      <c r="E96" s="34"/>
      <c r="F96" s="34"/>
      <c r="H96" s="6"/>
      <c r="I96" s="6"/>
      <c r="J96" s="6"/>
      <c r="K96" s="6"/>
      <c r="L96" s="6"/>
      <c r="M96" s="6"/>
      <c r="N96" s="6"/>
      <c r="O96" s="6"/>
      <c r="P96" s="6"/>
      <c r="Q96" s="6"/>
      <c r="R96" s="6"/>
      <c r="S96" s="6"/>
      <c r="T96" s="6"/>
      <c r="U96" s="6"/>
      <c r="V96" s="6"/>
      <c r="W96" s="6"/>
      <c r="X96" s="6"/>
      <c r="Y96" s="6"/>
      <c r="Z96" s="6"/>
      <c r="AA96" s="6"/>
      <c r="AB96" s="6"/>
      <c r="AC96" s="12"/>
      <c r="AD96" s="12"/>
      <c r="AE96" s="12"/>
      <c r="AJ96" s="21"/>
    </row>
    <row r="97" spans="2:36" s="2" customFormat="1" ht="11.25">
      <c r="B97" s="17"/>
      <c r="D97" s="34"/>
      <c r="E97" s="34"/>
      <c r="F97" s="34"/>
      <c r="H97" s="6"/>
      <c r="I97" s="6"/>
      <c r="J97" s="6"/>
      <c r="K97" s="6"/>
      <c r="L97" s="6"/>
      <c r="M97" s="6"/>
      <c r="N97" s="6"/>
      <c r="O97" s="6"/>
      <c r="P97" s="6"/>
      <c r="Q97" s="6"/>
      <c r="R97" s="6"/>
      <c r="S97" s="6"/>
      <c r="T97" s="6"/>
      <c r="U97" s="6"/>
      <c r="V97" s="6"/>
      <c r="W97" s="6"/>
      <c r="X97" s="6"/>
      <c r="Y97" s="6"/>
      <c r="Z97" s="6"/>
      <c r="AA97" s="6"/>
      <c r="AB97" s="6"/>
      <c r="AC97" s="12"/>
      <c r="AD97" s="12"/>
      <c r="AE97" s="12"/>
      <c r="AJ97" s="21"/>
    </row>
    <row r="98" spans="2:36" s="2" customFormat="1" ht="11.25">
      <c r="B98" s="17"/>
      <c r="D98" s="34"/>
      <c r="E98" s="34"/>
      <c r="F98" s="34"/>
      <c r="H98" s="6"/>
      <c r="I98" s="6"/>
      <c r="J98" s="6"/>
      <c r="K98" s="6"/>
      <c r="L98" s="6"/>
      <c r="M98" s="6"/>
      <c r="N98" s="6"/>
      <c r="O98" s="6"/>
      <c r="P98" s="6"/>
      <c r="Q98" s="6"/>
      <c r="R98" s="6"/>
      <c r="S98" s="6"/>
      <c r="T98" s="6"/>
      <c r="U98" s="6"/>
      <c r="V98" s="6"/>
      <c r="W98" s="6"/>
      <c r="X98" s="6"/>
      <c r="Y98" s="6"/>
      <c r="Z98" s="6"/>
      <c r="AA98" s="6"/>
      <c r="AB98" s="6"/>
      <c r="AC98" s="12"/>
      <c r="AD98" s="12"/>
      <c r="AE98" s="12"/>
      <c r="AJ98" s="21"/>
    </row>
    <row r="99" spans="2:36" s="2" customFormat="1" ht="11.25">
      <c r="B99" s="17"/>
      <c r="D99" s="34"/>
      <c r="E99" s="34"/>
      <c r="F99" s="34"/>
      <c r="H99" s="6"/>
      <c r="I99" s="6"/>
      <c r="J99" s="6"/>
      <c r="K99" s="6"/>
      <c r="L99" s="6"/>
      <c r="M99" s="6"/>
      <c r="N99" s="6"/>
      <c r="O99" s="6"/>
      <c r="P99" s="6"/>
      <c r="Q99" s="6"/>
      <c r="R99" s="6"/>
      <c r="S99" s="6"/>
      <c r="T99" s="6"/>
      <c r="U99" s="6"/>
      <c r="V99" s="6"/>
      <c r="W99" s="6"/>
      <c r="X99" s="6"/>
      <c r="Y99" s="6"/>
      <c r="Z99" s="6"/>
      <c r="AA99" s="6"/>
      <c r="AB99" s="6"/>
      <c r="AC99" s="12"/>
      <c r="AD99" s="12"/>
      <c r="AE99" s="12"/>
      <c r="AJ99" s="21"/>
    </row>
    <row r="100" spans="2:36" s="2" customFormat="1" ht="11.25">
      <c r="B100" s="17"/>
      <c r="D100" s="34"/>
      <c r="E100" s="34"/>
      <c r="F100" s="34"/>
      <c r="H100" s="6"/>
      <c r="I100" s="6"/>
      <c r="J100" s="6"/>
      <c r="K100" s="6"/>
      <c r="L100" s="6"/>
      <c r="M100" s="6"/>
      <c r="N100" s="6"/>
      <c r="O100" s="6"/>
      <c r="P100" s="6"/>
      <c r="Q100" s="6"/>
      <c r="R100" s="6"/>
      <c r="S100" s="6"/>
      <c r="T100" s="6"/>
      <c r="U100" s="6"/>
      <c r="V100" s="6"/>
      <c r="W100" s="6"/>
      <c r="X100" s="6"/>
      <c r="Y100" s="6"/>
      <c r="Z100" s="6"/>
      <c r="AA100" s="6"/>
      <c r="AB100" s="6"/>
      <c r="AC100" s="12"/>
      <c r="AD100" s="12"/>
      <c r="AE100" s="12"/>
      <c r="AJ100" s="21"/>
    </row>
    <row r="101" spans="2:36" s="2" customFormat="1" ht="11.25">
      <c r="B101" s="17"/>
      <c r="D101" s="34"/>
      <c r="E101" s="34"/>
      <c r="F101" s="34"/>
      <c r="H101" s="6"/>
      <c r="I101" s="6"/>
      <c r="J101" s="6"/>
      <c r="K101" s="6"/>
      <c r="L101" s="6"/>
      <c r="M101" s="6"/>
      <c r="N101" s="6"/>
      <c r="O101" s="6"/>
      <c r="P101" s="6"/>
      <c r="Q101" s="6"/>
      <c r="R101" s="6"/>
      <c r="S101" s="6"/>
      <c r="T101" s="6"/>
      <c r="U101" s="6"/>
      <c r="V101" s="6"/>
      <c r="W101" s="6"/>
      <c r="X101" s="6"/>
      <c r="Y101" s="6"/>
      <c r="Z101" s="6"/>
      <c r="AA101" s="6"/>
      <c r="AB101" s="6"/>
      <c r="AC101" s="12"/>
      <c r="AD101" s="12"/>
      <c r="AE101" s="12"/>
      <c r="AJ101" s="21"/>
    </row>
    <row r="102" spans="2:36" s="2" customFormat="1" ht="11.25">
      <c r="B102" s="17"/>
      <c r="D102" s="34"/>
      <c r="E102" s="34"/>
      <c r="F102" s="34"/>
      <c r="H102" s="6"/>
      <c r="I102" s="6"/>
      <c r="J102" s="6"/>
      <c r="K102" s="6"/>
      <c r="L102" s="6"/>
      <c r="M102" s="6"/>
      <c r="N102" s="6"/>
      <c r="O102" s="6"/>
      <c r="P102" s="6"/>
      <c r="Q102" s="6"/>
      <c r="R102" s="6"/>
      <c r="S102" s="6"/>
      <c r="T102" s="6"/>
      <c r="U102" s="6"/>
      <c r="V102" s="6"/>
      <c r="W102" s="6"/>
      <c r="X102" s="6"/>
      <c r="Y102" s="6"/>
      <c r="Z102" s="6"/>
      <c r="AA102" s="6"/>
      <c r="AB102" s="6"/>
      <c r="AC102" s="12"/>
      <c r="AD102" s="12"/>
      <c r="AE102" s="12"/>
      <c r="AJ102" s="21"/>
    </row>
    <row r="103" spans="2:36" s="2" customFormat="1" ht="11.25">
      <c r="B103" s="17"/>
      <c r="D103" s="34"/>
      <c r="E103" s="34"/>
      <c r="F103" s="34"/>
      <c r="H103" s="6"/>
      <c r="I103" s="6"/>
      <c r="J103" s="6"/>
      <c r="K103" s="6"/>
      <c r="L103" s="6"/>
      <c r="M103" s="6"/>
      <c r="N103" s="6"/>
      <c r="O103" s="6"/>
      <c r="P103" s="6"/>
      <c r="Q103" s="6"/>
      <c r="R103" s="6"/>
      <c r="S103" s="6"/>
      <c r="T103" s="6"/>
      <c r="U103" s="6"/>
      <c r="V103" s="6"/>
      <c r="W103" s="6"/>
      <c r="X103" s="6"/>
      <c r="Y103" s="6"/>
      <c r="Z103" s="6"/>
      <c r="AA103" s="6"/>
      <c r="AB103" s="6"/>
      <c r="AC103" s="12"/>
      <c r="AD103" s="12"/>
      <c r="AE103" s="12"/>
      <c r="AJ103" s="21"/>
    </row>
    <row r="104" spans="2:36" s="2" customFormat="1" ht="11.25">
      <c r="B104" s="17"/>
      <c r="D104" s="34"/>
      <c r="E104" s="34"/>
      <c r="F104" s="34"/>
      <c r="H104" s="6"/>
      <c r="I104" s="6"/>
      <c r="J104" s="6"/>
      <c r="K104" s="6"/>
      <c r="L104" s="6"/>
      <c r="M104" s="6"/>
      <c r="N104" s="6"/>
      <c r="O104" s="6"/>
      <c r="P104" s="6"/>
      <c r="Q104" s="6"/>
      <c r="R104" s="6"/>
      <c r="S104" s="6"/>
      <c r="T104" s="6"/>
      <c r="U104" s="6"/>
      <c r="V104" s="6"/>
      <c r="W104" s="6"/>
      <c r="X104" s="6"/>
      <c r="Y104" s="6"/>
      <c r="Z104" s="6"/>
      <c r="AA104" s="6"/>
      <c r="AB104" s="6"/>
      <c r="AC104" s="12"/>
      <c r="AD104" s="12"/>
      <c r="AE104" s="12"/>
      <c r="AJ104" s="21"/>
    </row>
    <row r="105" spans="2:36" s="2" customFormat="1" ht="11.25" customHeight="1">
      <c r="B105" s="17"/>
      <c r="D105" s="34"/>
      <c r="E105" s="34"/>
      <c r="F105" s="34"/>
      <c r="H105" s="6"/>
      <c r="I105" s="6"/>
      <c r="J105" s="6"/>
      <c r="K105" s="6"/>
      <c r="L105" s="6"/>
      <c r="M105" s="6"/>
      <c r="N105" s="6"/>
      <c r="O105" s="6"/>
      <c r="P105" s="6"/>
      <c r="Q105" s="6"/>
      <c r="R105" s="6"/>
      <c r="S105" s="6"/>
      <c r="T105" s="6"/>
      <c r="U105" s="6"/>
      <c r="V105" s="6"/>
      <c r="W105" s="6"/>
      <c r="X105" s="6"/>
      <c r="Y105" s="6"/>
      <c r="Z105" s="6"/>
      <c r="AA105" s="6"/>
      <c r="AB105" s="6"/>
      <c r="AC105" s="12"/>
      <c r="AD105" s="12"/>
      <c r="AE105" s="12"/>
      <c r="AJ105" s="21"/>
    </row>
    <row r="106" spans="2:36" s="2" customFormat="1" ht="11.25" customHeight="1">
      <c r="B106" s="17"/>
      <c r="D106" s="34"/>
      <c r="E106" s="34"/>
      <c r="F106" s="34"/>
      <c r="H106" s="6"/>
      <c r="I106" s="6"/>
      <c r="J106" s="6"/>
      <c r="K106" s="6"/>
      <c r="L106" s="6"/>
      <c r="M106" s="6"/>
      <c r="N106" s="6"/>
      <c r="O106" s="6"/>
      <c r="P106" s="6"/>
      <c r="Q106" s="6"/>
      <c r="R106" s="6"/>
      <c r="S106" s="6"/>
      <c r="T106" s="6"/>
      <c r="U106" s="6"/>
      <c r="V106" s="6"/>
      <c r="W106" s="6"/>
      <c r="X106" s="6"/>
      <c r="Y106" s="6"/>
      <c r="Z106" s="6"/>
      <c r="AA106" s="6"/>
      <c r="AB106" s="6"/>
      <c r="AC106" s="12"/>
      <c r="AD106" s="12"/>
      <c r="AE106" s="12"/>
      <c r="AJ106" s="21"/>
    </row>
    <row r="107" spans="2:36" s="2" customFormat="1" ht="11.25">
      <c r="B107" s="17"/>
      <c r="D107" s="34"/>
      <c r="E107" s="34"/>
      <c r="F107" s="34"/>
      <c r="H107" s="6"/>
      <c r="I107" s="6"/>
      <c r="J107" s="6"/>
      <c r="K107" s="6"/>
      <c r="L107" s="6"/>
      <c r="M107" s="6"/>
      <c r="N107" s="6"/>
      <c r="O107" s="6"/>
      <c r="P107" s="6"/>
      <c r="Q107" s="6"/>
      <c r="R107" s="6"/>
      <c r="S107" s="6"/>
      <c r="T107" s="6"/>
      <c r="U107" s="6"/>
      <c r="V107" s="6"/>
      <c r="W107" s="6"/>
      <c r="X107" s="6"/>
      <c r="Y107" s="6"/>
      <c r="Z107" s="6"/>
      <c r="AA107" s="6"/>
      <c r="AB107" s="6"/>
      <c r="AC107" s="12"/>
      <c r="AD107" s="12"/>
      <c r="AE107" s="12"/>
      <c r="AJ107" s="21"/>
    </row>
    <row r="108" spans="2:36" s="2" customFormat="1" ht="11.25">
      <c r="B108" s="17"/>
      <c r="D108" s="34"/>
      <c r="E108" s="34"/>
      <c r="F108" s="34"/>
      <c r="H108" s="6"/>
      <c r="I108" s="6"/>
      <c r="J108" s="6"/>
      <c r="K108" s="6"/>
      <c r="L108" s="6"/>
      <c r="M108" s="6"/>
      <c r="N108" s="6"/>
      <c r="O108" s="6"/>
      <c r="P108" s="6"/>
      <c r="Q108" s="6"/>
      <c r="R108" s="6"/>
      <c r="S108" s="6"/>
      <c r="T108" s="6"/>
      <c r="U108" s="6"/>
      <c r="V108" s="6"/>
      <c r="W108" s="6"/>
      <c r="X108" s="6"/>
      <c r="Y108" s="6"/>
      <c r="Z108" s="6"/>
      <c r="AA108" s="6"/>
      <c r="AB108" s="6"/>
      <c r="AC108" s="12"/>
      <c r="AD108" s="12"/>
      <c r="AE108" s="12"/>
      <c r="AJ108" s="21"/>
    </row>
    <row r="109" spans="2:36" s="2" customFormat="1" ht="11.25">
      <c r="B109" s="17"/>
      <c r="D109" s="34"/>
      <c r="E109" s="34"/>
      <c r="F109" s="34"/>
      <c r="H109" s="6"/>
      <c r="I109" s="6"/>
      <c r="J109" s="6"/>
      <c r="K109" s="6"/>
      <c r="L109" s="6"/>
      <c r="M109" s="6"/>
      <c r="N109" s="6"/>
      <c r="O109" s="6"/>
      <c r="P109" s="6"/>
      <c r="Q109" s="6"/>
      <c r="R109" s="6"/>
      <c r="S109" s="6"/>
      <c r="T109" s="6"/>
      <c r="U109" s="6"/>
      <c r="V109" s="6"/>
      <c r="W109" s="6"/>
      <c r="X109" s="6"/>
      <c r="Y109" s="6"/>
      <c r="Z109" s="6"/>
      <c r="AA109" s="6"/>
      <c r="AB109" s="6"/>
      <c r="AC109" s="12"/>
      <c r="AD109" s="12"/>
      <c r="AE109" s="12"/>
      <c r="AJ109" s="21"/>
    </row>
    <row r="110" spans="2:36" s="2" customFormat="1" ht="11.25">
      <c r="B110" s="17"/>
      <c r="D110" s="34"/>
      <c r="E110" s="34"/>
      <c r="F110" s="34"/>
      <c r="H110" s="6"/>
      <c r="I110" s="6"/>
      <c r="J110" s="6"/>
      <c r="K110" s="6"/>
      <c r="L110" s="6"/>
      <c r="M110" s="6"/>
      <c r="N110" s="6"/>
      <c r="O110" s="6"/>
      <c r="P110" s="6"/>
      <c r="Q110" s="6"/>
      <c r="R110" s="6"/>
      <c r="S110" s="6"/>
      <c r="T110" s="6"/>
      <c r="U110" s="6"/>
      <c r="V110" s="6"/>
      <c r="W110" s="6"/>
      <c r="X110" s="6"/>
      <c r="Y110" s="6"/>
      <c r="Z110" s="6"/>
      <c r="AA110" s="6"/>
      <c r="AB110" s="6"/>
      <c r="AC110" s="12"/>
      <c r="AD110" s="12"/>
      <c r="AE110" s="12"/>
      <c r="AJ110" s="21"/>
    </row>
    <row r="111" spans="2:36" s="2" customFormat="1" ht="11.25">
      <c r="B111" s="17"/>
      <c r="D111" s="34"/>
      <c r="E111" s="34"/>
      <c r="F111" s="34"/>
      <c r="H111" s="6"/>
      <c r="I111" s="6"/>
      <c r="J111" s="6"/>
      <c r="K111" s="6"/>
      <c r="L111" s="6"/>
      <c r="M111" s="6"/>
      <c r="N111" s="6"/>
      <c r="O111" s="6"/>
      <c r="P111" s="6"/>
      <c r="Q111" s="6"/>
      <c r="R111" s="6"/>
      <c r="S111" s="6"/>
      <c r="T111" s="6"/>
      <c r="U111" s="6"/>
      <c r="V111" s="6"/>
      <c r="W111" s="6"/>
      <c r="X111" s="6"/>
      <c r="Y111" s="6"/>
      <c r="Z111" s="6"/>
      <c r="AA111" s="6"/>
      <c r="AB111" s="6"/>
      <c r="AC111" s="12"/>
      <c r="AD111" s="12"/>
      <c r="AE111" s="12"/>
      <c r="AJ111" s="21"/>
    </row>
    <row r="112" spans="2:36" s="2" customFormat="1" ht="11.25">
      <c r="B112" s="17"/>
      <c r="D112" s="34"/>
      <c r="E112" s="34"/>
      <c r="F112" s="34"/>
      <c r="H112" s="6"/>
      <c r="I112" s="6"/>
      <c r="J112" s="6"/>
      <c r="K112" s="6"/>
      <c r="L112" s="6"/>
      <c r="M112" s="6"/>
      <c r="N112" s="6"/>
      <c r="O112" s="6"/>
      <c r="P112" s="6"/>
      <c r="Q112" s="6"/>
      <c r="R112" s="6"/>
      <c r="S112" s="6"/>
      <c r="T112" s="6"/>
      <c r="U112" s="6"/>
      <c r="V112" s="6"/>
      <c r="W112" s="6"/>
      <c r="X112" s="6"/>
      <c r="Y112" s="6"/>
      <c r="Z112" s="6"/>
      <c r="AA112" s="6"/>
      <c r="AB112" s="6"/>
      <c r="AC112" s="12"/>
      <c r="AD112" s="12"/>
      <c r="AE112" s="12"/>
      <c r="AJ112" s="21"/>
    </row>
    <row r="113" spans="2:36" s="2" customFormat="1" ht="11.25">
      <c r="B113" s="17"/>
      <c r="D113" s="34"/>
      <c r="E113" s="34"/>
      <c r="F113" s="34"/>
      <c r="H113" s="6"/>
      <c r="I113" s="6"/>
      <c r="J113" s="6"/>
      <c r="K113" s="6"/>
      <c r="L113" s="6"/>
      <c r="M113" s="6"/>
      <c r="N113" s="6"/>
      <c r="O113" s="6"/>
      <c r="P113" s="6"/>
      <c r="Q113" s="6"/>
      <c r="R113" s="6"/>
      <c r="S113" s="6"/>
      <c r="T113" s="6"/>
      <c r="U113" s="6"/>
      <c r="V113" s="6"/>
      <c r="W113" s="6"/>
      <c r="X113" s="6"/>
      <c r="Y113" s="6"/>
      <c r="Z113" s="6"/>
      <c r="AA113" s="6"/>
      <c r="AB113" s="6"/>
      <c r="AC113" s="6"/>
      <c r="AD113" s="6"/>
      <c r="AE113" s="6"/>
      <c r="AJ113" s="21"/>
    </row>
    <row r="114" spans="2:36" s="2" customFormat="1" ht="11.25">
      <c r="B114" s="17"/>
      <c r="D114" s="34"/>
      <c r="E114" s="34"/>
      <c r="F114" s="34"/>
      <c r="H114" s="6"/>
      <c r="I114" s="6"/>
      <c r="J114" s="6"/>
      <c r="K114" s="6"/>
      <c r="L114" s="6"/>
      <c r="M114" s="6"/>
      <c r="N114" s="6"/>
      <c r="O114" s="6"/>
      <c r="P114" s="6"/>
      <c r="Q114" s="6"/>
      <c r="R114" s="6"/>
      <c r="S114" s="6"/>
      <c r="T114" s="6"/>
      <c r="U114" s="6"/>
      <c r="V114" s="6"/>
      <c r="W114" s="6"/>
      <c r="X114" s="6"/>
      <c r="Y114" s="6"/>
      <c r="Z114" s="6"/>
      <c r="AA114" s="6"/>
      <c r="AB114" s="6"/>
      <c r="AC114" s="12"/>
      <c r="AD114" s="12"/>
      <c r="AE114" s="12"/>
      <c r="AJ114" s="21"/>
    </row>
    <row r="115" spans="2:36" s="2" customFormat="1" ht="11.25">
      <c r="B115" s="17"/>
      <c r="D115" s="34"/>
      <c r="E115" s="34"/>
      <c r="F115" s="34"/>
      <c r="H115" s="6"/>
      <c r="I115" s="6"/>
      <c r="J115" s="6"/>
      <c r="K115" s="6"/>
      <c r="L115" s="6"/>
      <c r="M115" s="6"/>
      <c r="N115" s="6"/>
      <c r="O115" s="6"/>
      <c r="P115" s="6"/>
      <c r="Q115" s="6"/>
      <c r="R115" s="6"/>
      <c r="S115" s="6"/>
      <c r="T115" s="6"/>
      <c r="U115" s="6"/>
      <c r="V115" s="6"/>
      <c r="W115" s="6"/>
      <c r="X115" s="6"/>
      <c r="Y115" s="6"/>
      <c r="Z115" s="6"/>
      <c r="AA115" s="6"/>
      <c r="AB115" s="6"/>
      <c r="AC115" s="12"/>
      <c r="AD115" s="12"/>
      <c r="AE115" s="12"/>
      <c r="AJ115" s="21"/>
    </row>
    <row r="116" spans="2:36" s="2" customFormat="1" ht="11.25">
      <c r="B116" s="17"/>
      <c r="D116" s="34"/>
      <c r="E116" s="34"/>
      <c r="F116" s="34"/>
      <c r="H116" s="6"/>
      <c r="I116" s="6"/>
      <c r="J116" s="6"/>
      <c r="K116" s="6"/>
      <c r="L116" s="6"/>
      <c r="M116" s="6"/>
      <c r="N116" s="6"/>
      <c r="O116" s="6"/>
      <c r="P116" s="6"/>
      <c r="Q116" s="6"/>
      <c r="R116" s="6"/>
      <c r="S116" s="6"/>
      <c r="T116" s="6"/>
      <c r="U116" s="6"/>
      <c r="V116" s="6"/>
      <c r="W116" s="6"/>
      <c r="X116" s="6"/>
      <c r="Y116" s="6"/>
      <c r="Z116" s="6"/>
      <c r="AA116" s="6"/>
      <c r="AB116" s="6"/>
      <c r="AC116" s="12"/>
      <c r="AD116" s="12"/>
      <c r="AE116" s="12"/>
      <c r="AJ116" s="21"/>
    </row>
    <row r="117" spans="2:36" s="2" customFormat="1" ht="11.25">
      <c r="B117" s="17"/>
      <c r="D117" s="34"/>
      <c r="E117" s="34"/>
      <c r="F117" s="34"/>
      <c r="H117" s="6"/>
      <c r="I117" s="6"/>
      <c r="J117" s="6"/>
      <c r="K117" s="6"/>
      <c r="L117" s="6"/>
      <c r="M117" s="6"/>
      <c r="N117" s="6"/>
      <c r="O117" s="6"/>
      <c r="P117" s="6"/>
      <c r="Q117" s="6"/>
      <c r="R117" s="6"/>
      <c r="S117" s="6"/>
      <c r="T117" s="6"/>
      <c r="U117" s="6"/>
      <c r="V117" s="6"/>
      <c r="W117" s="6"/>
      <c r="X117" s="6"/>
      <c r="Y117" s="6"/>
      <c r="Z117" s="6"/>
      <c r="AA117" s="6"/>
      <c r="AB117" s="6"/>
      <c r="AC117" s="12"/>
      <c r="AD117" s="12"/>
      <c r="AE117" s="12"/>
      <c r="AJ117" s="21"/>
    </row>
    <row r="118" spans="2:36" s="2" customFormat="1" ht="11.25">
      <c r="B118" s="17"/>
      <c r="D118" s="34"/>
      <c r="E118" s="34"/>
      <c r="F118" s="34"/>
      <c r="H118" s="6"/>
      <c r="I118" s="6"/>
      <c r="J118" s="6"/>
      <c r="K118" s="6"/>
      <c r="L118" s="6"/>
      <c r="M118" s="6"/>
      <c r="N118" s="6"/>
      <c r="O118" s="6"/>
      <c r="P118" s="6"/>
      <c r="Q118" s="6"/>
      <c r="R118" s="6"/>
      <c r="S118" s="6"/>
      <c r="T118" s="6"/>
      <c r="U118" s="6"/>
      <c r="V118" s="6"/>
      <c r="W118" s="6"/>
      <c r="X118" s="6"/>
      <c r="Y118" s="6"/>
      <c r="Z118" s="6"/>
      <c r="AA118" s="6"/>
      <c r="AB118" s="6"/>
      <c r="AC118" s="12"/>
      <c r="AD118" s="12"/>
      <c r="AE118" s="12"/>
      <c r="AJ118" s="21"/>
    </row>
    <row r="119" spans="2:36" s="2" customFormat="1" ht="11.25">
      <c r="B119" s="17"/>
      <c r="D119" s="34"/>
      <c r="E119" s="34"/>
      <c r="F119" s="34"/>
      <c r="H119" s="6"/>
      <c r="I119" s="6"/>
      <c r="J119" s="6"/>
      <c r="K119" s="6"/>
      <c r="L119" s="6"/>
      <c r="M119" s="6"/>
      <c r="N119" s="6"/>
      <c r="O119" s="6"/>
      <c r="P119" s="6"/>
      <c r="Q119" s="6"/>
      <c r="R119" s="6"/>
      <c r="S119" s="6"/>
      <c r="T119" s="6"/>
      <c r="U119" s="6"/>
      <c r="V119" s="6"/>
      <c r="W119" s="6"/>
      <c r="X119" s="6"/>
      <c r="Y119" s="6"/>
      <c r="Z119" s="6"/>
      <c r="AA119" s="6"/>
      <c r="AB119" s="6"/>
      <c r="AC119" s="12"/>
      <c r="AD119" s="12"/>
      <c r="AE119" s="12"/>
      <c r="AJ119" s="21"/>
    </row>
    <row r="120" spans="2:36" s="2" customFormat="1" ht="11.25">
      <c r="B120" s="17"/>
      <c r="C120" s="14"/>
      <c r="D120" s="36"/>
      <c r="E120" s="36"/>
      <c r="F120" s="36"/>
      <c r="H120" s="6"/>
      <c r="I120" s="6"/>
      <c r="J120" s="6"/>
      <c r="K120" s="6"/>
      <c r="L120" s="6"/>
      <c r="M120" s="6"/>
      <c r="N120" s="6"/>
      <c r="O120" s="6"/>
      <c r="P120" s="6"/>
      <c r="Q120" s="6"/>
      <c r="R120" s="6"/>
      <c r="S120" s="6"/>
      <c r="T120" s="6"/>
      <c r="U120" s="6"/>
      <c r="V120" s="6"/>
      <c r="W120" s="6"/>
      <c r="X120" s="6"/>
      <c r="Y120" s="6"/>
      <c r="Z120" s="6"/>
      <c r="AA120" s="6"/>
      <c r="AB120" s="6"/>
      <c r="AC120" s="12"/>
      <c r="AD120" s="12"/>
      <c r="AE120" s="12"/>
      <c r="AJ120" s="21"/>
    </row>
    <row r="121" spans="2:36" s="2" customFormat="1" ht="11.25">
      <c r="B121" s="17"/>
      <c r="C121" s="14"/>
      <c r="D121" s="36"/>
      <c r="E121" s="36"/>
      <c r="F121" s="36"/>
      <c r="H121" s="6"/>
      <c r="I121" s="6"/>
      <c r="J121" s="6"/>
      <c r="K121" s="6"/>
      <c r="L121" s="6"/>
      <c r="M121" s="6"/>
      <c r="N121" s="6"/>
      <c r="O121" s="6"/>
      <c r="P121" s="6"/>
      <c r="Q121" s="6"/>
      <c r="R121" s="6"/>
      <c r="S121" s="6"/>
      <c r="T121" s="6"/>
      <c r="U121" s="6"/>
      <c r="V121" s="6"/>
      <c r="W121" s="6"/>
      <c r="X121" s="6"/>
      <c r="Y121" s="6"/>
      <c r="Z121" s="6"/>
      <c r="AA121" s="6"/>
      <c r="AB121" s="6"/>
      <c r="AC121" s="12"/>
      <c r="AD121" s="12"/>
      <c r="AE121" s="12"/>
      <c r="AJ121" s="21"/>
    </row>
    <row r="122" spans="2:36" s="2" customFormat="1" ht="11.25">
      <c r="B122" s="17"/>
      <c r="C122" s="3"/>
      <c r="D122" s="13"/>
      <c r="E122" s="13"/>
      <c r="F122" s="13"/>
      <c r="H122" s="6"/>
      <c r="I122" s="6"/>
      <c r="J122" s="6"/>
      <c r="K122" s="6"/>
      <c r="L122" s="6"/>
      <c r="M122" s="6"/>
      <c r="N122" s="6"/>
      <c r="O122" s="6"/>
      <c r="P122" s="6"/>
      <c r="Q122" s="6"/>
      <c r="R122" s="6"/>
      <c r="S122" s="6"/>
      <c r="T122" s="6"/>
      <c r="U122" s="6"/>
      <c r="V122" s="6"/>
      <c r="W122" s="6"/>
      <c r="X122" s="6"/>
      <c r="Y122" s="6"/>
      <c r="Z122" s="6"/>
      <c r="AA122" s="6"/>
      <c r="AB122" s="6"/>
      <c r="AC122" s="12"/>
      <c r="AD122" s="12"/>
      <c r="AE122" s="12"/>
      <c r="AG122" s="17"/>
      <c r="AJ122" s="21"/>
    </row>
    <row r="123" spans="2:36" s="2" customFormat="1" ht="11.25">
      <c r="B123" s="17"/>
      <c r="D123" s="34"/>
      <c r="E123" s="34"/>
      <c r="F123" s="34"/>
      <c r="H123" s="6"/>
      <c r="I123" s="6"/>
      <c r="J123" s="6"/>
      <c r="K123" s="6"/>
      <c r="L123" s="6"/>
      <c r="M123" s="6"/>
      <c r="N123" s="6"/>
      <c r="O123" s="6"/>
      <c r="P123" s="6"/>
      <c r="Q123" s="6"/>
      <c r="R123" s="6"/>
      <c r="S123" s="6"/>
      <c r="T123" s="6"/>
      <c r="U123" s="6"/>
      <c r="V123" s="6"/>
      <c r="W123" s="6"/>
      <c r="X123" s="6"/>
      <c r="Y123" s="6"/>
      <c r="Z123" s="6"/>
      <c r="AA123" s="6"/>
      <c r="AB123" s="6"/>
      <c r="AC123" s="12"/>
      <c r="AD123" s="12"/>
      <c r="AE123" s="12"/>
      <c r="AG123" s="17"/>
      <c r="AJ123" s="21"/>
    </row>
    <row r="124" spans="2:36" s="2" customFormat="1" ht="11.25">
      <c r="B124" s="17"/>
      <c r="D124" s="34"/>
      <c r="E124" s="34"/>
      <c r="F124" s="34"/>
      <c r="H124" s="6"/>
      <c r="I124" s="6"/>
      <c r="J124" s="6"/>
      <c r="K124" s="6"/>
      <c r="L124" s="6"/>
      <c r="M124" s="6"/>
      <c r="N124" s="6"/>
      <c r="O124" s="6"/>
      <c r="P124" s="6"/>
      <c r="Q124" s="6"/>
      <c r="R124" s="6"/>
      <c r="S124" s="6"/>
      <c r="T124" s="6"/>
      <c r="U124" s="6"/>
      <c r="V124" s="6"/>
      <c r="W124" s="6"/>
      <c r="X124" s="6"/>
      <c r="Y124" s="6"/>
      <c r="Z124" s="6"/>
      <c r="AA124" s="6"/>
      <c r="AB124" s="6"/>
      <c r="AC124" s="12"/>
      <c r="AD124" s="12"/>
      <c r="AE124" s="12"/>
      <c r="AG124" s="17"/>
      <c r="AJ124" s="21"/>
    </row>
    <row r="125" spans="2:36" s="2" customFormat="1" ht="11.25">
      <c r="B125" s="17"/>
      <c r="D125" s="34"/>
      <c r="E125" s="34"/>
      <c r="F125" s="34"/>
      <c r="H125" s="6"/>
      <c r="I125" s="6"/>
      <c r="J125" s="6"/>
      <c r="K125" s="6"/>
      <c r="L125" s="6"/>
      <c r="M125" s="6"/>
      <c r="N125" s="6"/>
      <c r="O125" s="6"/>
      <c r="P125" s="6"/>
      <c r="Q125" s="6"/>
      <c r="R125" s="6"/>
      <c r="S125" s="6"/>
      <c r="T125" s="6"/>
      <c r="U125" s="6"/>
      <c r="V125" s="6"/>
      <c r="W125" s="6"/>
      <c r="X125" s="6"/>
      <c r="Y125" s="6"/>
      <c r="Z125" s="6"/>
      <c r="AA125" s="6"/>
      <c r="AB125" s="6"/>
      <c r="AC125" s="12"/>
      <c r="AD125" s="12"/>
      <c r="AE125" s="12"/>
      <c r="AG125" s="17"/>
      <c r="AJ125" s="21"/>
    </row>
    <row r="126" spans="2:36" s="2" customFormat="1" ht="11.25">
      <c r="B126" s="17"/>
      <c r="D126" s="34"/>
      <c r="E126" s="34"/>
      <c r="F126" s="34"/>
      <c r="H126" s="6"/>
      <c r="I126" s="6"/>
      <c r="J126" s="6"/>
      <c r="K126" s="6"/>
      <c r="L126" s="6"/>
      <c r="M126" s="6"/>
      <c r="N126" s="6"/>
      <c r="O126" s="6"/>
      <c r="P126" s="6"/>
      <c r="Q126" s="6"/>
      <c r="R126" s="6"/>
      <c r="S126" s="6"/>
      <c r="T126" s="6"/>
      <c r="U126" s="6"/>
      <c r="V126" s="6"/>
      <c r="W126" s="6"/>
      <c r="X126" s="6"/>
      <c r="Y126" s="6"/>
      <c r="Z126" s="6"/>
      <c r="AA126" s="6"/>
      <c r="AB126" s="6"/>
      <c r="AC126" s="12"/>
      <c r="AD126" s="12"/>
      <c r="AE126" s="12"/>
      <c r="AG126" s="17"/>
      <c r="AJ126" s="21"/>
    </row>
    <row r="127" spans="2:36" s="2" customFormat="1" ht="11.25">
      <c r="B127" s="17"/>
      <c r="D127" s="34"/>
      <c r="E127" s="34"/>
      <c r="F127" s="34"/>
      <c r="H127" s="6"/>
      <c r="I127" s="6"/>
      <c r="J127" s="6"/>
      <c r="K127" s="6"/>
      <c r="L127" s="6"/>
      <c r="M127" s="6"/>
      <c r="N127" s="6"/>
      <c r="O127" s="6"/>
      <c r="P127" s="6"/>
      <c r="Q127" s="6"/>
      <c r="R127" s="6"/>
      <c r="S127" s="6"/>
      <c r="T127" s="6"/>
      <c r="U127" s="6"/>
      <c r="V127" s="6"/>
      <c r="W127" s="6"/>
      <c r="X127" s="6"/>
      <c r="Y127" s="6"/>
      <c r="Z127" s="6"/>
      <c r="AA127" s="6"/>
      <c r="AB127" s="6"/>
      <c r="AC127" s="12"/>
      <c r="AD127" s="12"/>
      <c r="AE127" s="12"/>
      <c r="AG127" s="17"/>
      <c r="AJ127" s="21"/>
    </row>
    <row r="128" spans="2:36" s="2" customFormat="1" ht="11.25">
      <c r="B128" s="17"/>
      <c r="D128" s="34"/>
      <c r="E128" s="34"/>
      <c r="F128" s="34"/>
      <c r="H128" s="6"/>
      <c r="I128" s="6"/>
      <c r="J128" s="6"/>
      <c r="K128" s="6"/>
      <c r="L128" s="6"/>
      <c r="M128" s="6"/>
      <c r="N128" s="6"/>
      <c r="O128" s="6"/>
      <c r="P128" s="6"/>
      <c r="Q128" s="6"/>
      <c r="R128" s="6"/>
      <c r="S128" s="6"/>
      <c r="T128" s="6"/>
      <c r="U128" s="6"/>
      <c r="V128" s="6"/>
      <c r="W128" s="6"/>
      <c r="X128" s="6"/>
      <c r="Y128" s="6"/>
      <c r="Z128" s="6"/>
      <c r="AA128" s="6"/>
      <c r="AB128" s="6"/>
      <c r="AC128" s="12"/>
      <c r="AD128" s="12"/>
      <c r="AJ128" s="21"/>
    </row>
    <row r="129" spans="2:36" s="2" customFormat="1" ht="11.25">
      <c r="B129" s="17"/>
      <c r="D129" s="34"/>
      <c r="E129" s="34"/>
      <c r="F129" s="34"/>
      <c r="H129" s="6"/>
      <c r="I129" s="6"/>
      <c r="J129" s="6"/>
      <c r="K129" s="6"/>
      <c r="L129" s="6"/>
      <c r="M129" s="6"/>
      <c r="N129" s="6"/>
      <c r="O129" s="6"/>
      <c r="P129" s="6"/>
      <c r="Q129" s="6"/>
      <c r="R129" s="6"/>
      <c r="S129" s="6"/>
      <c r="T129" s="6"/>
      <c r="U129" s="6"/>
      <c r="V129" s="6"/>
      <c r="W129" s="6"/>
      <c r="X129" s="6"/>
      <c r="Y129" s="6"/>
      <c r="Z129" s="6"/>
      <c r="AA129" s="6"/>
      <c r="AB129" s="6"/>
      <c r="AC129" s="12"/>
      <c r="AD129" s="12"/>
      <c r="AJ129" s="21"/>
    </row>
    <row r="130" spans="2:36" s="2" customFormat="1" ht="11.25">
      <c r="B130" s="17"/>
      <c r="D130" s="34"/>
      <c r="E130" s="34"/>
      <c r="F130" s="34"/>
      <c r="H130" s="6"/>
      <c r="I130" s="6"/>
      <c r="J130" s="6"/>
      <c r="K130" s="6"/>
      <c r="L130" s="6"/>
      <c r="M130" s="6"/>
      <c r="N130" s="6"/>
      <c r="O130" s="6"/>
      <c r="P130" s="6"/>
      <c r="Q130" s="6"/>
      <c r="R130" s="6"/>
      <c r="S130" s="6"/>
      <c r="T130" s="6"/>
      <c r="U130" s="6"/>
      <c r="V130" s="6"/>
      <c r="W130" s="6"/>
      <c r="X130" s="6"/>
      <c r="Y130" s="6"/>
      <c r="Z130" s="6"/>
      <c r="AA130" s="6"/>
      <c r="AB130" s="6"/>
      <c r="AC130" s="12"/>
      <c r="AD130" s="12"/>
      <c r="AJ130" s="21"/>
    </row>
    <row r="131" spans="2:36" s="2" customFormat="1" ht="11.25">
      <c r="B131" s="17"/>
      <c r="D131" s="34"/>
      <c r="E131" s="34"/>
      <c r="F131" s="34"/>
      <c r="H131" s="6"/>
      <c r="I131" s="6"/>
      <c r="J131" s="6"/>
      <c r="K131" s="6"/>
      <c r="L131" s="6"/>
      <c r="M131" s="6"/>
      <c r="N131" s="6"/>
      <c r="O131" s="6"/>
      <c r="P131" s="6"/>
      <c r="Q131" s="6"/>
      <c r="R131" s="6"/>
      <c r="S131" s="6"/>
      <c r="T131" s="6"/>
      <c r="U131" s="6"/>
      <c r="V131" s="6"/>
      <c r="W131" s="6"/>
      <c r="X131" s="6"/>
      <c r="Y131" s="6"/>
      <c r="Z131" s="6"/>
      <c r="AA131" s="6"/>
      <c r="AB131" s="6"/>
      <c r="AC131" s="10"/>
      <c r="AD131" s="10"/>
      <c r="AJ131" s="21"/>
    </row>
    <row r="132" spans="2:36" s="2" customFormat="1" ht="11.25">
      <c r="B132" s="17"/>
      <c r="D132" s="34"/>
      <c r="E132" s="34"/>
      <c r="F132" s="34"/>
      <c r="H132" s="6"/>
      <c r="I132" s="6"/>
      <c r="J132" s="6"/>
      <c r="K132" s="6"/>
      <c r="L132" s="6"/>
      <c r="M132" s="6"/>
      <c r="N132" s="6"/>
      <c r="O132" s="6"/>
      <c r="P132" s="6"/>
      <c r="Q132" s="6"/>
      <c r="R132" s="6"/>
      <c r="S132" s="6"/>
      <c r="T132" s="6"/>
      <c r="U132" s="6"/>
      <c r="V132" s="6"/>
      <c r="W132" s="6"/>
      <c r="X132" s="6"/>
      <c r="Y132" s="6"/>
      <c r="Z132" s="6"/>
      <c r="AA132" s="6"/>
      <c r="AB132" s="6"/>
      <c r="AC132" s="6"/>
      <c r="AD132" s="6"/>
      <c r="AJ132" s="21"/>
    </row>
    <row r="133" spans="2:36" s="2" customFormat="1" ht="11.25">
      <c r="B133" s="17"/>
      <c r="D133" s="34"/>
      <c r="E133" s="34"/>
      <c r="F133" s="34"/>
      <c r="H133" s="6"/>
      <c r="I133" s="6"/>
      <c r="J133" s="6"/>
      <c r="K133" s="6"/>
      <c r="L133" s="6"/>
      <c r="M133" s="6"/>
      <c r="N133" s="6"/>
      <c r="O133" s="6"/>
      <c r="P133" s="6"/>
      <c r="Q133" s="6"/>
      <c r="R133" s="6"/>
      <c r="S133" s="6"/>
      <c r="T133" s="6"/>
      <c r="U133" s="6"/>
      <c r="V133" s="6"/>
      <c r="W133" s="6"/>
      <c r="X133" s="6"/>
      <c r="Y133" s="6"/>
      <c r="Z133" s="6"/>
      <c r="AA133" s="6"/>
      <c r="AB133" s="6"/>
      <c r="AC133" s="6"/>
      <c r="AD133" s="6"/>
      <c r="AJ133" s="21"/>
    </row>
    <row r="134" spans="2:36" s="2" customFormat="1" ht="11.25">
      <c r="B134" s="17"/>
      <c r="D134" s="34"/>
      <c r="E134" s="34"/>
      <c r="F134" s="34"/>
      <c r="H134" s="6"/>
      <c r="I134" s="6"/>
      <c r="J134" s="6"/>
      <c r="K134" s="6"/>
      <c r="L134" s="6"/>
      <c r="M134" s="6"/>
      <c r="N134" s="6"/>
      <c r="O134" s="6"/>
      <c r="P134" s="6"/>
      <c r="Q134" s="6"/>
      <c r="R134" s="6"/>
      <c r="S134" s="6"/>
      <c r="T134" s="6"/>
      <c r="U134" s="6"/>
      <c r="V134" s="6"/>
      <c r="W134" s="6"/>
      <c r="X134" s="6"/>
      <c r="Y134" s="6"/>
      <c r="Z134" s="6"/>
      <c r="AA134" s="6"/>
      <c r="AB134" s="6"/>
      <c r="AC134" s="11"/>
      <c r="AD134" s="11"/>
      <c r="AJ134" s="21"/>
    </row>
    <row r="135" spans="2:36" s="2" customFormat="1" ht="11.25">
      <c r="B135" s="17"/>
      <c r="D135" s="34"/>
      <c r="E135" s="34"/>
      <c r="F135" s="34"/>
      <c r="H135" s="6"/>
      <c r="I135" s="6"/>
      <c r="J135" s="6"/>
      <c r="K135" s="6"/>
      <c r="L135" s="6"/>
      <c r="M135" s="6"/>
      <c r="N135" s="6"/>
      <c r="O135" s="6"/>
      <c r="P135" s="6"/>
      <c r="Q135" s="6"/>
      <c r="R135" s="6"/>
      <c r="S135" s="6"/>
      <c r="T135" s="6"/>
      <c r="U135" s="6"/>
      <c r="V135" s="6"/>
      <c r="W135" s="6"/>
      <c r="X135" s="6"/>
      <c r="Y135" s="6"/>
      <c r="Z135" s="6"/>
      <c r="AA135" s="6"/>
      <c r="AB135" s="6"/>
      <c r="AC135" s="6"/>
      <c r="AD135" s="6"/>
      <c r="AJ135" s="21"/>
    </row>
    <row r="136" spans="2:36" s="2" customFormat="1" ht="11.25">
      <c r="B136" s="17"/>
      <c r="D136" s="34"/>
      <c r="E136" s="34"/>
      <c r="F136" s="34"/>
      <c r="H136" s="6"/>
      <c r="I136" s="6"/>
      <c r="J136" s="6"/>
      <c r="K136" s="6"/>
      <c r="L136" s="6"/>
      <c r="M136" s="6"/>
      <c r="N136" s="6"/>
      <c r="O136" s="6"/>
      <c r="P136" s="6"/>
      <c r="Q136" s="6"/>
      <c r="R136" s="6"/>
      <c r="S136" s="6"/>
      <c r="T136" s="6"/>
      <c r="U136" s="6"/>
      <c r="V136" s="6"/>
      <c r="W136" s="6"/>
      <c r="X136" s="6"/>
      <c r="Y136" s="6"/>
      <c r="Z136" s="6"/>
      <c r="AA136" s="6"/>
      <c r="AB136" s="6"/>
      <c r="AC136" s="6"/>
      <c r="AD136" s="6"/>
      <c r="AJ136" s="21"/>
    </row>
    <row r="137" spans="2:36" s="2" customFormat="1" ht="11.25">
      <c r="B137" s="17"/>
      <c r="D137" s="34"/>
      <c r="E137" s="34"/>
      <c r="F137" s="34"/>
      <c r="H137" s="6"/>
      <c r="I137" s="6"/>
      <c r="J137" s="6"/>
      <c r="K137" s="6"/>
      <c r="L137" s="6"/>
      <c r="M137" s="6"/>
      <c r="N137" s="6"/>
      <c r="O137" s="6"/>
      <c r="P137" s="6"/>
      <c r="Q137" s="6"/>
      <c r="R137" s="6"/>
      <c r="S137" s="6"/>
      <c r="T137" s="6"/>
      <c r="U137" s="6"/>
      <c r="V137" s="6"/>
      <c r="W137" s="6"/>
      <c r="X137" s="6"/>
      <c r="Y137" s="6"/>
      <c r="Z137" s="6"/>
      <c r="AA137" s="6"/>
      <c r="AB137" s="6"/>
      <c r="AC137" s="6"/>
      <c r="AD137" s="6"/>
      <c r="AJ137" s="21"/>
    </row>
    <row r="138" spans="2:36" s="2" customFormat="1" ht="11.25">
      <c r="B138" s="17"/>
      <c r="D138" s="34"/>
      <c r="E138" s="34"/>
      <c r="F138" s="34"/>
      <c r="H138" s="6"/>
      <c r="I138" s="6"/>
      <c r="J138" s="6"/>
      <c r="K138" s="6"/>
      <c r="L138" s="6"/>
      <c r="M138" s="6"/>
      <c r="N138" s="6"/>
      <c r="O138" s="6"/>
      <c r="P138" s="6"/>
      <c r="Q138" s="6"/>
      <c r="R138" s="6"/>
      <c r="S138" s="6"/>
      <c r="T138" s="6"/>
      <c r="U138" s="6"/>
      <c r="V138" s="6"/>
      <c r="W138" s="6"/>
      <c r="X138" s="6"/>
      <c r="Y138" s="6"/>
      <c r="Z138" s="6"/>
      <c r="AA138" s="6"/>
      <c r="AB138" s="6"/>
      <c r="AC138" s="6"/>
      <c r="AD138" s="6"/>
      <c r="AJ138" s="21"/>
    </row>
    <row r="139" spans="2:36" s="2" customFormat="1" ht="11.25">
      <c r="B139" s="17"/>
      <c r="D139" s="34"/>
      <c r="E139" s="34"/>
      <c r="F139" s="34"/>
      <c r="H139" s="6"/>
      <c r="I139" s="6"/>
      <c r="J139" s="6"/>
      <c r="K139" s="6"/>
      <c r="L139" s="6"/>
      <c r="M139" s="6"/>
      <c r="N139" s="6"/>
      <c r="O139" s="6"/>
      <c r="P139" s="6"/>
      <c r="Q139" s="6"/>
      <c r="R139" s="6"/>
      <c r="S139" s="6"/>
      <c r="T139" s="6"/>
      <c r="U139" s="6"/>
      <c r="V139" s="6"/>
      <c r="W139" s="6"/>
      <c r="X139" s="6"/>
      <c r="Y139" s="6"/>
      <c r="Z139" s="6"/>
      <c r="AA139" s="6"/>
      <c r="AB139" s="6"/>
      <c r="AC139" s="6"/>
      <c r="AD139" s="6"/>
      <c r="AJ139" s="21"/>
    </row>
    <row r="140" spans="2:36" s="2" customFormat="1" ht="11.25">
      <c r="B140" s="17"/>
      <c r="D140" s="34"/>
      <c r="E140" s="34"/>
      <c r="F140" s="34"/>
      <c r="H140" s="6"/>
      <c r="I140" s="6"/>
      <c r="J140" s="6"/>
      <c r="K140" s="6"/>
      <c r="L140" s="6"/>
      <c r="M140" s="6"/>
      <c r="N140" s="6"/>
      <c r="O140" s="6"/>
      <c r="P140" s="6"/>
      <c r="Q140" s="6"/>
      <c r="R140" s="6"/>
      <c r="S140" s="6"/>
      <c r="T140" s="6"/>
      <c r="U140" s="6"/>
      <c r="V140" s="6"/>
      <c r="W140" s="6"/>
      <c r="X140" s="6"/>
      <c r="Y140" s="6"/>
      <c r="Z140" s="6"/>
      <c r="AA140" s="6"/>
      <c r="AB140" s="6"/>
      <c r="AC140" s="6"/>
      <c r="AD140" s="6"/>
      <c r="AJ140" s="21"/>
    </row>
    <row r="141" spans="2:36" s="2" customFormat="1" ht="11.25">
      <c r="B141" s="17"/>
      <c r="D141" s="34"/>
      <c r="E141" s="34"/>
      <c r="F141" s="34"/>
      <c r="H141" s="6"/>
      <c r="I141" s="6"/>
      <c r="J141" s="6"/>
      <c r="K141" s="6"/>
      <c r="L141" s="6"/>
      <c r="M141" s="6"/>
      <c r="N141" s="6"/>
      <c r="O141" s="6"/>
      <c r="P141" s="6"/>
      <c r="Q141" s="6"/>
      <c r="R141" s="6"/>
      <c r="S141" s="6"/>
      <c r="T141" s="6"/>
      <c r="U141" s="6"/>
      <c r="V141" s="6"/>
      <c r="W141" s="6"/>
      <c r="X141" s="6"/>
      <c r="Y141" s="6"/>
      <c r="Z141" s="6"/>
      <c r="AA141" s="6"/>
      <c r="AB141" s="6"/>
      <c r="AC141" s="6"/>
      <c r="AD141" s="6"/>
      <c r="AJ141" s="21"/>
    </row>
    <row r="142" spans="2:36" s="2" customFormat="1" ht="11.25">
      <c r="B142" s="17"/>
      <c r="D142" s="34"/>
      <c r="E142" s="34"/>
      <c r="F142" s="34"/>
      <c r="H142" s="6"/>
      <c r="I142" s="6"/>
      <c r="J142" s="6"/>
      <c r="K142" s="6"/>
      <c r="L142" s="6"/>
      <c r="M142" s="6"/>
      <c r="N142" s="6"/>
      <c r="O142" s="6"/>
      <c r="P142" s="6"/>
      <c r="Q142" s="6"/>
      <c r="R142" s="6"/>
      <c r="S142" s="6"/>
      <c r="T142" s="6"/>
      <c r="U142" s="6"/>
      <c r="V142" s="6"/>
      <c r="W142" s="6"/>
      <c r="X142" s="6"/>
      <c r="Y142" s="6"/>
      <c r="Z142" s="6"/>
      <c r="AA142" s="6"/>
      <c r="AB142" s="6"/>
      <c r="AC142" s="6"/>
      <c r="AD142" s="6"/>
      <c r="AJ142" s="21"/>
    </row>
    <row r="143" spans="2:36" s="2" customFormat="1" ht="11.25">
      <c r="B143" s="17"/>
      <c r="D143" s="34"/>
      <c r="E143" s="34"/>
      <c r="F143" s="34"/>
      <c r="H143" s="6"/>
      <c r="I143" s="6"/>
      <c r="J143" s="6"/>
      <c r="K143" s="6"/>
      <c r="L143" s="6"/>
      <c r="M143" s="6"/>
      <c r="N143" s="6"/>
      <c r="O143" s="6"/>
      <c r="P143" s="6"/>
      <c r="Q143" s="6"/>
      <c r="R143" s="6"/>
      <c r="S143" s="6"/>
      <c r="T143" s="6"/>
      <c r="U143" s="6"/>
      <c r="V143" s="6"/>
      <c r="W143" s="6"/>
      <c r="X143" s="6"/>
      <c r="Y143" s="6"/>
      <c r="Z143" s="6"/>
      <c r="AA143" s="6"/>
      <c r="AB143" s="6"/>
      <c r="AC143" s="6"/>
      <c r="AD143" s="6"/>
      <c r="AJ143" s="21"/>
    </row>
    <row r="144" spans="2:36" s="2" customFormat="1" ht="11.25">
      <c r="B144" s="17"/>
      <c r="D144" s="34"/>
      <c r="E144" s="34"/>
      <c r="F144" s="34"/>
      <c r="H144" s="6"/>
      <c r="I144" s="6"/>
      <c r="J144" s="6"/>
      <c r="K144" s="6"/>
      <c r="L144" s="6"/>
      <c r="M144" s="6"/>
      <c r="N144" s="6"/>
      <c r="O144" s="6"/>
      <c r="P144" s="6"/>
      <c r="Q144" s="6"/>
      <c r="R144" s="6"/>
      <c r="S144" s="6"/>
      <c r="T144" s="6"/>
      <c r="U144" s="6"/>
      <c r="V144" s="6"/>
      <c r="W144" s="6"/>
      <c r="X144" s="6"/>
      <c r="Y144" s="6"/>
      <c r="Z144" s="6"/>
      <c r="AA144" s="6"/>
      <c r="AB144" s="6"/>
      <c r="AC144" s="6"/>
      <c r="AD144" s="6"/>
      <c r="AJ144" s="21"/>
    </row>
    <row r="145" spans="2:36" s="2" customFormat="1" ht="11.25">
      <c r="B145" s="17"/>
      <c r="D145" s="34"/>
      <c r="E145" s="34"/>
      <c r="F145" s="34"/>
      <c r="H145" s="6"/>
      <c r="I145" s="6"/>
      <c r="J145" s="6"/>
      <c r="K145" s="6"/>
      <c r="L145" s="6"/>
      <c r="M145" s="6"/>
      <c r="N145" s="6"/>
      <c r="O145" s="6"/>
      <c r="P145" s="6"/>
      <c r="Q145" s="6"/>
      <c r="R145" s="6"/>
      <c r="S145" s="6"/>
      <c r="T145" s="6"/>
      <c r="U145" s="6"/>
      <c r="V145" s="6"/>
      <c r="W145" s="6"/>
      <c r="X145" s="6"/>
      <c r="Y145" s="6"/>
      <c r="Z145" s="6"/>
      <c r="AA145" s="6"/>
      <c r="AB145" s="6"/>
      <c r="AC145" s="6"/>
      <c r="AD145" s="6"/>
      <c r="AJ145" s="21"/>
    </row>
    <row r="146" spans="2:36" s="2" customFormat="1" ht="11.25">
      <c r="B146" s="17"/>
      <c r="C146" s="3"/>
      <c r="D146" s="13"/>
      <c r="E146" s="13"/>
      <c r="F146" s="13"/>
      <c r="H146" s="6"/>
      <c r="I146" s="6"/>
      <c r="J146" s="6"/>
      <c r="K146" s="6"/>
      <c r="L146" s="6"/>
      <c r="M146" s="6"/>
      <c r="N146" s="6"/>
      <c r="O146" s="6"/>
      <c r="P146" s="6"/>
      <c r="Q146" s="6"/>
      <c r="R146" s="6"/>
      <c r="S146" s="6"/>
      <c r="T146" s="6"/>
      <c r="U146" s="6"/>
      <c r="V146" s="6"/>
      <c r="W146" s="6"/>
      <c r="X146" s="6"/>
      <c r="Y146" s="6"/>
      <c r="Z146" s="6"/>
      <c r="AA146" s="6"/>
      <c r="AB146" s="6"/>
      <c r="AC146" s="12"/>
      <c r="AD146" s="12"/>
      <c r="AJ146" s="21"/>
    </row>
    <row r="147" spans="2:36" s="2" customFormat="1" ht="11.25">
      <c r="B147" s="17"/>
      <c r="D147" s="34"/>
      <c r="E147" s="34"/>
      <c r="F147" s="34"/>
      <c r="H147" s="6"/>
      <c r="I147" s="6"/>
      <c r="J147" s="6"/>
      <c r="K147" s="6"/>
      <c r="L147" s="6"/>
      <c r="M147" s="6"/>
      <c r="N147" s="6"/>
      <c r="O147" s="6"/>
      <c r="P147" s="6"/>
      <c r="Q147" s="6"/>
      <c r="R147" s="6"/>
      <c r="S147" s="6"/>
      <c r="T147" s="6"/>
      <c r="U147" s="6"/>
      <c r="V147" s="6"/>
      <c r="W147" s="6"/>
      <c r="X147" s="6"/>
      <c r="Y147" s="6"/>
      <c r="Z147" s="6"/>
      <c r="AA147" s="6"/>
      <c r="AB147" s="6"/>
      <c r="AC147" s="6"/>
      <c r="AD147" s="6"/>
      <c r="AJ147" s="21"/>
    </row>
    <row r="148" spans="2:36" s="2" customFormat="1" ht="11.25">
      <c r="B148" s="17"/>
      <c r="D148" s="34"/>
      <c r="E148" s="34"/>
      <c r="F148" s="34"/>
      <c r="H148" s="6"/>
      <c r="I148" s="6"/>
      <c r="J148" s="6"/>
      <c r="K148" s="6"/>
      <c r="L148" s="6"/>
      <c r="M148" s="6"/>
      <c r="N148" s="6"/>
      <c r="O148" s="6"/>
      <c r="P148" s="6"/>
      <c r="Q148" s="6"/>
      <c r="R148" s="6"/>
      <c r="S148" s="6"/>
      <c r="T148" s="6"/>
      <c r="U148" s="6"/>
      <c r="V148" s="6"/>
      <c r="W148" s="6"/>
      <c r="X148" s="6"/>
      <c r="Y148" s="6"/>
      <c r="Z148" s="6"/>
      <c r="AA148" s="6"/>
      <c r="AB148" s="6"/>
      <c r="AC148" s="12"/>
      <c r="AD148" s="12"/>
      <c r="AJ148" s="21"/>
    </row>
    <row r="149" spans="2:36" s="2" customFormat="1" ht="11.25">
      <c r="B149" s="17"/>
      <c r="D149" s="34"/>
      <c r="E149" s="34"/>
      <c r="F149" s="34"/>
      <c r="H149" s="6"/>
      <c r="I149" s="6"/>
      <c r="J149" s="6"/>
      <c r="K149" s="6"/>
      <c r="L149" s="6"/>
      <c r="M149" s="6"/>
      <c r="N149" s="6"/>
      <c r="O149" s="6"/>
      <c r="P149" s="6"/>
      <c r="Q149" s="6"/>
      <c r="R149" s="6"/>
      <c r="S149" s="6"/>
      <c r="T149" s="6"/>
      <c r="U149" s="6"/>
      <c r="V149" s="6"/>
      <c r="W149" s="6"/>
      <c r="X149" s="6"/>
      <c r="Y149" s="6"/>
      <c r="Z149" s="6"/>
      <c r="AA149" s="6"/>
      <c r="AB149" s="6"/>
      <c r="AC149" s="12"/>
      <c r="AD149" s="12"/>
      <c r="AJ149" s="21"/>
    </row>
    <row r="150" spans="2:36" s="2" customFormat="1" ht="11.25">
      <c r="B150" s="17"/>
      <c r="D150" s="34"/>
      <c r="E150" s="34"/>
      <c r="F150" s="34"/>
      <c r="H150" s="6"/>
      <c r="I150" s="6"/>
      <c r="J150" s="6"/>
      <c r="K150" s="6"/>
      <c r="L150" s="6"/>
      <c r="M150" s="6"/>
      <c r="N150" s="6"/>
      <c r="O150" s="6"/>
      <c r="P150" s="6"/>
      <c r="Q150" s="6"/>
      <c r="R150" s="6"/>
      <c r="S150" s="6"/>
      <c r="T150" s="6"/>
      <c r="U150" s="6"/>
      <c r="V150" s="6"/>
      <c r="W150" s="6"/>
      <c r="X150" s="6"/>
      <c r="Y150" s="6"/>
      <c r="Z150" s="6"/>
      <c r="AA150" s="6"/>
      <c r="AB150" s="6"/>
      <c r="AC150" s="6"/>
      <c r="AD150" s="6"/>
      <c r="AJ150" s="21"/>
    </row>
    <row r="151" spans="2:36" s="2" customFormat="1" ht="11.25">
      <c r="B151" s="17"/>
      <c r="D151" s="34"/>
      <c r="E151" s="34"/>
      <c r="F151" s="34"/>
      <c r="H151" s="6"/>
      <c r="I151" s="6"/>
      <c r="J151" s="6"/>
      <c r="K151" s="6"/>
      <c r="L151" s="6"/>
      <c r="M151" s="6"/>
      <c r="N151" s="6"/>
      <c r="O151" s="6"/>
      <c r="P151" s="6"/>
      <c r="Q151" s="6"/>
      <c r="R151" s="6"/>
      <c r="S151" s="6"/>
      <c r="T151" s="6"/>
      <c r="U151" s="6"/>
      <c r="V151" s="6"/>
      <c r="W151" s="6"/>
      <c r="X151" s="6"/>
      <c r="Y151" s="6"/>
      <c r="Z151" s="6"/>
      <c r="AA151" s="6"/>
      <c r="AB151" s="6"/>
      <c r="AC151" s="12"/>
      <c r="AD151" s="12"/>
      <c r="AJ151" s="21"/>
    </row>
    <row r="152" spans="2:36" s="2" customFormat="1" ht="11.25">
      <c r="B152" s="17"/>
      <c r="D152" s="34"/>
      <c r="E152" s="34"/>
      <c r="F152" s="34"/>
      <c r="H152" s="6"/>
      <c r="I152" s="6"/>
      <c r="J152" s="6"/>
      <c r="K152" s="6"/>
      <c r="L152" s="6"/>
      <c r="M152" s="6"/>
      <c r="N152" s="6"/>
      <c r="O152" s="6"/>
      <c r="P152" s="6"/>
      <c r="Q152" s="6"/>
      <c r="R152" s="6"/>
      <c r="S152" s="6"/>
      <c r="T152" s="6"/>
      <c r="U152" s="6"/>
      <c r="V152" s="6"/>
      <c r="W152" s="6"/>
      <c r="X152" s="6"/>
      <c r="Y152" s="6"/>
      <c r="Z152" s="6"/>
      <c r="AA152" s="6"/>
      <c r="AB152" s="6"/>
      <c r="AC152" s="12"/>
      <c r="AD152" s="12"/>
      <c r="AJ152" s="21"/>
    </row>
    <row r="153" spans="2:36" s="2" customFormat="1" ht="11.25">
      <c r="B153" s="17"/>
      <c r="D153" s="34"/>
      <c r="E153" s="34"/>
      <c r="F153" s="34"/>
      <c r="H153" s="6"/>
      <c r="I153" s="6"/>
      <c r="J153" s="6"/>
      <c r="K153" s="6"/>
      <c r="L153" s="6"/>
      <c r="M153" s="6"/>
      <c r="N153" s="6"/>
      <c r="O153" s="6"/>
      <c r="P153" s="6"/>
      <c r="Q153" s="6"/>
      <c r="R153" s="6"/>
      <c r="S153" s="6"/>
      <c r="T153" s="6"/>
      <c r="U153" s="6"/>
      <c r="V153" s="6"/>
      <c r="W153" s="6"/>
      <c r="X153" s="6"/>
      <c r="Y153" s="6"/>
      <c r="Z153" s="6"/>
      <c r="AA153" s="6"/>
      <c r="AB153" s="6"/>
      <c r="AC153" s="6"/>
      <c r="AD153" s="6"/>
      <c r="AJ153" s="21"/>
    </row>
    <row r="154" spans="2:36" s="2" customFormat="1" ht="11.25">
      <c r="B154" s="17"/>
      <c r="D154" s="34"/>
      <c r="E154" s="34"/>
      <c r="F154" s="34"/>
      <c r="H154" s="6"/>
      <c r="I154" s="6"/>
      <c r="J154" s="6"/>
      <c r="K154" s="6"/>
      <c r="L154" s="6"/>
      <c r="M154" s="6"/>
      <c r="N154" s="6"/>
      <c r="O154" s="6"/>
      <c r="P154" s="6"/>
      <c r="Q154" s="6"/>
      <c r="R154" s="6"/>
      <c r="S154" s="6"/>
      <c r="T154" s="6"/>
      <c r="U154" s="6"/>
      <c r="V154" s="6"/>
      <c r="W154" s="6"/>
      <c r="X154" s="6"/>
      <c r="Y154" s="6"/>
      <c r="Z154" s="6"/>
      <c r="AA154" s="6"/>
      <c r="AB154" s="6"/>
      <c r="AC154" s="12"/>
      <c r="AD154" s="12"/>
      <c r="AJ154" s="21"/>
    </row>
    <row r="155" spans="2:36" s="2" customFormat="1" ht="11.25">
      <c r="B155" s="17"/>
      <c r="D155" s="34"/>
      <c r="E155" s="34"/>
      <c r="F155" s="34"/>
      <c r="H155" s="6"/>
      <c r="I155" s="6"/>
      <c r="J155" s="6"/>
      <c r="K155" s="6"/>
      <c r="L155" s="6"/>
      <c r="M155" s="6"/>
      <c r="N155" s="6"/>
      <c r="O155" s="6"/>
      <c r="P155" s="6"/>
      <c r="Q155" s="6"/>
      <c r="R155" s="6"/>
      <c r="S155" s="6"/>
      <c r="T155" s="6"/>
      <c r="U155" s="6"/>
      <c r="V155" s="6"/>
      <c r="W155" s="6"/>
      <c r="X155" s="6"/>
      <c r="Y155" s="6"/>
      <c r="Z155" s="6"/>
      <c r="AA155" s="6"/>
      <c r="AB155" s="6"/>
      <c r="AC155" s="12"/>
      <c r="AD155" s="12"/>
      <c r="AJ155" s="21"/>
    </row>
    <row r="156" spans="2:36" s="2" customFormat="1" ht="11.25">
      <c r="B156" s="17"/>
      <c r="D156" s="34"/>
      <c r="E156" s="34"/>
      <c r="F156" s="34"/>
      <c r="H156" s="6"/>
      <c r="I156" s="6"/>
      <c r="J156" s="6"/>
      <c r="K156" s="6"/>
      <c r="L156" s="6"/>
      <c r="M156" s="6"/>
      <c r="N156" s="6"/>
      <c r="O156" s="6"/>
      <c r="P156" s="6"/>
      <c r="Q156" s="6"/>
      <c r="R156" s="6"/>
      <c r="S156" s="6"/>
      <c r="T156" s="6"/>
      <c r="U156" s="6"/>
      <c r="V156" s="6"/>
      <c r="W156" s="6"/>
      <c r="X156" s="6"/>
      <c r="Y156" s="6"/>
      <c r="Z156" s="6"/>
      <c r="AA156" s="6"/>
      <c r="AB156" s="6"/>
      <c r="AC156" s="6"/>
      <c r="AD156" s="6"/>
      <c r="AJ156" s="21"/>
    </row>
    <row r="157" spans="2:36" s="2" customFormat="1" ht="11.25">
      <c r="B157" s="17"/>
      <c r="D157" s="34"/>
      <c r="E157" s="34"/>
      <c r="F157" s="34"/>
      <c r="H157" s="6"/>
      <c r="I157" s="6"/>
      <c r="J157" s="6"/>
      <c r="K157" s="6"/>
      <c r="L157" s="6"/>
      <c r="M157" s="6"/>
      <c r="N157" s="6"/>
      <c r="O157" s="6"/>
      <c r="P157" s="6"/>
      <c r="Q157" s="6"/>
      <c r="R157" s="6"/>
      <c r="S157" s="6"/>
      <c r="T157" s="6"/>
      <c r="U157" s="6"/>
      <c r="V157" s="6"/>
      <c r="W157" s="6"/>
      <c r="X157" s="6"/>
      <c r="Y157" s="6"/>
      <c r="Z157" s="6"/>
      <c r="AA157" s="6"/>
      <c r="AB157" s="6"/>
      <c r="AC157" s="12"/>
      <c r="AD157" s="12"/>
      <c r="AJ157" s="21"/>
    </row>
    <row r="158" spans="2:36" s="2" customFormat="1" ht="11.25">
      <c r="B158" s="17"/>
      <c r="D158" s="34"/>
      <c r="E158" s="34"/>
      <c r="F158" s="34"/>
      <c r="H158" s="6"/>
      <c r="I158" s="6"/>
      <c r="J158" s="6"/>
      <c r="K158" s="6"/>
      <c r="L158" s="6"/>
      <c r="M158" s="6"/>
      <c r="N158" s="6"/>
      <c r="O158" s="6"/>
      <c r="P158" s="6"/>
      <c r="Q158" s="6"/>
      <c r="R158" s="6"/>
      <c r="S158" s="6"/>
      <c r="T158" s="6"/>
      <c r="U158" s="6"/>
      <c r="V158" s="6"/>
      <c r="W158" s="6"/>
      <c r="X158" s="6"/>
      <c r="Y158" s="6"/>
      <c r="Z158" s="6"/>
      <c r="AA158" s="6"/>
      <c r="AB158" s="6"/>
      <c r="AC158" s="6"/>
      <c r="AD158" s="6"/>
      <c r="AJ158" s="21"/>
    </row>
    <row r="159" spans="2:36" s="2" customFormat="1" ht="11.25">
      <c r="B159" s="17"/>
      <c r="D159" s="34"/>
      <c r="E159" s="34"/>
      <c r="F159" s="34"/>
      <c r="H159" s="6"/>
      <c r="I159" s="6"/>
      <c r="J159" s="6"/>
      <c r="K159" s="6"/>
      <c r="L159" s="6"/>
      <c r="M159" s="6"/>
      <c r="N159" s="6"/>
      <c r="O159" s="6"/>
      <c r="P159" s="6"/>
      <c r="Q159" s="6"/>
      <c r="R159" s="6"/>
      <c r="S159" s="6"/>
      <c r="T159" s="6"/>
      <c r="U159" s="6"/>
      <c r="V159" s="6"/>
      <c r="W159" s="6"/>
      <c r="X159" s="6"/>
      <c r="Y159" s="6"/>
      <c r="Z159" s="6"/>
      <c r="AA159" s="6"/>
      <c r="AB159" s="6"/>
      <c r="AC159" s="6"/>
      <c r="AD159" s="6"/>
      <c r="AJ159" s="21"/>
    </row>
    <row r="160" spans="2:36" s="2" customFormat="1" ht="11.25">
      <c r="B160" s="17"/>
      <c r="D160" s="34"/>
      <c r="E160" s="34"/>
      <c r="F160" s="34"/>
      <c r="H160" s="6"/>
      <c r="I160" s="6"/>
      <c r="J160" s="6"/>
      <c r="K160" s="6"/>
      <c r="L160" s="6"/>
      <c r="M160" s="6"/>
      <c r="N160" s="6"/>
      <c r="O160" s="6"/>
      <c r="P160" s="6"/>
      <c r="Q160" s="6"/>
      <c r="R160" s="6"/>
      <c r="S160" s="6"/>
      <c r="T160" s="6"/>
      <c r="U160" s="6"/>
      <c r="V160" s="6"/>
      <c r="W160" s="6"/>
      <c r="X160" s="6"/>
      <c r="Y160" s="6"/>
      <c r="Z160" s="6"/>
      <c r="AA160" s="6"/>
      <c r="AB160" s="6"/>
      <c r="AC160" s="12"/>
      <c r="AD160" s="12"/>
      <c r="AJ160" s="21"/>
    </row>
    <row r="161" spans="2:36" s="2" customFormat="1" ht="11.25">
      <c r="B161" s="17"/>
      <c r="D161" s="34"/>
      <c r="E161" s="34"/>
      <c r="F161" s="34"/>
      <c r="H161" s="6"/>
      <c r="I161" s="6"/>
      <c r="J161" s="6"/>
      <c r="K161" s="6"/>
      <c r="L161" s="6"/>
      <c r="M161" s="6"/>
      <c r="N161" s="6"/>
      <c r="O161" s="6"/>
      <c r="P161" s="6"/>
      <c r="Q161" s="6"/>
      <c r="R161" s="6"/>
      <c r="S161" s="6"/>
      <c r="T161" s="6"/>
      <c r="U161" s="6"/>
      <c r="V161" s="6"/>
      <c r="W161" s="6"/>
      <c r="X161" s="6"/>
      <c r="Y161" s="6"/>
      <c r="Z161" s="6"/>
      <c r="AA161" s="6"/>
      <c r="AB161" s="6"/>
      <c r="AC161" s="12"/>
      <c r="AD161" s="12"/>
      <c r="AJ161" s="21"/>
    </row>
    <row r="162" spans="2:36" s="2" customFormat="1" ht="11.25">
      <c r="B162" s="17"/>
      <c r="D162" s="34"/>
      <c r="E162" s="34"/>
      <c r="F162" s="34"/>
      <c r="H162" s="6"/>
      <c r="I162" s="6"/>
      <c r="J162" s="6"/>
      <c r="K162" s="6"/>
      <c r="L162" s="6"/>
      <c r="M162" s="6"/>
      <c r="N162" s="6"/>
      <c r="O162" s="6"/>
      <c r="P162" s="6"/>
      <c r="Q162" s="6"/>
      <c r="R162" s="6"/>
      <c r="S162" s="6"/>
      <c r="T162" s="6"/>
      <c r="U162" s="6"/>
      <c r="V162" s="6"/>
      <c r="W162" s="6"/>
      <c r="X162" s="6"/>
      <c r="Y162" s="6"/>
      <c r="Z162" s="6"/>
      <c r="AA162" s="6"/>
      <c r="AB162" s="6"/>
      <c r="AC162" s="12"/>
      <c r="AD162" s="12"/>
      <c r="AJ162" s="21"/>
    </row>
    <row r="163" spans="2:36" s="2" customFormat="1" ht="11.25">
      <c r="B163" s="17"/>
      <c r="D163" s="34"/>
      <c r="E163" s="34"/>
      <c r="F163" s="34"/>
      <c r="H163" s="6"/>
      <c r="I163" s="6"/>
      <c r="J163" s="6"/>
      <c r="K163" s="6"/>
      <c r="L163" s="6"/>
      <c r="M163" s="6"/>
      <c r="N163" s="6"/>
      <c r="O163" s="6"/>
      <c r="P163" s="6"/>
      <c r="Q163" s="6"/>
      <c r="R163" s="6"/>
      <c r="S163" s="6"/>
      <c r="T163" s="6"/>
      <c r="U163" s="6"/>
      <c r="V163" s="6"/>
      <c r="W163" s="6"/>
      <c r="X163" s="6"/>
      <c r="Y163" s="6"/>
      <c r="Z163" s="6"/>
      <c r="AA163" s="6"/>
      <c r="AB163" s="6"/>
      <c r="AC163" s="12"/>
      <c r="AD163" s="12"/>
      <c r="AJ163" s="21"/>
    </row>
    <row r="164" spans="2:36" s="2" customFormat="1" ht="11.25">
      <c r="B164" s="17"/>
      <c r="D164" s="34"/>
      <c r="E164" s="34"/>
      <c r="F164" s="34"/>
      <c r="H164" s="6"/>
      <c r="I164" s="6"/>
      <c r="J164" s="6"/>
      <c r="K164" s="6"/>
      <c r="L164" s="6"/>
      <c r="M164" s="6"/>
      <c r="N164" s="6"/>
      <c r="O164" s="6"/>
      <c r="P164" s="6"/>
      <c r="Q164" s="6"/>
      <c r="R164" s="6"/>
      <c r="S164" s="6"/>
      <c r="T164" s="6"/>
      <c r="U164" s="6"/>
      <c r="V164" s="6"/>
      <c r="W164" s="6"/>
      <c r="X164" s="6"/>
      <c r="Y164" s="6"/>
      <c r="Z164" s="6"/>
      <c r="AA164" s="6"/>
      <c r="AB164" s="6"/>
      <c r="AC164" s="6"/>
      <c r="AD164" s="6"/>
      <c r="AJ164" s="21"/>
    </row>
    <row r="165" spans="2:36" s="2" customFormat="1" ht="11.25">
      <c r="B165" s="17"/>
      <c r="D165" s="34"/>
      <c r="E165" s="34"/>
      <c r="F165" s="34"/>
      <c r="H165" s="6"/>
      <c r="I165" s="6"/>
      <c r="J165" s="6"/>
      <c r="K165" s="6"/>
      <c r="L165" s="6"/>
      <c r="M165" s="6"/>
      <c r="N165" s="6"/>
      <c r="O165" s="6"/>
      <c r="P165" s="6"/>
      <c r="Q165" s="6"/>
      <c r="R165" s="6"/>
      <c r="S165" s="6"/>
      <c r="T165" s="6"/>
      <c r="U165" s="6"/>
      <c r="V165" s="6"/>
      <c r="W165" s="6"/>
      <c r="X165" s="6"/>
      <c r="Y165" s="6"/>
      <c r="Z165" s="6"/>
      <c r="AA165" s="6"/>
      <c r="AB165" s="6"/>
      <c r="AC165" s="6"/>
      <c r="AD165" s="6"/>
      <c r="AJ165" s="21"/>
    </row>
    <row r="166" spans="2:36" s="2" customFormat="1" ht="11.25">
      <c r="B166" s="17"/>
      <c r="D166" s="34"/>
      <c r="E166" s="34"/>
      <c r="F166" s="34"/>
      <c r="H166" s="6"/>
      <c r="I166" s="6"/>
      <c r="J166" s="6"/>
      <c r="K166" s="6"/>
      <c r="L166" s="6"/>
      <c r="M166" s="6"/>
      <c r="N166" s="6"/>
      <c r="O166" s="6"/>
      <c r="P166" s="6"/>
      <c r="Q166" s="6"/>
      <c r="R166" s="6"/>
      <c r="S166" s="6"/>
      <c r="T166" s="6"/>
      <c r="U166" s="6"/>
      <c r="V166" s="6"/>
      <c r="W166" s="6"/>
      <c r="X166" s="6"/>
      <c r="Y166" s="6"/>
      <c r="Z166" s="6"/>
      <c r="AA166" s="6"/>
      <c r="AB166" s="6"/>
      <c r="AC166" s="6"/>
      <c r="AD166" s="6"/>
      <c r="AJ166" s="21"/>
    </row>
    <row r="167" spans="2:36" s="2" customFormat="1" ht="11.25">
      <c r="B167" s="17"/>
      <c r="D167" s="34"/>
      <c r="E167" s="34"/>
      <c r="F167" s="34"/>
      <c r="H167" s="6"/>
      <c r="I167" s="6"/>
      <c r="J167" s="6"/>
      <c r="K167" s="6"/>
      <c r="L167" s="6"/>
      <c r="M167" s="6"/>
      <c r="N167" s="6"/>
      <c r="O167" s="6"/>
      <c r="P167" s="6"/>
      <c r="Q167" s="6"/>
      <c r="R167" s="6"/>
      <c r="S167" s="6"/>
      <c r="T167" s="6"/>
      <c r="U167" s="6"/>
      <c r="V167" s="6"/>
      <c r="W167" s="6"/>
      <c r="X167" s="6"/>
      <c r="Y167" s="6"/>
      <c r="Z167" s="6"/>
      <c r="AA167" s="6"/>
      <c r="AB167" s="6"/>
      <c r="AC167" s="12"/>
      <c r="AD167" s="12"/>
      <c r="AJ167" s="21"/>
    </row>
    <row r="168" spans="2:36" s="2" customFormat="1" ht="11.25">
      <c r="B168" s="17"/>
      <c r="D168" s="34"/>
      <c r="E168" s="34"/>
      <c r="F168" s="34"/>
      <c r="H168" s="6"/>
      <c r="I168" s="6"/>
      <c r="J168" s="6"/>
      <c r="K168" s="6"/>
      <c r="L168" s="6"/>
      <c r="M168" s="6"/>
      <c r="N168" s="6"/>
      <c r="O168" s="6"/>
      <c r="P168" s="6"/>
      <c r="Q168" s="6"/>
      <c r="R168" s="6"/>
      <c r="S168" s="6"/>
      <c r="T168" s="6"/>
      <c r="U168" s="6"/>
      <c r="V168" s="6"/>
      <c r="W168" s="6"/>
      <c r="X168" s="6"/>
      <c r="Y168" s="6"/>
      <c r="Z168" s="6"/>
      <c r="AA168" s="6"/>
      <c r="AB168" s="6"/>
      <c r="AC168" s="12"/>
      <c r="AD168" s="12"/>
      <c r="AJ168" s="21"/>
    </row>
    <row r="169" spans="2:36" s="2" customFormat="1" ht="11.25">
      <c r="B169" s="17"/>
      <c r="D169" s="34"/>
      <c r="E169" s="34"/>
      <c r="F169" s="34"/>
      <c r="H169" s="6"/>
      <c r="I169" s="6"/>
      <c r="J169" s="6"/>
      <c r="K169" s="6"/>
      <c r="L169" s="6"/>
      <c r="M169" s="6"/>
      <c r="N169" s="6"/>
      <c r="O169" s="6"/>
      <c r="P169" s="6"/>
      <c r="Q169" s="6"/>
      <c r="R169" s="6"/>
      <c r="S169" s="6"/>
      <c r="T169" s="6"/>
      <c r="U169" s="6"/>
      <c r="V169" s="6"/>
      <c r="W169" s="6"/>
      <c r="X169" s="6"/>
      <c r="Y169" s="6"/>
      <c r="Z169" s="6"/>
      <c r="AA169" s="6"/>
      <c r="AB169" s="6"/>
      <c r="AC169" s="12"/>
      <c r="AD169" s="12"/>
      <c r="AJ169" s="21"/>
    </row>
    <row r="170" spans="2:36" s="2" customFormat="1" ht="11.25">
      <c r="B170" s="17"/>
      <c r="D170" s="34"/>
      <c r="E170" s="34"/>
      <c r="F170" s="34"/>
      <c r="H170" s="6"/>
      <c r="I170" s="6"/>
      <c r="J170" s="6"/>
      <c r="K170" s="6"/>
      <c r="L170" s="6"/>
      <c r="M170" s="6"/>
      <c r="N170" s="6"/>
      <c r="O170" s="6"/>
      <c r="P170" s="6"/>
      <c r="Q170" s="6"/>
      <c r="R170" s="6"/>
      <c r="S170" s="6"/>
      <c r="T170" s="6"/>
      <c r="U170" s="6"/>
      <c r="V170" s="6"/>
      <c r="W170" s="6"/>
      <c r="X170" s="6"/>
      <c r="Y170" s="6"/>
      <c r="Z170" s="6"/>
      <c r="AA170" s="6"/>
      <c r="AB170" s="6"/>
      <c r="AC170" s="12"/>
      <c r="AD170" s="12"/>
      <c r="AJ170" s="21"/>
    </row>
    <row r="171" spans="2:36" s="2" customFormat="1" ht="11.25">
      <c r="B171" s="17"/>
      <c r="D171" s="34"/>
      <c r="E171" s="34"/>
      <c r="F171" s="34"/>
      <c r="H171" s="6"/>
      <c r="I171" s="6"/>
      <c r="J171" s="6"/>
      <c r="K171" s="6"/>
      <c r="L171" s="6"/>
      <c r="M171" s="6"/>
      <c r="N171" s="6"/>
      <c r="O171" s="6"/>
      <c r="P171" s="6"/>
      <c r="Q171" s="6"/>
      <c r="R171" s="6"/>
      <c r="S171" s="6"/>
      <c r="T171" s="6"/>
      <c r="U171" s="6"/>
      <c r="V171" s="6"/>
      <c r="W171" s="6"/>
      <c r="X171" s="6"/>
      <c r="Y171" s="6"/>
      <c r="Z171" s="6"/>
      <c r="AA171" s="6"/>
      <c r="AB171" s="6"/>
      <c r="AC171" s="12"/>
      <c r="AD171" s="12"/>
      <c r="AJ171" s="21"/>
    </row>
    <row r="172" spans="2:36" s="2" customFormat="1" ht="11.25">
      <c r="B172" s="17"/>
      <c r="D172" s="34"/>
      <c r="E172" s="34"/>
      <c r="F172" s="34"/>
      <c r="H172" s="6"/>
      <c r="I172" s="6"/>
      <c r="J172" s="6"/>
      <c r="K172" s="6"/>
      <c r="L172" s="6"/>
      <c r="M172" s="6"/>
      <c r="N172" s="6"/>
      <c r="O172" s="6"/>
      <c r="P172" s="6"/>
      <c r="Q172" s="6"/>
      <c r="R172" s="6"/>
      <c r="S172" s="6"/>
      <c r="T172" s="6"/>
      <c r="U172" s="6"/>
      <c r="V172" s="6"/>
      <c r="W172" s="6"/>
      <c r="X172" s="6"/>
      <c r="Y172" s="6"/>
      <c r="Z172" s="6"/>
      <c r="AA172" s="6"/>
      <c r="AB172" s="6"/>
      <c r="AC172" s="12"/>
      <c r="AD172" s="12"/>
      <c r="AJ172" s="21"/>
    </row>
    <row r="173" spans="2:36" s="2" customFormat="1" ht="11.25">
      <c r="B173" s="17"/>
      <c r="D173" s="34"/>
      <c r="E173" s="34"/>
      <c r="F173" s="34"/>
      <c r="H173" s="6"/>
      <c r="I173" s="6"/>
      <c r="J173" s="6"/>
      <c r="K173" s="6"/>
      <c r="L173" s="6"/>
      <c r="M173" s="6"/>
      <c r="N173" s="6"/>
      <c r="O173" s="6"/>
      <c r="P173" s="6"/>
      <c r="Q173" s="6"/>
      <c r="R173" s="6"/>
      <c r="S173" s="6"/>
      <c r="T173" s="6"/>
      <c r="U173" s="6"/>
      <c r="V173" s="6"/>
      <c r="W173" s="6"/>
      <c r="X173" s="6"/>
      <c r="Y173" s="6"/>
      <c r="Z173" s="6"/>
      <c r="AA173" s="6"/>
      <c r="AB173" s="6"/>
      <c r="AC173" s="12"/>
      <c r="AD173" s="12"/>
      <c r="AJ173" s="21"/>
    </row>
    <row r="174" spans="2:36" s="2" customFormat="1" ht="11.25">
      <c r="B174" s="17"/>
      <c r="C174" s="3"/>
      <c r="D174" s="13"/>
      <c r="E174" s="13"/>
      <c r="F174" s="13"/>
      <c r="H174" s="6"/>
      <c r="I174" s="6"/>
      <c r="J174" s="6"/>
      <c r="K174" s="6"/>
      <c r="L174" s="6"/>
      <c r="M174" s="6"/>
      <c r="N174" s="6"/>
      <c r="O174" s="6"/>
      <c r="P174" s="6"/>
      <c r="Q174" s="6"/>
      <c r="R174" s="6"/>
      <c r="S174" s="6"/>
      <c r="T174" s="6"/>
      <c r="U174" s="6"/>
      <c r="V174" s="6"/>
      <c r="W174" s="6"/>
      <c r="X174" s="6"/>
      <c r="Y174" s="6"/>
      <c r="Z174" s="6"/>
      <c r="AA174" s="6"/>
      <c r="AB174" s="6"/>
      <c r="AC174" s="12"/>
      <c r="AD174" s="12"/>
      <c r="AJ174" s="21"/>
    </row>
    <row r="175" spans="2:36" s="2" customFormat="1" ht="11.25">
      <c r="B175" s="18"/>
      <c r="C175" s="3"/>
      <c r="D175" s="13"/>
      <c r="E175" s="13"/>
      <c r="F175" s="13"/>
      <c r="H175" s="6"/>
      <c r="I175" s="6"/>
      <c r="J175" s="6"/>
      <c r="K175" s="6"/>
      <c r="L175" s="6"/>
      <c r="M175" s="6"/>
      <c r="N175" s="6"/>
      <c r="O175" s="6"/>
      <c r="P175" s="6"/>
      <c r="Q175" s="6"/>
      <c r="R175" s="6"/>
      <c r="S175" s="6"/>
      <c r="T175" s="6"/>
      <c r="U175" s="6"/>
      <c r="V175" s="6"/>
      <c r="W175" s="6"/>
      <c r="X175" s="6"/>
      <c r="Y175" s="6"/>
      <c r="Z175" s="6"/>
      <c r="AA175" s="6"/>
      <c r="AB175" s="6"/>
      <c r="AC175" s="12"/>
      <c r="AD175" s="12"/>
      <c r="AJ175" s="21"/>
    </row>
    <row r="176" spans="2:36" s="2" customFormat="1" ht="11.25">
      <c r="B176" s="17"/>
      <c r="D176" s="34"/>
      <c r="E176" s="34"/>
      <c r="F176" s="34"/>
      <c r="H176" s="6"/>
      <c r="I176" s="6"/>
      <c r="J176" s="6"/>
      <c r="K176" s="6"/>
      <c r="L176" s="6"/>
      <c r="M176" s="6"/>
      <c r="N176" s="6"/>
      <c r="O176" s="6"/>
      <c r="P176" s="6"/>
      <c r="Q176" s="6"/>
      <c r="R176" s="6"/>
      <c r="S176" s="6"/>
      <c r="T176" s="6"/>
      <c r="U176" s="6"/>
      <c r="V176" s="6"/>
      <c r="W176" s="6"/>
      <c r="X176" s="6"/>
      <c r="Y176" s="6"/>
      <c r="Z176" s="6"/>
      <c r="AA176" s="6"/>
      <c r="AB176" s="6"/>
      <c r="AC176" s="12"/>
      <c r="AD176" s="12"/>
      <c r="AJ176" s="21"/>
    </row>
    <row r="177" spans="2:36" s="2" customFormat="1" ht="11.25">
      <c r="B177" s="17"/>
      <c r="D177" s="34"/>
      <c r="E177" s="34"/>
      <c r="F177" s="34"/>
      <c r="H177" s="6"/>
      <c r="I177" s="6"/>
      <c r="J177" s="6"/>
      <c r="K177" s="6"/>
      <c r="L177" s="6"/>
      <c r="M177" s="6"/>
      <c r="N177" s="6"/>
      <c r="O177" s="6"/>
      <c r="P177" s="6"/>
      <c r="Q177" s="6"/>
      <c r="R177" s="6"/>
      <c r="S177" s="6"/>
      <c r="T177" s="6"/>
      <c r="U177" s="6"/>
      <c r="V177" s="6"/>
      <c r="W177" s="6"/>
      <c r="X177" s="6"/>
      <c r="Y177" s="6"/>
      <c r="Z177" s="6"/>
      <c r="AA177" s="6"/>
      <c r="AB177" s="6"/>
      <c r="AC177" s="12"/>
      <c r="AD177" s="12"/>
      <c r="AJ177" s="21"/>
    </row>
    <row r="178" spans="2:36" s="2" customFormat="1" ht="11.25">
      <c r="B178" s="17"/>
      <c r="D178" s="34"/>
      <c r="E178" s="34"/>
      <c r="F178" s="34"/>
      <c r="H178" s="6"/>
      <c r="I178" s="6"/>
      <c r="J178" s="6"/>
      <c r="K178" s="6"/>
      <c r="L178" s="6"/>
      <c r="M178" s="6"/>
      <c r="N178" s="6"/>
      <c r="O178" s="6"/>
      <c r="P178" s="6"/>
      <c r="Q178" s="6"/>
      <c r="R178" s="6"/>
      <c r="S178" s="6"/>
      <c r="T178" s="6"/>
      <c r="U178" s="6"/>
      <c r="V178" s="6"/>
      <c r="W178" s="6"/>
      <c r="X178" s="6"/>
      <c r="Y178" s="6"/>
      <c r="Z178" s="6"/>
      <c r="AA178" s="6"/>
      <c r="AB178" s="6"/>
      <c r="AC178" s="12"/>
      <c r="AD178" s="12"/>
      <c r="AJ178" s="21"/>
    </row>
    <row r="179" spans="2:36" s="2" customFormat="1" ht="11.25">
      <c r="B179" s="17"/>
      <c r="D179" s="34"/>
      <c r="E179" s="34"/>
      <c r="F179" s="34"/>
      <c r="H179" s="6"/>
      <c r="I179" s="6"/>
      <c r="J179" s="6"/>
      <c r="K179" s="6"/>
      <c r="L179" s="6"/>
      <c r="M179" s="6"/>
      <c r="N179" s="6"/>
      <c r="O179" s="6"/>
      <c r="P179" s="6"/>
      <c r="Q179" s="6"/>
      <c r="R179" s="6"/>
      <c r="S179" s="6"/>
      <c r="T179" s="6"/>
      <c r="U179" s="6"/>
      <c r="V179" s="6"/>
      <c r="W179" s="6"/>
      <c r="X179" s="6"/>
      <c r="Y179" s="6"/>
      <c r="Z179" s="6"/>
      <c r="AA179" s="6"/>
      <c r="AB179" s="6"/>
      <c r="AC179" s="12"/>
      <c r="AD179" s="12"/>
      <c r="AJ179" s="21"/>
    </row>
    <row r="180" spans="2:36" s="2" customFormat="1" ht="11.25">
      <c r="B180" s="17"/>
      <c r="D180" s="34"/>
      <c r="E180" s="34"/>
      <c r="F180" s="34"/>
      <c r="H180" s="6"/>
      <c r="I180" s="6"/>
      <c r="J180" s="6"/>
      <c r="K180" s="6"/>
      <c r="L180" s="6"/>
      <c r="M180" s="6"/>
      <c r="N180" s="6"/>
      <c r="O180" s="6"/>
      <c r="P180" s="6"/>
      <c r="Q180" s="6"/>
      <c r="R180" s="6"/>
      <c r="S180" s="6"/>
      <c r="T180" s="6"/>
      <c r="U180" s="6"/>
      <c r="V180" s="6"/>
      <c r="W180" s="6"/>
      <c r="X180" s="6"/>
      <c r="Y180" s="6"/>
      <c r="Z180" s="6"/>
      <c r="AA180" s="6"/>
      <c r="AB180" s="6"/>
      <c r="AC180" s="12"/>
      <c r="AD180" s="12"/>
      <c r="AJ180" s="21"/>
    </row>
    <row r="181" spans="2:36" s="2" customFormat="1" ht="11.25">
      <c r="B181" s="17"/>
      <c r="D181" s="34"/>
      <c r="E181" s="34"/>
      <c r="F181" s="34"/>
      <c r="H181" s="6"/>
      <c r="I181" s="6"/>
      <c r="J181" s="6"/>
      <c r="K181" s="6"/>
      <c r="L181" s="6"/>
      <c r="M181" s="6"/>
      <c r="N181" s="6"/>
      <c r="O181" s="6"/>
      <c r="P181" s="6"/>
      <c r="Q181" s="6"/>
      <c r="R181" s="6"/>
      <c r="S181" s="6"/>
      <c r="T181" s="6"/>
      <c r="U181" s="6"/>
      <c r="V181" s="6"/>
      <c r="W181" s="6"/>
      <c r="X181" s="6"/>
      <c r="Y181" s="6"/>
      <c r="Z181" s="6"/>
      <c r="AA181" s="6"/>
      <c r="AB181" s="6"/>
      <c r="AC181" s="12"/>
      <c r="AD181" s="12"/>
      <c r="AJ181" s="21"/>
    </row>
    <row r="182" spans="2:36" s="2" customFormat="1" ht="11.25">
      <c r="B182" s="17"/>
      <c r="D182" s="34"/>
      <c r="E182" s="34"/>
      <c r="F182" s="34"/>
      <c r="H182" s="6"/>
      <c r="I182" s="6"/>
      <c r="J182" s="6"/>
      <c r="K182" s="6"/>
      <c r="L182" s="6"/>
      <c r="M182" s="6"/>
      <c r="N182" s="6"/>
      <c r="O182" s="6"/>
      <c r="P182" s="6"/>
      <c r="Q182" s="6"/>
      <c r="R182" s="6"/>
      <c r="S182" s="6"/>
      <c r="T182" s="6"/>
      <c r="U182" s="6"/>
      <c r="V182" s="6"/>
      <c r="W182" s="6"/>
      <c r="X182" s="6"/>
      <c r="Y182" s="6"/>
      <c r="Z182" s="6"/>
      <c r="AA182" s="6"/>
      <c r="AB182" s="6"/>
      <c r="AC182" s="6"/>
      <c r="AD182" s="6"/>
      <c r="AJ182" s="21"/>
    </row>
    <row r="183" spans="2:36" s="2" customFormat="1" ht="11.25">
      <c r="B183" s="17"/>
      <c r="D183" s="34"/>
      <c r="E183" s="34"/>
      <c r="F183" s="34"/>
      <c r="H183" s="6"/>
      <c r="I183" s="6"/>
      <c r="J183" s="6"/>
      <c r="K183" s="6"/>
      <c r="L183" s="6"/>
      <c r="M183" s="6"/>
      <c r="N183" s="6"/>
      <c r="O183" s="6"/>
      <c r="P183" s="6"/>
      <c r="Q183" s="6"/>
      <c r="R183" s="6"/>
      <c r="S183" s="6"/>
      <c r="T183" s="6"/>
      <c r="U183" s="6"/>
      <c r="V183" s="6"/>
      <c r="W183" s="6"/>
      <c r="X183" s="6"/>
      <c r="Y183" s="6"/>
      <c r="Z183" s="6"/>
      <c r="AA183" s="6"/>
      <c r="AB183" s="6"/>
      <c r="AC183" s="12"/>
      <c r="AD183" s="12"/>
      <c r="AJ183" s="21"/>
    </row>
    <row r="184" spans="2:36" s="2" customFormat="1" ht="11.25">
      <c r="B184" s="17"/>
      <c r="D184" s="34"/>
      <c r="E184" s="34"/>
      <c r="F184" s="34"/>
      <c r="H184" s="6"/>
      <c r="I184" s="6"/>
      <c r="J184" s="6"/>
      <c r="K184" s="6"/>
      <c r="L184" s="6"/>
      <c r="M184" s="6"/>
      <c r="N184" s="6"/>
      <c r="O184" s="6"/>
      <c r="P184" s="6"/>
      <c r="Q184" s="6"/>
      <c r="R184" s="6"/>
      <c r="S184" s="6"/>
      <c r="T184" s="6"/>
      <c r="U184" s="6"/>
      <c r="V184" s="6"/>
      <c r="W184" s="6"/>
      <c r="X184" s="6"/>
      <c r="Y184" s="6"/>
      <c r="Z184" s="6"/>
      <c r="AA184" s="6"/>
      <c r="AB184" s="6"/>
      <c r="AC184" s="12"/>
      <c r="AD184" s="12"/>
      <c r="AJ184" s="21"/>
    </row>
    <row r="185" spans="2:36" s="2" customFormat="1" ht="11.25">
      <c r="B185" s="17"/>
      <c r="D185" s="34"/>
      <c r="E185" s="34"/>
      <c r="F185" s="34"/>
      <c r="H185" s="6"/>
      <c r="I185" s="6"/>
      <c r="J185" s="6"/>
      <c r="K185" s="6"/>
      <c r="L185" s="6"/>
      <c r="M185" s="6"/>
      <c r="N185" s="6"/>
      <c r="O185" s="6"/>
      <c r="P185" s="6"/>
      <c r="Q185" s="6"/>
      <c r="R185" s="6"/>
      <c r="S185" s="6"/>
      <c r="T185" s="6"/>
      <c r="U185" s="6"/>
      <c r="V185" s="6"/>
      <c r="W185" s="6"/>
      <c r="X185" s="6"/>
      <c r="Y185" s="6"/>
      <c r="Z185" s="6"/>
      <c r="AA185" s="6"/>
      <c r="AB185" s="6"/>
      <c r="AC185" s="12"/>
      <c r="AD185" s="12"/>
      <c r="AJ185" s="21"/>
    </row>
    <row r="186" spans="2:36" s="2" customFormat="1" ht="11.25">
      <c r="B186" s="18"/>
      <c r="C186" s="3"/>
      <c r="D186" s="13"/>
      <c r="E186" s="13"/>
      <c r="F186" s="13"/>
      <c r="H186" s="6"/>
      <c r="I186" s="6"/>
      <c r="J186" s="6"/>
      <c r="K186" s="6"/>
      <c r="L186" s="6"/>
      <c r="M186" s="6"/>
      <c r="N186" s="6"/>
      <c r="O186" s="6"/>
      <c r="P186" s="6"/>
      <c r="Q186" s="6"/>
      <c r="R186" s="6"/>
      <c r="S186" s="6"/>
      <c r="T186" s="6"/>
      <c r="U186" s="6"/>
      <c r="V186" s="6"/>
      <c r="W186" s="6"/>
      <c r="X186" s="6"/>
      <c r="Y186" s="6"/>
      <c r="Z186" s="6"/>
      <c r="AA186" s="6"/>
      <c r="AB186" s="6"/>
      <c r="AC186" s="12"/>
      <c r="AD186" s="12"/>
      <c r="AJ186" s="21"/>
    </row>
    <row r="187" spans="2:36" s="2" customFormat="1" ht="11.25">
      <c r="B187" s="17"/>
      <c r="D187" s="34"/>
      <c r="E187" s="34"/>
      <c r="F187" s="34"/>
      <c r="H187" s="6"/>
      <c r="I187" s="6"/>
      <c r="J187" s="6"/>
      <c r="K187" s="6"/>
      <c r="L187" s="6"/>
      <c r="M187" s="6"/>
      <c r="N187" s="6"/>
      <c r="O187" s="6"/>
      <c r="P187" s="6"/>
      <c r="Q187" s="6"/>
      <c r="R187" s="6"/>
      <c r="S187" s="6"/>
      <c r="T187" s="6"/>
      <c r="U187" s="6"/>
      <c r="V187" s="6"/>
      <c r="W187" s="6"/>
      <c r="X187" s="6"/>
      <c r="Y187" s="6"/>
      <c r="Z187" s="6"/>
      <c r="AA187" s="6"/>
      <c r="AB187" s="6"/>
      <c r="AC187" s="6"/>
      <c r="AD187" s="6"/>
      <c r="AJ187" s="21"/>
    </row>
    <row r="188" spans="2:36" s="2" customFormat="1" ht="11.25">
      <c r="B188" s="17"/>
      <c r="D188" s="34"/>
      <c r="E188" s="34"/>
      <c r="F188" s="34"/>
      <c r="H188" s="6"/>
      <c r="I188" s="6"/>
      <c r="J188" s="6"/>
      <c r="K188" s="6"/>
      <c r="L188" s="6"/>
      <c r="M188" s="6"/>
      <c r="N188" s="6"/>
      <c r="O188" s="6"/>
      <c r="P188" s="6"/>
      <c r="Q188" s="6"/>
      <c r="R188" s="6"/>
      <c r="S188" s="6"/>
      <c r="T188" s="6"/>
      <c r="U188" s="6"/>
      <c r="V188" s="6"/>
      <c r="W188" s="6"/>
      <c r="X188" s="6"/>
      <c r="Y188" s="6"/>
      <c r="Z188" s="6"/>
      <c r="AA188" s="6"/>
      <c r="AB188" s="6"/>
      <c r="AC188" s="12"/>
      <c r="AD188" s="12"/>
      <c r="AJ188" s="21"/>
    </row>
    <row r="189" spans="2:36" s="2" customFormat="1" ht="11.25">
      <c r="B189" s="17"/>
      <c r="D189" s="34"/>
      <c r="E189" s="34"/>
      <c r="F189" s="34"/>
      <c r="H189" s="6"/>
      <c r="I189" s="6"/>
      <c r="J189" s="6"/>
      <c r="K189" s="6"/>
      <c r="L189" s="6"/>
      <c r="M189" s="6"/>
      <c r="N189" s="6"/>
      <c r="O189" s="6"/>
      <c r="P189" s="6"/>
      <c r="Q189" s="6"/>
      <c r="R189" s="6"/>
      <c r="S189" s="6"/>
      <c r="T189" s="6"/>
      <c r="U189" s="6"/>
      <c r="V189" s="6"/>
      <c r="W189" s="6"/>
      <c r="X189" s="6"/>
      <c r="Y189" s="6"/>
      <c r="Z189" s="6"/>
      <c r="AA189" s="6"/>
      <c r="AB189" s="6"/>
      <c r="AC189" s="6"/>
      <c r="AD189" s="6"/>
      <c r="AE189" s="6"/>
      <c r="AJ189" s="21"/>
    </row>
    <row r="190" spans="2:36" s="2" customFormat="1" ht="11.25">
      <c r="B190" s="17"/>
      <c r="D190" s="34"/>
      <c r="E190" s="34"/>
      <c r="F190" s="34"/>
      <c r="H190" s="6"/>
      <c r="I190" s="6"/>
      <c r="J190" s="6"/>
      <c r="K190" s="6"/>
      <c r="L190" s="6"/>
      <c r="M190" s="6"/>
      <c r="N190" s="6"/>
      <c r="O190" s="6"/>
      <c r="P190" s="6"/>
      <c r="Q190" s="6"/>
      <c r="R190" s="6"/>
      <c r="S190" s="6"/>
      <c r="T190" s="6"/>
      <c r="U190" s="6"/>
      <c r="V190" s="6"/>
      <c r="W190" s="6"/>
      <c r="X190" s="6"/>
      <c r="Y190" s="6"/>
      <c r="Z190" s="6"/>
      <c r="AA190" s="6"/>
      <c r="AB190" s="6"/>
      <c r="AC190" s="6"/>
      <c r="AD190" s="6"/>
      <c r="AE190" s="6"/>
      <c r="AJ190" s="21"/>
    </row>
    <row r="191" spans="2:36" s="2" customFormat="1" ht="11.25">
      <c r="B191" s="17"/>
      <c r="D191" s="34"/>
      <c r="E191" s="34"/>
      <c r="F191" s="34"/>
      <c r="H191" s="6"/>
      <c r="I191" s="6"/>
      <c r="J191" s="6"/>
      <c r="K191" s="6"/>
      <c r="L191" s="6"/>
      <c r="M191" s="6"/>
      <c r="N191" s="6"/>
      <c r="O191" s="6"/>
      <c r="P191" s="6"/>
      <c r="Q191" s="6"/>
      <c r="R191" s="6"/>
      <c r="S191" s="6"/>
      <c r="T191" s="6"/>
      <c r="U191" s="6"/>
      <c r="V191" s="6"/>
      <c r="W191" s="6"/>
      <c r="X191" s="6"/>
      <c r="Y191" s="6"/>
      <c r="Z191" s="6"/>
      <c r="AA191" s="6"/>
      <c r="AB191" s="6"/>
      <c r="AC191" s="6"/>
      <c r="AD191" s="6"/>
      <c r="AE191" s="6"/>
      <c r="AJ191" s="21"/>
    </row>
    <row r="192" spans="2:36" s="2" customFormat="1" ht="11.25">
      <c r="B192" s="17"/>
      <c r="D192" s="34"/>
      <c r="E192" s="34"/>
      <c r="F192" s="34"/>
      <c r="H192" s="6"/>
      <c r="I192" s="6"/>
      <c r="J192" s="6"/>
      <c r="K192" s="6"/>
      <c r="L192" s="6"/>
      <c r="M192" s="6"/>
      <c r="N192" s="6"/>
      <c r="O192" s="6"/>
      <c r="P192" s="6"/>
      <c r="Q192" s="6"/>
      <c r="R192" s="6"/>
      <c r="S192" s="6"/>
      <c r="T192" s="6"/>
      <c r="U192" s="6"/>
      <c r="V192" s="6"/>
      <c r="W192" s="6"/>
      <c r="X192" s="6"/>
      <c r="Y192" s="6"/>
      <c r="Z192" s="6"/>
      <c r="AA192" s="6"/>
      <c r="AB192" s="6"/>
      <c r="AC192" s="12"/>
      <c r="AD192" s="12"/>
      <c r="AE192" s="12"/>
      <c r="AJ192" s="21"/>
    </row>
    <row r="193" spans="2:37" s="2" customFormat="1" ht="11.25">
      <c r="B193" s="18"/>
      <c r="D193" s="34"/>
      <c r="E193" s="34"/>
      <c r="F193" s="34"/>
      <c r="H193" s="6"/>
      <c r="I193" s="6"/>
      <c r="J193" s="6"/>
      <c r="K193" s="6"/>
      <c r="L193" s="6"/>
      <c r="M193" s="6"/>
      <c r="N193" s="6"/>
      <c r="O193" s="6"/>
      <c r="P193" s="6"/>
      <c r="Q193" s="6"/>
      <c r="R193" s="6"/>
      <c r="S193" s="6"/>
      <c r="T193" s="6"/>
      <c r="U193" s="6"/>
      <c r="V193" s="6"/>
      <c r="W193" s="6"/>
      <c r="X193" s="6"/>
      <c r="Y193" s="6"/>
      <c r="Z193" s="6"/>
      <c r="AA193" s="6"/>
      <c r="AB193" s="6"/>
      <c r="AC193" s="12"/>
      <c r="AD193" s="12"/>
      <c r="AE193" s="12"/>
      <c r="AJ193" s="21"/>
    </row>
    <row r="194" spans="2:37" s="2" customFormat="1" ht="11.25">
      <c r="B194" s="17"/>
      <c r="D194" s="34"/>
      <c r="E194" s="34"/>
      <c r="F194" s="34"/>
      <c r="H194" s="6"/>
      <c r="I194" s="6"/>
      <c r="J194" s="6"/>
      <c r="K194" s="6"/>
      <c r="L194" s="6"/>
      <c r="M194" s="6"/>
      <c r="N194" s="6"/>
      <c r="O194" s="6"/>
      <c r="P194" s="6"/>
      <c r="Q194" s="6"/>
      <c r="R194" s="6"/>
      <c r="S194" s="6"/>
      <c r="T194" s="6"/>
      <c r="U194" s="6"/>
      <c r="V194" s="6"/>
      <c r="W194" s="6"/>
      <c r="X194" s="6"/>
      <c r="Y194" s="6"/>
      <c r="Z194" s="6"/>
      <c r="AA194" s="6"/>
      <c r="AB194" s="6"/>
      <c r="AC194" s="6"/>
      <c r="AD194" s="6"/>
      <c r="AE194" s="6"/>
      <c r="AJ194" s="21"/>
    </row>
    <row r="195" spans="2:37" s="2" customFormat="1" ht="11.25">
      <c r="B195" s="17"/>
      <c r="D195" s="34"/>
      <c r="E195" s="34"/>
      <c r="F195" s="34"/>
      <c r="H195" s="6"/>
      <c r="I195" s="6"/>
      <c r="J195" s="6"/>
      <c r="K195" s="6"/>
      <c r="L195" s="6"/>
      <c r="M195" s="6"/>
      <c r="N195" s="6"/>
      <c r="O195" s="6"/>
      <c r="P195" s="6"/>
      <c r="Q195" s="6"/>
      <c r="R195" s="6"/>
      <c r="S195" s="6"/>
      <c r="T195" s="6"/>
      <c r="U195" s="6"/>
      <c r="V195" s="6"/>
      <c r="W195" s="6"/>
      <c r="X195" s="6"/>
      <c r="Y195" s="6"/>
      <c r="Z195" s="6"/>
      <c r="AA195" s="6"/>
      <c r="AB195" s="6"/>
      <c r="AC195" s="12"/>
      <c r="AD195" s="12"/>
      <c r="AE195" s="12"/>
      <c r="AJ195" s="21"/>
    </row>
    <row r="196" spans="2:37" s="2" customFormat="1" ht="11.25">
      <c r="B196" s="17"/>
      <c r="D196" s="34"/>
      <c r="E196" s="34"/>
      <c r="F196" s="34"/>
      <c r="H196" s="6"/>
      <c r="I196" s="6"/>
      <c r="J196" s="6"/>
      <c r="K196" s="6"/>
      <c r="L196" s="6"/>
      <c r="M196" s="6"/>
      <c r="N196" s="6"/>
      <c r="O196" s="6"/>
      <c r="P196" s="6"/>
      <c r="Q196" s="6"/>
      <c r="R196" s="6"/>
      <c r="S196" s="6"/>
      <c r="T196" s="6"/>
      <c r="U196" s="6"/>
      <c r="V196" s="6"/>
      <c r="W196" s="6"/>
      <c r="X196" s="6"/>
      <c r="Y196" s="6"/>
      <c r="Z196" s="6"/>
      <c r="AA196" s="6"/>
      <c r="AB196" s="6"/>
      <c r="AC196" s="12"/>
      <c r="AD196" s="12"/>
      <c r="AE196" s="12"/>
      <c r="AJ196" s="21"/>
    </row>
    <row r="197" spans="2:37" s="2" customFormat="1" ht="11.25">
      <c r="B197" s="17"/>
      <c r="D197" s="34"/>
      <c r="E197" s="34"/>
      <c r="F197" s="34"/>
      <c r="H197" s="6"/>
      <c r="I197" s="6"/>
      <c r="J197" s="6"/>
      <c r="K197" s="6"/>
      <c r="L197" s="6"/>
      <c r="M197" s="6"/>
      <c r="N197" s="6"/>
      <c r="O197" s="6"/>
      <c r="P197" s="6"/>
      <c r="Q197" s="6"/>
      <c r="R197" s="6"/>
      <c r="S197" s="6"/>
      <c r="T197" s="6"/>
      <c r="U197" s="6"/>
      <c r="V197" s="6"/>
      <c r="W197" s="6"/>
      <c r="X197" s="6"/>
      <c r="Y197" s="6"/>
      <c r="Z197" s="6"/>
      <c r="AA197" s="6"/>
      <c r="AB197" s="6"/>
      <c r="AC197" s="12"/>
      <c r="AD197" s="12"/>
      <c r="AE197" s="12"/>
      <c r="AJ197" s="21"/>
    </row>
    <row r="198" spans="2:37" s="2" customFormat="1" ht="11.25">
      <c r="B198" s="17"/>
      <c r="D198" s="34"/>
      <c r="E198" s="34"/>
      <c r="F198" s="34"/>
      <c r="H198" s="6"/>
      <c r="I198" s="6"/>
      <c r="J198" s="6"/>
      <c r="K198" s="6"/>
      <c r="L198" s="6"/>
      <c r="M198" s="6"/>
      <c r="N198" s="6"/>
      <c r="O198" s="6"/>
      <c r="P198" s="6"/>
      <c r="Q198" s="6"/>
      <c r="R198" s="6"/>
      <c r="S198" s="6"/>
      <c r="T198" s="6"/>
      <c r="U198" s="6"/>
      <c r="V198" s="6"/>
      <c r="W198" s="6"/>
      <c r="X198" s="6"/>
      <c r="Y198" s="6"/>
      <c r="Z198" s="6"/>
      <c r="AA198" s="6"/>
      <c r="AB198" s="6"/>
      <c r="AC198" s="12"/>
      <c r="AD198" s="12"/>
      <c r="AE198" s="12"/>
      <c r="AJ198" s="21"/>
    </row>
    <row r="199" spans="2:37" s="2" customFormat="1" ht="11.25">
      <c r="B199" s="17"/>
      <c r="D199" s="34"/>
      <c r="E199" s="34"/>
      <c r="F199" s="34"/>
      <c r="H199" s="6"/>
      <c r="I199" s="6"/>
      <c r="J199" s="6"/>
      <c r="K199" s="6"/>
      <c r="L199" s="6"/>
      <c r="M199" s="6"/>
      <c r="N199" s="6"/>
      <c r="O199" s="6"/>
      <c r="P199" s="6"/>
      <c r="Q199" s="6"/>
      <c r="R199" s="6"/>
      <c r="S199" s="6"/>
      <c r="T199" s="6"/>
      <c r="U199" s="6"/>
      <c r="V199" s="6"/>
      <c r="W199" s="6"/>
      <c r="X199" s="6"/>
      <c r="Y199" s="6"/>
      <c r="Z199" s="6"/>
      <c r="AA199" s="6"/>
      <c r="AB199" s="6"/>
      <c r="AC199" s="6"/>
      <c r="AD199" s="6"/>
      <c r="AE199" s="6"/>
      <c r="AJ199" s="21"/>
    </row>
    <row r="200" spans="2:37" s="2" customFormat="1" ht="11.25">
      <c r="B200" s="17"/>
      <c r="D200" s="34"/>
      <c r="E200" s="34"/>
      <c r="F200" s="34"/>
      <c r="H200" s="6"/>
      <c r="I200" s="6"/>
      <c r="J200" s="6"/>
      <c r="K200" s="6"/>
      <c r="L200" s="6"/>
      <c r="M200" s="6"/>
      <c r="N200" s="6"/>
      <c r="O200" s="6"/>
      <c r="P200" s="6"/>
      <c r="Q200" s="6"/>
      <c r="R200" s="6"/>
      <c r="S200" s="6"/>
      <c r="T200" s="6"/>
      <c r="U200" s="6"/>
      <c r="V200" s="6"/>
      <c r="W200" s="6"/>
      <c r="X200" s="6"/>
      <c r="Y200" s="6"/>
      <c r="Z200" s="6"/>
      <c r="AA200" s="6"/>
      <c r="AB200" s="6"/>
      <c r="AC200" s="11"/>
      <c r="AD200" s="11"/>
      <c r="AE200" s="11"/>
      <c r="AJ200" s="21"/>
    </row>
    <row r="201" spans="2:37" s="2" customFormat="1" ht="11.25">
      <c r="B201" s="17"/>
      <c r="C201" s="3"/>
      <c r="D201" s="13"/>
      <c r="E201" s="13"/>
      <c r="F201" s="13"/>
      <c r="H201" s="6"/>
      <c r="I201" s="6"/>
      <c r="J201" s="6"/>
      <c r="K201" s="6"/>
      <c r="L201" s="6"/>
      <c r="M201" s="6"/>
      <c r="N201" s="6"/>
      <c r="O201" s="6"/>
      <c r="P201" s="6"/>
      <c r="Q201" s="6"/>
      <c r="R201" s="6"/>
      <c r="S201" s="6"/>
      <c r="T201" s="6"/>
      <c r="U201" s="6"/>
      <c r="V201" s="6"/>
      <c r="W201" s="6"/>
      <c r="X201" s="6"/>
      <c r="Y201" s="6"/>
      <c r="Z201" s="6"/>
      <c r="AA201" s="6"/>
      <c r="AB201" s="6"/>
      <c r="AC201" s="12"/>
      <c r="AD201" s="12"/>
      <c r="AE201" s="12"/>
      <c r="AJ201" s="21"/>
    </row>
    <row r="202" spans="2:37" s="2" customFormat="1" ht="11.25">
      <c r="B202" s="17"/>
      <c r="C202" s="3"/>
      <c r="D202" s="13"/>
      <c r="E202" s="13"/>
      <c r="F202" s="13"/>
      <c r="H202" s="6"/>
      <c r="I202" s="6"/>
      <c r="J202" s="6"/>
      <c r="K202" s="6"/>
      <c r="L202" s="6"/>
      <c r="M202" s="6"/>
      <c r="N202" s="6"/>
      <c r="O202" s="6"/>
      <c r="P202" s="6"/>
      <c r="Q202" s="6"/>
      <c r="R202" s="6"/>
      <c r="S202" s="6"/>
      <c r="T202" s="6"/>
      <c r="U202" s="6"/>
      <c r="V202" s="6"/>
      <c r="W202" s="6"/>
      <c r="X202" s="6"/>
      <c r="Y202" s="6"/>
      <c r="Z202" s="6"/>
      <c r="AA202" s="6"/>
      <c r="AB202" s="6"/>
      <c r="AC202" s="12"/>
      <c r="AD202" s="12"/>
      <c r="AE202" s="12"/>
      <c r="AJ202" s="21"/>
    </row>
    <row r="203" spans="2:37" s="2" customFormat="1" ht="11.25">
      <c r="B203" s="17"/>
      <c r="D203" s="34"/>
      <c r="E203" s="34"/>
      <c r="F203" s="34"/>
      <c r="H203" s="6"/>
      <c r="I203" s="6"/>
      <c r="J203" s="6"/>
      <c r="K203" s="6"/>
      <c r="L203" s="6"/>
      <c r="M203" s="6"/>
      <c r="N203" s="6"/>
      <c r="O203" s="6"/>
      <c r="P203" s="6"/>
      <c r="Q203" s="6"/>
      <c r="R203" s="6"/>
      <c r="S203" s="6"/>
      <c r="T203" s="6"/>
      <c r="U203" s="6"/>
      <c r="V203" s="6"/>
      <c r="W203" s="6"/>
      <c r="X203" s="6"/>
      <c r="Y203" s="6"/>
      <c r="Z203" s="6"/>
      <c r="AA203" s="6"/>
      <c r="AB203" s="6"/>
      <c r="AC203" s="6"/>
      <c r="AD203" s="6"/>
      <c r="AE203" s="6"/>
      <c r="AJ203" s="21"/>
    </row>
    <row r="204" spans="2:37" s="2" customFormat="1" ht="11.25">
      <c r="B204" s="18"/>
      <c r="C204" s="13"/>
      <c r="D204" s="13"/>
      <c r="E204" s="13"/>
      <c r="F204" s="13"/>
      <c r="H204" s="6"/>
      <c r="I204" s="6"/>
      <c r="J204" s="6"/>
      <c r="K204" s="6"/>
      <c r="L204" s="6"/>
      <c r="M204" s="6"/>
      <c r="N204" s="6"/>
      <c r="O204" s="6"/>
      <c r="P204" s="6"/>
      <c r="Q204" s="6"/>
      <c r="R204" s="6"/>
      <c r="S204" s="6"/>
      <c r="T204" s="6"/>
      <c r="U204" s="6"/>
      <c r="V204" s="6"/>
      <c r="W204" s="6"/>
      <c r="X204" s="6"/>
      <c r="Y204" s="6"/>
      <c r="Z204" s="6"/>
      <c r="AA204" s="6"/>
      <c r="AB204" s="6"/>
      <c r="AC204" s="12"/>
      <c r="AD204" s="12"/>
      <c r="AE204" s="12"/>
      <c r="AJ204" s="21"/>
    </row>
    <row r="205" spans="2:37" ht="11.25">
      <c r="B205" s="16"/>
      <c r="D205" s="4"/>
      <c r="E205" s="4"/>
      <c r="F205" s="4"/>
      <c r="AB205" s="5"/>
      <c r="AC205" s="8"/>
      <c r="AD205" s="8"/>
      <c r="AE205" s="8"/>
      <c r="AH205" s="2"/>
      <c r="AI205" s="2"/>
      <c r="AJ205" s="20"/>
      <c r="AK205" s="2"/>
    </row>
    <row r="206" spans="2:37" ht="11.25">
      <c r="B206" s="16"/>
      <c r="C206" s="2"/>
      <c r="D206" s="34"/>
      <c r="E206" s="34"/>
      <c r="F206" s="34"/>
      <c r="AB206" s="5"/>
      <c r="AC206" s="8"/>
      <c r="AD206" s="8"/>
      <c r="AE206" s="8"/>
      <c r="AI206" s="1"/>
      <c r="AJ206" s="20"/>
      <c r="AK206" s="2"/>
    </row>
    <row r="207" spans="2:37" ht="11.25">
      <c r="B207" s="17"/>
      <c r="C207" s="2"/>
      <c r="D207" s="34"/>
      <c r="E207" s="34"/>
      <c r="F207" s="34"/>
      <c r="G207" s="2"/>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2"/>
      <c r="AG207" s="2"/>
      <c r="AH207" s="2"/>
      <c r="AI207" s="2"/>
      <c r="AJ207" s="21"/>
      <c r="AK207" s="2"/>
    </row>
    <row r="208" spans="2:37" ht="11.25">
      <c r="B208" s="17"/>
      <c r="C208" s="2"/>
      <c r="D208" s="34"/>
      <c r="E208" s="34"/>
      <c r="F208" s="34"/>
      <c r="G208" s="2"/>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2"/>
      <c r="AG208" s="2"/>
      <c r="AH208" s="2"/>
      <c r="AI208" s="2"/>
      <c r="AJ208" s="21"/>
      <c r="AK208" s="2"/>
    </row>
    <row r="209" spans="2:37" ht="11.25">
      <c r="B209" s="18"/>
      <c r="C209" s="2"/>
      <c r="D209" s="34"/>
      <c r="E209" s="34"/>
      <c r="F209" s="34"/>
      <c r="AB209" s="5"/>
      <c r="AC209" s="8"/>
      <c r="AD209" s="8"/>
      <c r="AE209" s="8"/>
      <c r="AI209" s="1"/>
      <c r="AJ209" s="20"/>
      <c r="AK209" s="2"/>
    </row>
    <row r="210" spans="2:37" ht="11.25">
      <c r="B210" s="17"/>
      <c r="C210" s="2"/>
      <c r="D210" s="34"/>
      <c r="E210" s="34"/>
      <c r="F210" s="34"/>
      <c r="G210" s="2"/>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2"/>
      <c r="AG210" s="2"/>
      <c r="AH210" s="2"/>
      <c r="AI210" s="2"/>
      <c r="AJ210" s="21"/>
      <c r="AK210" s="2"/>
    </row>
    <row r="211" spans="2:37" ht="11.25">
      <c r="B211" s="17"/>
      <c r="C211" s="2"/>
      <c r="D211" s="34"/>
      <c r="E211" s="34"/>
      <c r="F211" s="34"/>
      <c r="G211" s="2"/>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2"/>
      <c r="AG211" s="2"/>
      <c r="AH211" s="2"/>
      <c r="AI211" s="2"/>
      <c r="AJ211" s="21"/>
      <c r="AK211" s="2"/>
    </row>
    <row r="212" spans="2:37" ht="11.25">
      <c r="B212" s="17"/>
      <c r="C212" s="2"/>
      <c r="D212" s="34"/>
      <c r="E212" s="34"/>
      <c r="F212" s="34"/>
      <c r="G212" s="2"/>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2"/>
      <c r="AG212" s="2"/>
      <c r="AH212" s="2"/>
      <c r="AI212" s="2"/>
      <c r="AJ212" s="21"/>
      <c r="AK212" s="2"/>
    </row>
    <row r="213" spans="2:37" ht="11.25">
      <c r="B213" s="17"/>
      <c r="C213" s="2"/>
      <c r="D213" s="34"/>
      <c r="E213" s="34"/>
      <c r="F213" s="34"/>
      <c r="G213" s="2"/>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2"/>
      <c r="AG213" s="2"/>
      <c r="AH213" s="2"/>
      <c r="AI213" s="2"/>
      <c r="AJ213" s="21"/>
      <c r="AK213" s="2"/>
    </row>
    <row r="214" spans="2:37" ht="11.25">
      <c r="B214" s="16"/>
      <c r="D214" s="4"/>
      <c r="E214" s="4"/>
      <c r="F214" s="4"/>
      <c r="AB214" s="5"/>
      <c r="AC214" s="8"/>
      <c r="AD214" s="8"/>
      <c r="AE214" s="8"/>
      <c r="AI214" s="1"/>
      <c r="AJ214" s="20"/>
      <c r="AK214" s="2"/>
    </row>
    <row r="215" spans="2:37" ht="11.25">
      <c r="B215" s="16"/>
      <c r="D215" s="4"/>
      <c r="E215" s="4"/>
      <c r="F215" s="4"/>
      <c r="AB215" s="5"/>
      <c r="AC215" s="8"/>
      <c r="AD215" s="8"/>
      <c r="AE215" s="8"/>
      <c r="AI215" s="1"/>
      <c r="AJ215" s="20"/>
      <c r="AK215" s="2"/>
    </row>
    <row r="216" spans="2:37" ht="11.25">
      <c r="B216" s="16"/>
      <c r="D216" s="4"/>
      <c r="E216" s="4"/>
      <c r="F216" s="4"/>
      <c r="AB216" s="5"/>
      <c r="AC216" s="8"/>
      <c r="AD216" s="8"/>
      <c r="AE216" s="8"/>
      <c r="AI216" s="1"/>
      <c r="AJ216" s="20"/>
      <c r="AK216" s="2"/>
    </row>
    <row r="217" spans="2:37" ht="11.25">
      <c r="B217" s="16"/>
      <c r="D217" s="4"/>
      <c r="E217" s="4"/>
      <c r="F217" s="4"/>
      <c r="AB217" s="5"/>
      <c r="AC217" s="8"/>
      <c r="AD217" s="8"/>
      <c r="AE217" s="8"/>
      <c r="AI217" s="1"/>
      <c r="AJ217" s="20"/>
      <c r="AK217" s="2"/>
    </row>
    <row r="218" spans="2:37" ht="11.25">
      <c r="B218" s="16"/>
      <c r="D218" s="4"/>
      <c r="E218" s="4"/>
      <c r="F218" s="4"/>
      <c r="AB218" s="5"/>
      <c r="AC218" s="8"/>
      <c r="AD218" s="8"/>
      <c r="AE218" s="8"/>
      <c r="AI218" s="1"/>
      <c r="AJ218" s="20"/>
      <c r="AK218" s="2"/>
    </row>
    <row r="219" spans="2:37" ht="11.25">
      <c r="B219" s="18"/>
      <c r="C219" s="3"/>
      <c r="D219" s="13"/>
      <c r="E219" s="13"/>
      <c r="F219" s="13"/>
      <c r="AB219" s="5"/>
      <c r="AC219" s="8"/>
      <c r="AD219" s="8"/>
      <c r="AE219" s="8"/>
      <c r="AI219" s="1"/>
      <c r="AJ219" s="20"/>
      <c r="AK219" s="2"/>
    </row>
    <row r="220" spans="2:37" ht="11.25">
      <c r="B220" s="17"/>
      <c r="D220" s="4"/>
      <c r="E220" s="4"/>
      <c r="F220" s="4"/>
      <c r="AB220" s="5"/>
      <c r="AC220" s="8"/>
      <c r="AD220" s="8"/>
      <c r="AE220" s="8"/>
      <c r="AI220" s="1"/>
      <c r="AJ220" s="20"/>
      <c r="AK220" s="2"/>
    </row>
    <row r="221" spans="2:37" ht="11.25">
      <c r="B221" s="16"/>
      <c r="D221" s="4"/>
      <c r="E221" s="4"/>
      <c r="F221" s="4"/>
      <c r="AB221" s="5"/>
      <c r="AC221" s="8"/>
      <c r="AD221" s="8"/>
      <c r="AE221" s="8"/>
      <c r="AI221" s="1"/>
      <c r="AJ221" s="20"/>
      <c r="AK221" s="2"/>
    </row>
    <row r="222" spans="2:37" ht="11.25">
      <c r="B222" s="17"/>
      <c r="D222" s="4"/>
      <c r="E222" s="4"/>
      <c r="F222" s="4"/>
      <c r="AB222" s="5"/>
      <c r="AC222" s="8"/>
      <c r="AD222" s="8"/>
      <c r="AE222" s="8"/>
      <c r="AI222" s="1"/>
      <c r="AJ222" s="20"/>
      <c r="AK222" s="2"/>
    </row>
    <row r="223" spans="2:37" ht="11.25">
      <c r="B223" s="16"/>
      <c r="D223" s="4"/>
      <c r="E223" s="4"/>
      <c r="F223" s="4"/>
      <c r="AB223" s="5"/>
      <c r="AC223" s="8"/>
      <c r="AD223" s="8"/>
      <c r="AE223" s="8"/>
      <c r="AI223" s="1"/>
      <c r="AJ223" s="20"/>
      <c r="AK223" s="2"/>
    </row>
    <row r="224" spans="2:37" ht="11.25">
      <c r="B224" s="16"/>
      <c r="D224" s="4"/>
      <c r="E224" s="4"/>
      <c r="F224" s="4"/>
      <c r="AB224" s="5"/>
      <c r="AC224" s="8"/>
      <c r="AD224" s="8"/>
      <c r="AE224" s="8"/>
      <c r="AI224" s="1"/>
      <c r="AJ224" s="20"/>
      <c r="AK224" s="2"/>
    </row>
    <row r="225" spans="2:37" ht="11.25">
      <c r="B225" s="16"/>
      <c r="D225" s="4"/>
      <c r="E225" s="4"/>
      <c r="F225" s="4"/>
      <c r="AB225" s="5"/>
      <c r="AC225" s="8"/>
      <c r="AD225" s="8"/>
      <c r="AE225" s="8"/>
      <c r="AI225" s="1"/>
      <c r="AJ225" s="20"/>
      <c r="AK225" s="2"/>
    </row>
    <row r="226" spans="2:37" ht="11.25">
      <c r="B226" s="16"/>
      <c r="D226" s="4"/>
      <c r="E226" s="4"/>
      <c r="F226" s="4"/>
      <c r="AB226" s="5"/>
      <c r="AC226" s="8"/>
      <c r="AD226" s="8"/>
      <c r="AE226" s="8"/>
      <c r="AI226" s="1"/>
      <c r="AJ226" s="20"/>
      <c r="AK226" s="2"/>
    </row>
    <row r="227" spans="2:37" ht="12" customHeight="1">
      <c r="B227" s="16"/>
      <c r="D227" s="4"/>
      <c r="E227" s="4"/>
      <c r="F227" s="4"/>
      <c r="AB227" s="5"/>
      <c r="AC227" s="8"/>
      <c r="AD227" s="8"/>
      <c r="AE227" s="8"/>
      <c r="AI227" s="1"/>
      <c r="AJ227" s="20"/>
      <c r="AK227" s="2"/>
    </row>
    <row r="228" spans="2:37" ht="11.25">
      <c r="B228" s="16"/>
      <c r="D228" s="4"/>
      <c r="E228" s="4"/>
      <c r="F228" s="4"/>
      <c r="AB228" s="5"/>
      <c r="AC228" s="8"/>
      <c r="AD228" s="8"/>
      <c r="AE228" s="8"/>
      <c r="AI228" s="1"/>
      <c r="AJ228" s="20"/>
      <c r="AK228" s="2"/>
    </row>
    <row r="229" spans="2:37" ht="11.25">
      <c r="B229" s="16"/>
      <c r="D229" s="4"/>
      <c r="E229" s="4"/>
      <c r="F229" s="4"/>
      <c r="AB229" s="5"/>
      <c r="AC229" s="8"/>
      <c r="AD229" s="8"/>
      <c r="AE229" s="8"/>
      <c r="AI229" s="1"/>
      <c r="AJ229" s="20"/>
      <c r="AK229" s="2"/>
    </row>
    <row r="230" spans="2:37" ht="11.25">
      <c r="B230" s="18"/>
      <c r="C230" s="3"/>
      <c r="D230" s="13"/>
      <c r="E230" s="13"/>
      <c r="F230" s="13"/>
      <c r="AB230" s="5"/>
      <c r="AC230" s="8"/>
      <c r="AD230" s="8"/>
      <c r="AE230" s="8"/>
      <c r="AI230" s="1"/>
      <c r="AJ230" s="20"/>
      <c r="AK230" s="2"/>
    </row>
    <row r="231" spans="2:37" ht="11.25">
      <c r="B231" s="17"/>
      <c r="D231" s="4"/>
      <c r="E231" s="4"/>
      <c r="F231" s="4"/>
      <c r="AB231" s="5"/>
      <c r="AC231" s="8"/>
      <c r="AD231" s="8"/>
      <c r="AE231" s="8"/>
      <c r="AI231" s="1"/>
      <c r="AJ231" s="20"/>
      <c r="AK231" s="2"/>
    </row>
    <row r="232" spans="2:37" ht="11.25">
      <c r="B232" s="17"/>
      <c r="D232" s="4"/>
      <c r="E232" s="4"/>
      <c r="F232" s="4"/>
      <c r="AB232" s="5"/>
      <c r="AC232" s="8"/>
      <c r="AD232" s="8"/>
      <c r="AE232" s="8"/>
      <c r="AI232" s="1"/>
      <c r="AJ232" s="20"/>
      <c r="AK232" s="2"/>
    </row>
    <row r="233" spans="2:37" ht="11.25">
      <c r="B233" s="16"/>
      <c r="D233" s="4"/>
      <c r="E233" s="4"/>
      <c r="F233" s="4"/>
      <c r="AB233" s="5"/>
      <c r="AC233" s="8"/>
      <c r="AD233" s="8"/>
      <c r="AE233" s="8"/>
      <c r="AI233" s="1"/>
      <c r="AJ233" s="20"/>
      <c r="AK233" s="2"/>
    </row>
    <row r="234" spans="2:37" ht="11.25">
      <c r="B234" s="17"/>
      <c r="C234" s="2"/>
      <c r="D234" s="34"/>
      <c r="E234" s="34"/>
      <c r="F234" s="34"/>
      <c r="AB234" s="5"/>
      <c r="AC234" s="8"/>
      <c r="AD234" s="8"/>
      <c r="AE234" s="8"/>
      <c r="AI234" s="1"/>
      <c r="AJ234" s="20"/>
      <c r="AK234" s="2"/>
    </row>
    <row r="235" spans="2:37" ht="11.25">
      <c r="B235" s="16"/>
      <c r="D235" s="4"/>
      <c r="E235" s="4"/>
      <c r="F235" s="4"/>
      <c r="AB235" s="5"/>
      <c r="AC235" s="8"/>
      <c r="AD235" s="8"/>
      <c r="AE235" s="8"/>
      <c r="AI235" s="1"/>
      <c r="AJ235" s="20"/>
      <c r="AK235" s="2"/>
    </row>
    <row r="236" spans="2:37" ht="11.25">
      <c r="B236" s="17"/>
      <c r="C236" s="3"/>
      <c r="D236" s="13"/>
      <c r="E236" s="13"/>
      <c r="F236" s="13"/>
      <c r="AB236" s="5"/>
      <c r="AC236" s="8"/>
      <c r="AD236" s="8"/>
      <c r="AE236" s="8"/>
      <c r="AI236" s="1"/>
      <c r="AJ236" s="20"/>
      <c r="AK236" s="2"/>
    </row>
    <row r="237" spans="2:37" ht="11.25">
      <c r="B237" s="16"/>
      <c r="D237" s="4"/>
      <c r="E237" s="4"/>
      <c r="F237" s="4"/>
      <c r="AB237" s="5"/>
      <c r="AC237" s="8"/>
      <c r="AD237" s="8"/>
      <c r="AE237" s="8"/>
      <c r="AI237" s="1"/>
      <c r="AJ237" s="20"/>
      <c r="AK237" s="2"/>
    </row>
    <row r="238" spans="2:37" ht="11.25">
      <c r="B238" s="17"/>
      <c r="C238" s="2"/>
      <c r="D238" s="34"/>
      <c r="E238" s="34"/>
      <c r="F238" s="34"/>
      <c r="AB238" s="5"/>
      <c r="AC238" s="8"/>
      <c r="AD238" s="8"/>
      <c r="AE238" s="8"/>
      <c r="AI238" s="1"/>
      <c r="AJ238" s="20"/>
      <c r="AK238" s="2"/>
    </row>
    <row r="239" spans="2:37" ht="11.25">
      <c r="B239" s="16"/>
      <c r="D239" s="4"/>
      <c r="E239" s="4"/>
      <c r="F239" s="4"/>
      <c r="AB239" s="5"/>
      <c r="AC239" s="8"/>
      <c r="AD239" s="8"/>
      <c r="AE239" s="8"/>
      <c r="AI239" s="1"/>
      <c r="AJ239" s="20"/>
      <c r="AK239" s="2"/>
    </row>
    <row r="240" spans="2:37" ht="11.25">
      <c r="B240" s="16"/>
      <c r="D240" s="4"/>
      <c r="E240" s="4"/>
      <c r="F240" s="4"/>
      <c r="AB240" s="5"/>
      <c r="AC240" s="8"/>
      <c r="AD240" s="8"/>
      <c r="AE240" s="8"/>
      <c r="AI240" s="1"/>
      <c r="AJ240" s="20"/>
      <c r="AK240" s="2"/>
    </row>
    <row r="241" spans="2:37" ht="11.25">
      <c r="B241" s="16"/>
      <c r="D241" s="4"/>
      <c r="E241" s="4"/>
      <c r="F241" s="4"/>
      <c r="AB241" s="5"/>
      <c r="AC241" s="5"/>
      <c r="AD241" s="5"/>
      <c r="AE241" s="5"/>
      <c r="AI241" s="1"/>
      <c r="AJ241" s="20"/>
      <c r="AK241" s="2"/>
    </row>
    <row r="242" spans="2:37" ht="11.25">
      <c r="B242" s="16"/>
      <c r="D242" s="4"/>
      <c r="E242" s="4"/>
      <c r="F242" s="4"/>
      <c r="AB242" s="5"/>
      <c r="AC242" s="5"/>
      <c r="AD242" s="5"/>
      <c r="AE242" s="5"/>
      <c r="AI242" s="1"/>
      <c r="AJ242" s="20"/>
      <c r="AK242" s="2"/>
    </row>
    <row r="243" spans="2:37" ht="11.25">
      <c r="B243" s="17"/>
      <c r="C243" s="3"/>
      <c r="D243" s="13"/>
      <c r="E243" s="13"/>
      <c r="F243" s="13"/>
      <c r="AB243" s="5"/>
      <c r="AC243" s="8"/>
      <c r="AD243" s="8"/>
      <c r="AE243" s="8"/>
      <c r="AI243" s="1"/>
      <c r="AJ243" s="20"/>
      <c r="AK243" s="2"/>
    </row>
    <row r="244" spans="2:37" ht="11.25">
      <c r="B244" s="16"/>
      <c r="D244" s="4"/>
      <c r="E244" s="4"/>
      <c r="F244" s="4"/>
      <c r="AB244" s="5"/>
      <c r="AC244" s="8"/>
      <c r="AD244" s="8"/>
      <c r="AE244" s="8"/>
      <c r="AI244" s="1"/>
      <c r="AJ244" s="20"/>
      <c r="AK244" s="2"/>
    </row>
    <row r="245" spans="2:37" ht="11.25">
      <c r="B245" s="16"/>
      <c r="D245" s="4"/>
      <c r="E245" s="4"/>
      <c r="F245" s="4"/>
      <c r="AB245" s="5"/>
      <c r="AC245" s="8"/>
      <c r="AD245" s="8"/>
      <c r="AE245" s="8"/>
      <c r="AI245" s="1"/>
      <c r="AJ245" s="20"/>
      <c r="AK245" s="2"/>
    </row>
    <row r="246" spans="2:37" ht="11.25">
      <c r="B246" s="16"/>
      <c r="C246" s="2"/>
      <c r="D246" s="34"/>
      <c r="E246" s="34"/>
      <c r="F246" s="34"/>
      <c r="AB246" s="5"/>
      <c r="AC246" s="8"/>
      <c r="AD246" s="8"/>
      <c r="AE246" s="8"/>
      <c r="AI246" s="1"/>
      <c r="AJ246" s="20"/>
      <c r="AK246" s="2"/>
    </row>
    <row r="247" spans="2:37" ht="11.25">
      <c r="B247" s="16"/>
      <c r="C247" s="2"/>
      <c r="D247" s="34"/>
      <c r="E247" s="34"/>
      <c r="F247" s="34"/>
      <c r="AB247" s="5"/>
      <c r="AC247" s="8"/>
      <c r="AD247" s="8"/>
      <c r="AE247" s="8"/>
      <c r="AI247" s="1"/>
      <c r="AJ247" s="20"/>
      <c r="AK247" s="2"/>
    </row>
    <row r="248" spans="2:37" ht="11.25">
      <c r="B248" s="17"/>
      <c r="D248" s="4"/>
      <c r="E248" s="4"/>
      <c r="F248" s="4"/>
      <c r="G248" s="2"/>
      <c r="AB248" s="5"/>
      <c r="AC248" s="8"/>
      <c r="AD248" s="8"/>
      <c r="AE248" s="8"/>
      <c r="AG248" s="2"/>
      <c r="AI248" s="1"/>
      <c r="AJ248" s="20"/>
      <c r="AK248" s="2"/>
    </row>
    <row r="249" spans="2:37" ht="11.25">
      <c r="B249" s="17"/>
      <c r="D249" s="4"/>
      <c r="E249" s="4"/>
      <c r="F249" s="4"/>
      <c r="G249" s="2"/>
      <c r="AB249" s="5"/>
      <c r="AC249" s="8"/>
      <c r="AD249" s="8"/>
      <c r="AE249" s="8"/>
      <c r="AG249" s="2"/>
      <c r="AI249" s="1"/>
      <c r="AJ249" s="20"/>
      <c r="AK249" s="2"/>
    </row>
    <row r="250" spans="2:37" ht="11.25">
      <c r="B250" s="16"/>
      <c r="D250" s="4"/>
      <c r="E250" s="4"/>
      <c r="F250" s="4"/>
      <c r="AB250" s="5"/>
      <c r="AC250" s="8"/>
      <c r="AD250" s="8"/>
      <c r="AE250" s="8"/>
      <c r="AI250" s="1"/>
      <c r="AJ250" s="20"/>
      <c r="AK250" s="2"/>
    </row>
    <row r="251" spans="2:37" ht="11.25">
      <c r="B251" s="17"/>
      <c r="C251" s="2"/>
      <c r="D251" s="34"/>
      <c r="E251" s="34"/>
      <c r="F251" s="34"/>
      <c r="AB251" s="5"/>
      <c r="AC251" s="8"/>
      <c r="AD251" s="8"/>
      <c r="AE251" s="8"/>
      <c r="AI251" s="1"/>
      <c r="AJ251" s="20"/>
      <c r="AK251" s="2"/>
    </row>
    <row r="252" spans="2:37" ht="11.25">
      <c r="B252" s="17"/>
      <c r="C252" s="9"/>
      <c r="D252" s="35"/>
      <c r="E252" s="35"/>
      <c r="F252" s="35"/>
      <c r="AB252" s="5"/>
      <c r="AC252" s="8"/>
      <c r="AD252" s="8"/>
      <c r="AE252" s="8"/>
      <c r="AI252" s="1"/>
      <c r="AJ252" s="20"/>
      <c r="AK252" s="2"/>
    </row>
    <row r="253" spans="2:37" ht="11.25">
      <c r="B253" s="17"/>
      <c r="C253" s="9"/>
      <c r="D253" s="35"/>
      <c r="E253" s="35"/>
      <c r="F253" s="35"/>
      <c r="AB253" s="5"/>
      <c r="AC253" s="8"/>
      <c r="AD253" s="8"/>
      <c r="AE253" s="8"/>
      <c r="AI253" s="1"/>
      <c r="AJ253" s="20"/>
      <c r="AK253" s="2"/>
    </row>
    <row r="254" spans="2:37" ht="11.25">
      <c r="B254" s="17"/>
      <c r="D254" s="4"/>
      <c r="E254" s="4"/>
      <c r="F254" s="4"/>
      <c r="AB254" s="5"/>
      <c r="AC254" s="8"/>
      <c r="AD254" s="8"/>
      <c r="AE254" s="8"/>
      <c r="AI254" s="1"/>
      <c r="AJ254" s="20"/>
      <c r="AK254" s="2"/>
    </row>
    <row r="255" spans="2:37" ht="11.25">
      <c r="B255" s="16"/>
      <c r="D255" s="4"/>
      <c r="E255" s="4"/>
      <c r="F255" s="4"/>
      <c r="AB255" s="5"/>
      <c r="AC255" s="8"/>
      <c r="AD255" s="8"/>
      <c r="AE255" s="8"/>
      <c r="AI255" s="1"/>
      <c r="AJ255" s="20"/>
      <c r="AK255" s="2"/>
    </row>
    <row r="256" spans="2:37" ht="11.25">
      <c r="B256" s="16"/>
      <c r="D256" s="4"/>
      <c r="E256" s="4"/>
      <c r="F256" s="4"/>
      <c r="AB256" s="5"/>
      <c r="AC256" s="8"/>
      <c r="AD256" s="8"/>
      <c r="AE256" s="8"/>
      <c r="AI256" s="1"/>
      <c r="AJ256" s="20"/>
      <c r="AK256" s="2"/>
    </row>
    <row r="257" spans="2:37" ht="11.25">
      <c r="B257" s="16"/>
      <c r="D257" s="4"/>
      <c r="E257" s="4"/>
      <c r="F257" s="4"/>
      <c r="AB257" s="5"/>
      <c r="AC257" s="8"/>
      <c r="AD257" s="8"/>
      <c r="AE257" s="8"/>
      <c r="AI257" s="1"/>
      <c r="AJ257" s="20"/>
      <c r="AK257" s="2"/>
    </row>
    <row r="258" spans="2:37" ht="11.25">
      <c r="B258" s="16"/>
      <c r="D258" s="4"/>
      <c r="E258" s="4"/>
      <c r="F258" s="4"/>
      <c r="AB258" s="5"/>
      <c r="AC258" s="8"/>
      <c r="AD258" s="8"/>
      <c r="AE258" s="8"/>
      <c r="AI258" s="1"/>
      <c r="AJ258" s="20"/>
      <c r="AK258" s="2"/>
    </row>
    <row r="259" spans="2:37" ht="11.25">
      <c r="B259" s="17"/>
      <c r="D259" s="4"/>
      <c r="E259" s="4"/>
      <c r="F259" s="4"/>
      <c r="AB259" s="5"/>
      <c r="AC259" s="8"/>
      <c r="AD259" s="8"/>
      <c r="AE259" s="8"/>
      <c r="AH259" s="2"/>
      <c r="AI259" s="2"/>
      <c r="AJ259" s="20"/>
      <c r="AK259" s="2"/>
    </row>
    <row r="260" spans="2:37" ht="11.25">
      <c r="B260" s="16"/>
      <c r="D260" s="4"/>
      <c r="E260" s="4"/>
      <c r="F260" s="4"/>
      <c r="AB260" s="5"/>
      <c r="AC260" s="8"/>
      <c r="AD260" s="8"/>
      <c r="AE260" s="8"/>
      <c r="AI260" s="1"/>
      <c r="AJ260" s="20"/>
      <c r="AK260" s="2"/>
    </row>
    <row r="261" spans="2:37" ht="11.25">
      <c r="B261" s="16"/>
      <c r="D261" s="4"/>
      <c r="E261" s="4"/>
      <c r="F261" s="4"/>
      <c r="AB261" s="5"/>
      <c r="AC261" s="8"/>
      <c r="AD261" s="8"/>
      <c r="AE261" s="8"/>
      <c r="AI261" s="1"/>
      <c r="AJ261" s="20"/>
      <c r="AK261" s="2"/>
    </row>
    <row r="262" spans="2:37" ht="11.25">
      <c r="B262" s="17"/>
      <c r="D262" s="4"/>
      <c r="E262" s="4"/>
      <c r="F262" s="4"/>
      <c r="AB262" s="5"/>
      <c r="AC262" s="8"/>
      <c r="AD262" s="8"/>
      <c r="AE262" s="8"/>
      <c r="AI262" s="1"/>
      <c r="AJ262" s="20"/>
      <c r="AK262" s="2"/>
    </row>
    <row r="263" spans="2:37" ht="11.25">
      <c r="B263" s="17"/>
      <c r="D263" s="4"/>
      <c r="E263" s="4"/>
      <c r="F263" s="4"/>
      <c r="AB263" s="5"/>
      <c r="AC263" s="8"/>
      <c r="AD263" s="8"/>
      <c r="AE263" s="8"/>
      <c r="AI263" s="1"/>
      <c r="AJ263" s="20"/>
      <c r="AK263" s="2"/>
    </row>
    <row r="264" spans="2:37" ht="11.25">
      <c r="B264" s="17"/>
      <c r="C264" s="3"/>
      <c r="D264" s="13"/>
      <c r="E264" s="13"/>
      <c r="F264" s="13"/>
      <c r="AB264" s="5"/>
      <c r="AC264" s="8"/>
      <c r="AD264" s="8"/>
      <c r="AE264" s="8"/>
      <c r="AI264" s="1"/>
      <c r="AJ264" s="20"/>
      <c r="AK264" s="2"/>
    </row>
    <row r="265" spans="2:37" ht="11.25">
      <c r="B265" s="16"/>
      <c r="D265" s="4"/>
      <c r="E265" s="4"/>
      <c r="F265" s="4"/>
      <c r="AB265" s="5"/>
      <c r="AC265" s="8"/>
      <c r="AD265" s="8"/>
      <c r="AE265" s="8"/>
      <c r="AI265" s="1"/>
      <c r="AJ265" s="20"/>
      <c r="AK265" s="2"/>
    </row>
    <row r="266" spans="2:37" ht="11.25">
      <c r="B266" s="19"/>
      <c r="C266" s="14"/>
      <c r="D266" s="36"/>
      <c r="E266" s="36"/>
      <c r="F266" s="36"/>
      <c r="AB266" s="5"/>
      <c r="AC266" s="8"/>
      <c r="AD266" s="8"/>
      <c r="AE266" s="8"/>
      <c r="AI266" s="1"/>
      <c r="AJ266" s="22"/>
      <c r="AK266" s="2"/>
    </row>
    <row r="267" spans="2:37" ht="11.25">
      <c r="B267" s="17"/>
      <c r="D267" s="4"/>
      <c r="E267" s="4"/>
      <c r="F267" s="4"/>
      <c r="AB267" s="5"/>
      <c r="AC267" s="8"/>
      <c r="AD267" s="8"/>
      <c r="AE267" s="8"/>
      <c r="AI267" s="1"/>
      <c r="AJ267" s="20"/>
      <c r="AK267" s="2"/>
    </row>
    <row r="268" spans="2:37" ht="11.25">
      <c r="B268" s="17"/>
      <c r="D268" s="4"/>
      <c r="E268" s="4"/>
      <c r="F268" s="4"/>
      <c r="AB268" s="5"/>
      <c r="AC268" s="8"/>
      <c r="AD268" s="8"/>
      <c r="AE268" s="8"/>
      <c r="AI268" s="1"/>
      <c r="AJ268" s="20"/>
      <c r="AK268" s="2"/>
    </row>
    <row r="269" spans="2:37" ht="11.25">
      <c r="B269" s="17"/>
      <c r="D269" s="4"/>
      <c r="E269" s="4"/>
      <c r="F269" s="4"/>
      <c r="AB269" s="5"/>
      <c r="AC269" s="8"/>
      <c r="AD269" s="8"/>
      <c r="AE269" s="8"/>
      <c r="AI269" s="1"/>
      <c r="AJ269" s="20"/>
      <c r="AK269" s="2"/>
    </row>
    <row r="270" spans="2:37" ht="11.25">
      <c r="B270" s="17"/>
      <c r="C270" s="3"/>
      <c r="D270" s="13"/>
      <c r="E270" s="13"/>
      <c r="F270" s="13"/>
      <c r="AB270" s="5"/>
      <c r="AC270" s="8"/>
      <c r="AD270" s="8"/>
      <c r="AE270" s="8"/>
      <c r="AI270" s="1"/>
      <c r="AJ270" s="20"/>
      <c r="AK270" s="2"/>
    </row>
    <row r="271" spans="2:37" ht="11.25">
      <c r="B271" s="17"/>
      <c r="D271" s="4"/>
      <c r="E271" s="4"/>
      <c r="F271" s="4"/>
      <c r="AB271" s="5"/>
      <c r="AC271" s="8"/>
      <c r="AD271" s="8"/>
      <c r="AE271" s="8"/>
      <c r="AI271" s="1"/>
      <c r="AJ271" s="20"/>
      <c r="AK271" s="2"/>
    </row>
    <row r="272" spans="2:37" ht="11.25">
      <c r="B272" s="17"/>
      <c r="D272" s="4"/>
      <c r="E272" s="4"/>
      <c r="F272" s="4"/>
      <c r="AB272" s="5"/>
      <c r="AC272" s="8"/>
      <c r="AD272" s="8"/>
      <c r="AE272" s="8"/>
      <c r="AI272" s="1"/>
      <c r="AJ272" s="20"/>
      <c r="AK272" s="2"/>
    </row>
    <row r="273" spans="2:37" ht="11.25">
      <c r="B273" s="17"/>
      <c r="C273" s="3"/>
      <c r="D273" s="13"/>
      <c r="E273" s="13"/>
      <c r="F273" s="13"/>
      <c r="AB273" s="5"/>
      <c r="AC273" s="8"/>
      <c r="AD273" s="8"/>
      <c r="AE273" s="8"/>
      <c r="AI273" s="1"/>
      <c r="AJ273" s="20"/>
      <c r="AK273" s="2"/>
    </row>
    <row r="274" spans="2:37" ht="11.25">
      <c r="B274" s="17"/>
      <c r="C274" s="2"/>
      <c r="D274" s="34"/>
      <c r="E274" s="34"/>
      <c r="F274" s="34"/>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2"/>
      <c r="AH274" s="2"/>
      <c r="AI274" s="2"/>
      <c r="AJ274" s="21"/>
      <c r="AK274" s="2"/>
    </row>
    <row r="275" spans="2:37" ht="11.25">
      <c r="B275" s="28"/>
      <c r="C275" s="29"/>
      <c r="D275" s="37"/>
      <c r="E275" s="37"/>
      <c r="F275" s="37"/>
      <c r="G275" s="32"/>
      <c r="H275" s="30"/>
      <c r="I275" s="30"/>
      <c r="J275" s="30"/>
      <c r="K275" s="30"/>
      <c r="L275" s="30"/>
      <c r="M275" s="30"/>
      <c r="N275" s="30"/>
      <c r="O275" s="30"/>
      <c r="P275" s="30"/>
      <c r="Q275" s="30"/>
      <c r="R275" s="30"/>
      <c r="S275" s="30"/>
      <c r="T275" s="30"/>
      <c r="U275" s="30"/>
      <c r="V275" s="30"/>
      <c r="W275" s="30"/>
      <c r="X275" s="30"/>
      <c r="Y275" s="30"/>
      <c r="Z275" s="30"/>
      <c r="AA275" s="30"/>
      <c r="AB275" s="30"/>
      <c r="AC275" s="31"/>
      <c r="AD275" s="31"/>
      <c r="AE275" s="31"/>
      <c r="AF275" s="32"/>
      <c r="AG275" s="32"/>
      <c r="AH275" s="32"/>
      <c r="AI275" s="32"/>
      <c r="AJ275" s="33"/>
      <c r="AK275" s="39"/>
    </row>
    <row r="276" spans="2:37">
      <c r="B276"/>
      <c r="C276"/>
      <c r="D276"/>
      <c r="E276"/>
      <c r="F276"/>
      <c r="G276"/>
      <c r="H276"/>
      <c r="I276"/>
      <c r="J276"/>
      <c r="K276"/>
      <c r="L276"/>
      <c r="M276"/>
      <c r="N276"/>
      <c r="O276"/>
      <c r="P276"/>
      <c r="Q276"/>
      <c r="R276"/>
      <c r="S276"/>
      <c r="T276"/>
      <c r="U276"/>
      <c r="V276"/>
      <c r="W276"/>
      <c r="X276"/>
      <c r="Y276"/>
      <c r="Z276"/>
      <c r="AA276"/>
      <c r="AB276"/>
      <c r="AC276"/>
      <c r="AD276"/>
      <c r="AF276"/>
      <c r="AG276"/>
      <c r="AH276"/>
      <c r="AJ276"/>
      <c r="AK276"/>
    </row>
  </sheetData>
  <pageMargins left="0.25" right="0.25" top="0.25" bottom="0.25" header="0.3" footer="0.3"/>
  <pageSetup paperSize="5" scale="42" fitToHeight="6" orientation="landscape"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sheetPr>
    <pageSetUpPr fitToPage="1"/>
  </sheetPr>
  <dimension ref="A1:XFD277"/>
  <sheetViews>
    <sheetView workbookViewId="0">
      <pane xSplit="3" ySplit="2" topLeftCell="D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0" style="1" customWidth="1"/>
    <col min="3" max="3" width="37.42578125" style="1" customWidth="1"/>
    <col min="4" max="4" width="5.5703125" style="1" customWidth="1"/>
    <col min="5" max="6" width="4.7109375" style="1" customWidth="1"/>
    <col min="7" max="7" width="13.14062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2" max="32" width="13.28515625" style="1" customWidth="1"/>
    <col min="33" max="33" width="50.570312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8 16384:16384">
      <c r="E1" s="44"/>
      <c r="F1" s="44"/>
      <c r="H1" s="58" t="s">
        <v>3</v>
      </c>
      <c r="I1" s="58"/>
      <c r="J1" s="58"/>
      <c r="K1" s="58"/>
      <c r="L1" s="58"/>
      <c r="M1" s="58"/>
      <c r="N1" s="58"/>
      <c r="O1" s="58"/>
      <c r="P1" s="58"/>
      <c r="Q1" s="58"/>
      <c r="R1" s="58"/>
      <c r="S1" s="58"/>
      <c r="T1" s="58"/>
      <c r="U1" s="58"/>
      <c r="V1" s="58"/>
      <c r="W1" s="58"/>
      <c r="X1" s="59"/>
      <c r="Y1" s="60"/>
      <c r="Z1" s="89" t="s">
        <v>1027</v>
      </c>
      <c r="AA1" s="60"/>
      <c r="AB1" s="61"/>
      <c r="AE1" s="1"/>
      <c r="AI1" s="1"/>
    </row>
    <row r="2" spans="1:38 16384:16384"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8 16384:16384" s="2" customFormat="1" ht="11.25">
      <c r="A3" s="2" t="s">
        <v>647</v>
      </c>
      <c r="B3" s="17" t="s">
        <v>633</v>
      </c>
      <c r="C3" s="2" t="s">
        <v>627</v>
      </c>
      <c r="D3" s="34" t="s">
        <v>387</v>
      </c>
      <c r="E3" s="34"/>
      <c r="F3" s="34"/>
      <c r="G3" s="2">
        <v>5</v>
      </c>
      <c r="H3" s="6"/>
      <c r="I3" s="6"/>
      <c r="J3" s="6" t="s">
        <v>388</v>
      </c>
      <c r="K3" s="6"/>
      <c r="L3" s="6" t="s">
        <v>388</v>
      </c>
      <c r="M3" s="6" t="s">
        <v>388</v>
      </c>
      <c r="N3" s="6" t="s">
        <v>388</v>
      </c>
      <c r="O3" s="6"/>
      <c r="P3" s="6" t="s">
        <v>388</v>
      </c>
      <c r="Q3" s="6"/>
      <c r="R3" s="6"/>
      <c r="S3" s="6"/>
      <c r="T3" s="6"/>
      <c r="U3" s="6"/>
      <c r="V3" s="6"/>
      <c r="W3" s="6"/>
      <c r="X3" s="6"/>
      <c r="Y3" s="6"/>
      <c r="Z3" s="6"/>
      <c r="AA3" s="6"/>
      <c r="AB3" s="6"/>
      <c r="AC3" s="12"/>
      <c r="AD3" s="12"/>
      <c r="AE3" s="12" t="s">
        <v>648</v>
      </c>
      <c r="AF3" s="2" t="s">
        <v>641</v>
      </c>
      <c r="AJ3" s="21"/>
      <c r="AK3" s="38"/>
    </row>
    <row r="4" spans="1:38 16384:16384" s="2" customFormat="1" ht="11.25">
      <c r="A4" s="2" t="s">
        <v>649</v>
      </c>
      <c r="B4" s="17" t="s">
        <v>634</v>
      </c>
      <c r="C4" s="2" t="s">
        <v>628</v>
      </c>
      <c r="D4" s="34" t="s">
        <v>387</v>
      </c>
      <c r="E4" s="34"/>
      <c r="F4" s="34"/>
      <c r="G4" s="2">
        <v>1</v>
      </c>
      <c r="H4" s="6"/>
      <c r="I4" s="6"/>
      <c r="J4" s="6"/>
      <c r="K4" s="6"/>
      <c r="L4" s="6"/>
      <c r="M4" s="6" t="s">
        <v>388</v>
      </c>
      <c r="N4" s="6"/>
      <c r="O4" s="6"/>
      <c r="P4" s="6" t="s">
        <v>388</v>
      </c>
      <c r="Q4" s="6"/>
      <c r="R4" s="6"/>
      <c r="S4" s="6"/>
      <c r="T4" s="6"/>
      <c r="U4" s="6"/>
      <c r="V4" s="6"/>
      <c r="W4" s="6"/>
      <c r="X4" s="6"/>
      <c r="Y4" s="6"/>
      <c r="Z4" s="6"/>
      <c r="AA4" s="6"/>
      <c r="AB4" s="6"/>
      <c r="AC4" s="12"/>
      <c r="AD4" s="12"/>
      <c r="AE4" s="12" t="s">
        <v>648</v>
      </c>
      <c r="AF4" s="2" t="s">
        <v>389</v>
      </c>
      <c r="AG4" s="2" t="s">
        <v>650</v>
      </c>
      <c r="AJ4" s="21"/>
    </row>
    <row r="5" spans="1:38 16384:16384" s="2" customFormat="1" ht="11.25">
      <c r="A5" s="2" t="s">
        <v>651</v>
      </c>
      <c r="B5" s="17" t="s">
        <v>635</v>
      </c>
      <c r="C5" s="2" t="s">
        <v>629</v>
      </c>
      <c r="D5" s="34" t="s">
        <v>387</v>
      </c>
      <c r="E5" s="34"/>
      <c r="F5" s="34"/>
      <c r="G5" s="2">
        <v>3</v>
      </c>
      <c r="H5" s="6"/>
      <c r="I5" s="6"/>
      <c r="J5" s="6" t="s">
        <v>388</v>
      </c>
      <c r="K5" s="6"/>
      <c r="L5" s="6"/>
      <c r="M5" s="6" t="s">
        <v>388</v>
      </c>
      <c r="N5" s="6"/>
      <c r="O5" s="6"/>
      <c r="P5" s="6" t="s">
        <v>388</v>
      </c>
      <c r="Q5" s="6"/>
      <c r="R5" s="6"/>
      <c r="S5" s="6"/>
      <c r="T5" s="6"/>
      <c r="U5" s="6"/>
      <c r="V5" s="6"/>
      <c r="W5" s="6"/>
      <c r="X5" s="6"/>
      <c r="Y5" s="6"/>
      <c r="Z5" s="6"/>
      <c r="AA5" s="6"/>
      <c r="AB5" s="6"/>
      <c r="AC5" s="12"/>
      <c r="AD5" s="12"/>
      <c r="AE5" s="12" t="s">
        <v>648</v>
      </c>
      <c r="AF5" s="2" t="s">
        <v>389</v>
      </c>
      <c r="AG5" s="2" t="s">
        <v>652</v>
      </c>
      <c r="AJ5" s="21"/>
    </row>
    <row r="6" spans="1:38 16384:16384" s="2" customFormat="1" ht="11.25">
      <c r="A6" s="2" t="s">
        <v>644</v>
      </c>
      <c r="B6" s="17" t="s">
        <v>636</v>
      </c>
      <c r="C6" s="45" t="s">
        <v>1009</v>
      </c>
      <c r="D6" s="34" t="s">
        <v>387</v>
      </c>
      <c r="E6" s="34"/>
      <c r="F6" s="34"/>
      <c r="G6" s="2">
        <v>4</v>
      </c>
      <c r="H6" s="6"/>
      <c r="I6" s="6"/>
      <c r="J6" s="6" t="s">
        <v>388</v>
      </c>
      <c r="K6" s="6"/>
      <c r="L6" s="6" t="s">
        <v>388</v>
      </c>
      <c r="M6" s="6" t="s">
        <v>388</v>
      </c>
      <c r="N6" s="6" t="s">
        <v>388</v>
      </c>
      <c r="O6" s="6"/>
      <c r="P6" s="6" t="s">
        <v>388</v>
      </c>
      <c r="Q6" s="6"/>
      <c r="R6" s="6"/>
      <c r="S6" s="6"/>
      <c r="T6" s="6"/>
      <c r="U6" s="6"/>
      <c r="V6" s="6"/>
      <c r="W6" s="6"/>
      <c r="X6" s="6"/>
      <c r="Y6" s="6"/>
      <c r="Z6" s="6"/>
      <c r="AA6" s="6"/>
      <c r="AB6" s="6"/>
      <c r="AC6" s="12"/>
      <c r="AD6" s="12" t="s">
        <v>388</v>
      </c>
      <c r="AE6" s="12" t="s">
        <v>645</v>
      </c>
      <c r="AF6" s="2" t="s">
        <v>389</v>
      </c>
      <c r="AJ6" s="21" t="s">
        <v>653</v>
      </c>
      <c r="AK6" s="2" t="s">
        <v>646</v>
      </c>
    </row>
    <row r="7" spans="1:38 16384:16384" s="2" customFormat="1" ht="11.25">
      <c r="A7" s="2" t="s">
        <v>1715</v>
      </c>
      <c r="B7" s="17" t="s">
        <v>637</v>
      </c>
      <c r="C7" s="2" t="s">
        <v>630</v>
      </c>
      <c r="D7" s="34" t="s">
        <v>387</v>
      </c>
      <c r="E7" s="34"/>
      <c r="F7" s="34"/>
      <c r="G7" s="2">
        <v>2</v>
      </c>
      <c r="H7" s="6"/>
      <c r="I7" s="6"/>
      <c r="J7" s="6"/>
      <c r="K7" s="6" t="s">
        <v>388</v>
      </c>
      <c r="L7" s="6"/>
      <c r="M7" s="6" t="s">
        <v>388</v>
      </c>
      <c r="N7" s="6"/>
      <c r="O7" s="6"/>
      <c r="P7" s="6"/>
      <c r="Q7" s="6"/>
      <c r="R7" s="6" t="s">
        <v>388</v>
      </c>
      <c r="S7" s="6"/>
      <c r="T7" s="6"/>
      <c r="U7" s="6" t="s">
        <v>388</v>
      </c>
      <c r="V7" s="6"/>
      <c r="W7" s="6" t="s">
        <v>388</v>
      </c>
      <c r="X7" s="6"/>
      <c r="Y7" s="6"/>
      <c r="Z7" s="6"/>
      <c r="AA7" s="6"/>
      <c r="AB7" s="6"/>
      <c r="AC7" s="12"/>
      <c r="AD7" s="12"/>
      <c r="AE7" s="12" t="s">
        <v>668</v>
      </c>
      <c r="AF7" s="2" t="s">
        <v>389</v>
      </c>
      <c r="AG7" s="2" t="s">
        <v>1716</v>
      </c>
      <c r="AJ7" s="21"/>
    </row>
    <row r="8" spans="1:38 16384:16384" s="2" customFormat="1" ht="11.25">
      <c r="A8" s="2" t="s">
        <v>663</v>
      </c>
      <c r="B8" s="17" t="s">
        <v>638</v>
      </c>
      <c r="C8" s="2" t="s">
        <v>631</v>
      </c>
      <c r="D8" s="34" t="s">
        <v>387</v>
      </c>
      <c r="E8" s="34"/>
      <c r="F8" s="34"/>
      <c r="G8" s="2">
        <v>2</v>
      </c>
      <c r="H8" s="6"/>
      <c r="I8" s="6"/>
      <c r="J8" s="6"/>
      <c r="K8" s="6" t="s">
        <v>388</v>
      </c>
      <c r="L8" s="6"/>
      <c r="M8" s="6" t="s">
        <v>388</v>
      </c>
      <c r="N8" s="6"/>
      <c r="O8" s="6"/>
      <c r="P8" s="6"/>
      <c r="Q8" s="6"/>
      <c r="R8" s="6"/>
      <c r="S8" s="6"/>
      <c r="T8" s="6"/>
      <c r="U8" s="6" t="s">
        <v>388</v>
      </c>
      <c r="V8" s="6"/>
      <c r="W8" s="6" t="s">
        <v>388</v>
      </c>
      <c r="X8" s="6" t="s">
        <v>388</v>
      </c>
      <c r="Y8" s="6"/>
      <c r="Z8" s="6"/>
      <c r="AA8" s="6"/>
      <c r="AB8" s="6"/>
      <c r="AC8" s="12"/>
      <c r="AD8" s="12"/>
      <c r="AE8" s="12" t="s">
        <v>664</v>
      </c>
      <c r="AF8" s="2" t="s">
        <v>389</v>
      </c>
      <c r="AJ8" s="21"/>
    </row>
    <row r="9" spans="1:38 16384:16384" s="2" customFormat="1" ht="11.25">
      <c r="A9" s="2" t="s">
        <v>683</v>
      </c>
      <c r="B9" s="17" t="s">
        <v>639</v>
      </c>
      <c r="C9" s="2" t="s">
        <v>632</v>
      </c>
      <c r="D9" s="34" t="s">
        <v>387</v>
      </c>
      <c r="E9" s="34"/>
      <c r="F9" s="34"/>
      <c r="G9" s="2">
        <v>2</v>
      </c>
      <c r="H9" s="6" t="s">
        <v>388</v>
      </c>
      <c r="I9" s="6"/>
      <c r="J9" s="6" t="s">
        <v>388</v>
      </c>
      <c r="K9" s="6" t="s">
        <v>388</v>
      </c>
      <c r="L9" s="6"/>
      <c r="M9" s="6" t="s">
        <v>388</v>
      </c>
      <c r="N9" s="6" t="s">
        <v>388</v>
      </c>
      <c r="O9" s="6"/>
      <c r="P9" s="6"/>
      <c r="Q9" s="6" t="s">
        <v>388</v>
      </c>
      <c r="R9" s="6" t="s">
        <v>388</v>
      </c>
      <c r="S9" s="6"/>
      <c r="T9" s="6"/>
      <c r="U9" s="6" t="s">
        <v>388</v>
      </c>
      <c r="V9" s="6"/>
      <c r="W9" s="6" t="s">
        <v>388</v>
      </c>
      <c r="X9" s="6" t="s">
        <v>388</v>
      </c>
      <c r="Y9" s="6"/>
      <c r="Z9" s="6"/>
      <c r="AA9" s="6"/>
      <c r="AB9" s="6"/>
      <c r="AC9" s="12"/>
      <c r="AD9" s="12"/>
      <c r="AE9" s="12" t="s">
        <v>648</v>
      </c>
      <c r="AF9" s="2" t="s">
        <v>394</v>
      </c>
      <c r="AG9" s="2" t="s">
        <v>684</v>
      </c>
      <c r="AJ9" s="21"/>
    </row>
    <row r="10" spans="1:38 16384:16384" s="2" customFormat="1" ht="11.25">
      <c r="A10" s="2" t="s">
        <v>657</v>
      </c>
      <c r="B10" s="17" t="s">
        <v>656</v>
      </c>
      <c r="C10" s="2" t="s">
        <v>655</v>
      </c>
      <c r="D10" s="34" t="s">
        <v>387</v>
      </c>
      <c r="E10" s="34"/>
      <c r="F10" s="34"/>
      <c r="G10" s="2">
        <v>2</v>
      </c>
      <c r="H10" s="6" t="s">
        <v>388</v>
      </c>
      <c r="I10" s="6"/>
      <c r="J10" s="6" t="s">
        <v>388</v>
      </c>
      <c r="K10" s="6"/>
      <c r="L10" s="6"/>
      <c r="M10" s="6" t="s">
        <v>388</v>
      </c>
      <c r="N10" s="6" t="s">
        <v>388</v>
      </c>
      <c r="O10" s="6"/>
      <c r="P10" s="6"/>
      <c r="Q10" s="6" t="s">
        <v>388</v>
      </c>
      <c r="R10" s="6"/>
      <c r="S10" s="6"/>
      <c r="T10" s="6"/>
      <c r="U10" s="6" t="s">
        <v>388</v>
      </c>
      <c r="V10" s="6"/>
      <c r="W10" s="6"/>
      <c r="X10" s="6"/>
      <c r="Y10" s="6"/>
      <c r="Z10" s="6"/>
      <c r="AA10" s="6"/>
      <c r="AB10" s="6"/>
      <c r="AC10" s="6" t="s">
        <v>388</v>
      </c>
      <c r="AD10" s="6"/>
      <c r="AE10" s="6">
        <v>3</v>
      </c>
      <c r="AF10" s="2" t="s">
        <v>389</v>
      </c>
      <c r="AJ10" s="21"/>
    </row>
    <row r="11" spans="1:38 16384:16384" s="2" customFormat="1" ht="11.25">
      <c r="A11" s="2" t="s">
        <v>662</v>
      </c>
      <c r="B11" s="17" t="s">
        <v>658</v>
      </c>
      <c r="C11" s="2" t="s">
        <v>659</v>
      </c>
      <c r="D11" s="34" t="s">
        <v>387</v>
      </c>
      <c r="E11" s="34"/>
      <c r="F11" s="34"/>
      <c r="G11" s="2">
        <v>2</v>
      </c>
      <c r="H11" s="6" t="s">
        <v>388</v>
      </c>
      <c r="I11" s="6"/>
      <c r="J11" s="6" t="s">
        <v>388</v>
      </c>
      <c r="K11" s="6"/>
      <c r="L11" s="6"/>
      <c r="M11" s="6" t="s">
        <v>388</v>
      </c>
      <c r="N11" s="6" t="s">
        <v>388</v>
      </c>
      <c r="O11" s="6"/>
      <c r="P11" s="6"/>
      <c r="Q11" s="6"/>
      <c r="R11" s="6"/>
      <c r="S11" s="6"/>
      <c r="T11" s="6"/>
      <c r="U11" s="6"/>
      <c r="V11" s="6"/>
      <c r="W11" s="6"/>
      <c r="X11" s="6"/>
      <c r="Y11" s="6"/>
      <c r="Z11" s="6"/>
      <c r="AA11" s="6"/>
      <c r="AB11" s="6"/>
      <c r="AC11" s="12"/>
      <c r="AD11" s="12"/>
      <c r="AE11" s="12" t="s">
        <v>660</v>
      </c>
      <c r="AF11" s="2" t="s">
        <v>641</v>
      </c>
      <c r="AG11" s="158" t="s">
        <v>661</v>
      </c>
      <c r="AJ11" s="21"/>
    </row>
    <row r="12" spans="1:38 16384:16384" s="2" customFormat="1" ht="11.25">
      <c r="A12" s="2" t="s">
        <v>667</v>
      </c>
      <c r="B12" s="17" t="s">
        <v>666</v>
      </c>
      <c r="C12" s="2" t="s">
        <v>665</v>
      </c>
      <c r="D12" s="34" t="s">
        <v>387</v>
      </c>
      <c r="E12" s="34"/>
      <c r="F12" s="34"/>
      <c r="G12" s="2">
        <v>1</v>
      </c>
      <c r="H12" s="6"/>
      <c r="I12" s="6"/>
      <c r="J12" s="6"/>
      <c r="K12" s="6"/>
      <c r="L12" s="6"/>
      <c r="M12" s="6" t="s">
        <v>388</v>
      </c>
      <c r="N12" s="6"/>
      <c r="O12" s="6"/>
      <c r="P12" s="6"/>
      <c r="Q12" s="6"/>
      <c r="R12" s="6"/>
      <c r="S12" s="6"/>
      <c r="T12" s="6"/>
      <c r="U12" s="6" t="s">
        <v>388</v>
      </c>
      <c r="V12" s="6"/>
      <c r="W12" s="6"/>
      <c r="X12" s="6"/>
      <c r="Y12" s="6"/>
      <c r="Z12" s="6"/>
      <c r="AA12" s="6"/>
      <c r="AB12" s="6"/>
      <c r="AC12" s="12"/>
      <c r="AD12" s="12"/>
      <c r="AE12" s="12" t="s">
        <v>668</v>
      </c>
      <c r="AF12" s="2" t="s">
        <v>389</v>
      </c>
      <c r="AG12" s="2" t="s">
        <v>669</v>
      </c>
      <c r="AJ12" s="21"/>
    </row>
    <row r="13" spans="1:38 16384:16384" s="152" customFormat="1" ht="11.25">
      <c r="A13" s="152" t="s">
        <v>671</v>
      </c>
      <c r="B13" s="153" t="s">
        <v>673</v>
      </c>
      <c r="C13" s="152" t="s">
        <v>670</v>
      </c>
      <c r="D13" s="154" t="s">
        <v>387</v>
      </c>
      <c r="E13" s="154"/>
      <c r="F13" s="154"/>
      <c r="G13" s="152">
        <v>1</v>
      </c>
      <c r="H13" s="155"/>
      <c r="I13" s="155"/>
      <c r="J13" s="155"/>
      <c r="K13" s="155"/>
      <c r="L13" s="155"/>
      <c r="M13" s="155" t="s">
        <v>388</v>
      </c>
      <c r="N13" s="155"/>
      <c r="O13" s="155"/>
      <c r="P13" s="155"/>
      <c r="Q13" s="155"/>
      <c r="R13" s="155"/>
      <c r="S13" s="155"/>
      <c r="T13" s="155"/>
      <c r="U13" s="155"/>
      <c r="V13" s="155"/>
      <c r="W13" s="155"/>
      <c r="X13" s="155"/>
      <c r="Y13" s="155" t="s">
        <v>388</v>
      </c>
      <c r="Z13" s="155"/>
      <c r="AA13" s="155"/>
      <c r="AB13" s="155"/>
      <c r="AC13" s="156"/>
      <c r="AD13" s="156"/>
      <c r="AE13" s="156" t="s">
        <v>674</v>
      </c>
      <c r="AF13" s="152" t="s">
        <v>389</v>
      </c>
      <c r="AG13" s="152" t="s">
        <v>672</v>
      </c>
      <c r="AJ13" s="157"/>
    </row>
    <row r="14" spans="1:38 16384:16384" s="2" customFormat="1" ht="11.25">
      <c r="A14" s="2" t="s">
        <v>651</v>
      </c>
      <c r="B14" s="17" t="s">
        <v>679</v>
      </c>
      <c r="C14" s="2" t="s">
        <v>678</v>
      </c>
      <c r="D14" s="34" t="s">
        <v>387</v>
      </c>
      <c r="E14" s="34"/>
      <c r="F14" s="34"/>
      <c r="G14" s="2">
        <v>0</v>
      </c>
      <c r="H14" s="6"/>
      <c r="I14" s="6"/>
      <c r="J14" s="6"/>
      <c r="K14" s="6"/>
      <c r="L14" s="6"/>
      <c r="M14" s="6"/>
      <c r="N14" s="6"/>
      <c r="O14" s="6"/>
      <c r="P14" s="6" t="s">
        <v>388</v>
      </c>
      <c r="Q14" s="6"/>
      <c r="R14" s="6"/>
      <c r="S14" s="6"/>
      <c r="T14" s="6"/>
      <c r="U14" s="6"/>
      <c r="V14" s="6"/>
      <c r="W14" s="6"/>
      <c r="X14" s="6"/>
      <c r="Y14" s="6"/>
      <c r="Z14" s="6"/>
      <c r="AA14" s="6"/>
      <c r="AB14" s="6"/>
      <c r="AC14" s="12"/>
      <c r="AD14" s="12"/>
      <c r="AE14" s="12" t="s">
        <v>648</v>
      </c>
      <c r="AF14" s="2" t="s">
        <v>389</v>
      </c>
      <c r="AG14" s="2" t="s">
        <v>680</v>
      </c>
      <c r="AJ14" s="21"/>
    </row>
    <row r="15" spans="1:38 16384:16384" ht="11.25" customHeight="1">
      <c r="A15" s="166" t="s">
        <v>1068</v>
      </c>
      <c r="B15" s="167" t="s">
        <v>1069</v>
      </c>
      <c r="C15" s="168" t="s">
        <v>1067</v>
      </c>
      <c r="D15" s="169" t="s">
        <v>739</v>
      </c>
      <c r="E15" s="165" t="s">
        <v>625</v>
      </c>
      <c r="F15" s="168"/>
      <c r="G15" s="170">
        <v>1</v>
      </c>
      <c r="H15" s="159"/>
      <c r="I15" s="159"/>
      <c r="J15" s="159"/>
      <c r="K15" s="159" t="s">
        <v>388</v>
      </c>
      <c r="L15" s="159"/>
      <c r="M15" s="159"/>
      <c r="N15" s="159"/>
      <c r="O15" s="159"/>
      <c r="P15" s="159"/>
      <c r="Q15" s="159"/>
      <c r="R15" s="159"/>
      <c r="S15" s="159"/>
      <c r="T15" s="159" t="s">
        <v>388</v>
      </c>
      <c r="U15" s="159"/>
      <c r="V15" s="159"/>
      <c r="W15" s="159"/>
      <c r="X15" s="159" t="s">
        <v>388</v>
      </c>
      <c r="Y15" s="159" t="s">
        <v>388</v>
      </c>
      <c r="Z15" s="159" t="s">
        <v>388</v>
      </c>
      <c r="AA15" s="159" t="s">
        <v>388</v>
      </c>
      <c r="AB15" s="159" t="s">
        <v>388</v>
      </c>
      <c r="AC15" s="171"/>
      <c r="AD15" s="171"/>
      <c r="AE15" s="172">
        <v>3</v>
      </c>
      <c r="AF15" s="171" t="s">
        <v>389</v>
      </c>
      <c r="AG15" s="169" t="s">
        <v>1070</v>
      </c>
      <c r="AH15" s="165"/>
      <c r="AI15" s="165"/>
      <c r="AJ15" s="165"/>
      <c r="AK15" s="165"/>
      <c r="AL15" s="165" t="s">
        <v>1696</v>
      </c>
      <c r="XFD15" s="20"/>
    </row>
    <row r="16" spans="1:38 16384:16384" s="2" customFormat="1" ht="11.25">
      <c r="B16" s="17"/>
      <c r="D16" s="34"/>
      <c r="E16" s="34"/>
      <c r="F16" s="34"/>
      <c r="H16" s="6"/>
      <c r="I16" s="6"/>
      <c r="J16" s="6"/>
      <c r="K16" s="6"/>
      <c r="L16" s="6"/>
      <c r="M16" s="6"/>
      <c r="N16" s="6"/>
      <c r="O16" s="6"/>
      <c r="P16" s="6"/>
      <c r="Q16" s="6"/>
      <c r="R16" s="6"/>
      <c r="S16" s="6"/>
      <c r="T16" s="6"/>
      <c r="U16" s="6"/>
      <c r="V16" s="6"/>
      <c r="W16" s="6"/>
      <c r="X16" s="6"/>
      <c r="Y16" s="6"/>
      <c r="Z16" s="6"/>
      <c r="AA16" s="6"/>
      <c r="AB16" s="6"/>
      <c r="AC16" s="12"/>
      <c r="AD16" s="12"/>
      <c r="AE16" s="12"/>
      <c r="AJ16" s="21"/>
    </row>
    <row r="17" spans="2:36" s="2" customFormat="1" ht="11.25">
      <c r="B17" s="17"/>
      <c r="D17" s="34"/>
      <c r="E17" s="34"/>
      <c r="F17" s="34"/>
      <c r="H17" s="6"/>
      <c r="I17" s="6"/>
      <c r="J17" s="6"/>
      <c r="K17" s="6"/>
      <c r="L17" s="6"/>
      <c r="M17" s="6"/>
      <c r="N17" s="6"/>
      <c r="O17" s="6"/>
      <c r="P17" s="6"/>
      <c r="Q17" s="6"/>
      <c r="R17" s="6"/>
      <c r="S17" s="6"/>
      <c r="T17" s="6"/>
      <c r="U17" s="6"/>
      <c r="V17" s="6"/>
      <c r="W17" s="6"/>
      <c r="X17" s="6"/>
      <c r="Y17" s="6"/>
      <c r="Z17" s="6"/>
      <c r="AA17" s="6"/>
      <c r="AB17" s="6"/>
      <c r="AC17" s="12"/>
      <c r="AD17" s="12"/>
      <c r="AE17" s="12"/>
      <c r="AJ17" s="21"/>
    </row>
    <row r="18" spans="2:36" s="2" customFormat="1" ht="11.25">
      <c r="B18" s="17"/>
      <c r="D18" s="34"/>
      <c r="E18" s="34"/>
      <c r="F18" s="34"/>
      <c r="H18" s="6"/>
      <c r="I18" s="6"/>
      <c r="J18" s="6"/>
      <c r="K18" s="6"/>
      <c r="L18" s="6"/>
      <c r="M18" s="6"/>
      <c r="N18" s="6"/>
      <c r="O18" s="6"/>
      <c r="P18" s="6"/>
      <c r="Q18" s="6"/>
      <c r="R18" s="6"/>
      <c r="S18" s="6"/>
      <c r="T18" s="6"/>
      <c r="U18" s="6"/>
      <c r="V18" s="6"/>
      <c r="W18" s="6"/>
      <c r="X18" s="6"/>
      <c r="Y18" s="6"/>
      <c r="Z18" s="6"/>
      <c r="AA18" s="6"/>
      <c r="AB18" s="6"/>
      <c r="AC18" s="12"/>
      <c r="AD18" s="12"/>
      <c r="AE18" s="12"/>
      <c r="AJ18" s="21"/>
    </row>
    <row r="19" spans="2:36" s="2" customFormat="1" ht="11.25">
      <c r="B19" s="17"/>
      <c r="C19" s="3"/>
      <c r="D19" s="13"/>
      <c r="E19" s="13"/>
      <c r="F19" s="13"/>
      <c r="H19" s="6"/>
      <c r="I19" s="6"/>
      <c r="J19" s="6"/>
      <c r="K19" s="6"/>
      <c r="L19" s="6"/>
      <c r="M19" s="6"/>
      <c r="N19" s="6"/>
      <c r="O19" s="6"/>
      <c r="P19" s="6"/>
      <c r="Q19" s="6"/>
      <c r="R19" s="6"/>
      <c r="S19" s="6"/>
      <c r="T19" s="6"/>
      <c r="U19" s="6"/>
      <c r="V19" s="6"/>
      <c r="W19" s="6"/>
      <c r="X19" s="6"/>
      <c r="Y19" s="6"/>
      <c r="Z19" s="6"/>
      <c r="AA19" s="6"/>
      <c r="AB19" s="6"/>
      <c r="AC19" s="12"/>
      <c r="AD19" s="12"/>
      <c r="AE19" s="12"/>
      <c r="AJ19" s="21"/>
    </row>
    <row r="20" spans="2:36" s="2" customFormat="1" ht="11.25">
      <c r="B20" s="17"/>
      <c r="C20" s="3"/>
      <c r="D20" s="13"/>
      <c r="E20" s="13"/>
      <c r="F20" s="13"/>
      <c r="H20" s="6"/>
      <c r="I20" s="6"/>
      <c r="J20" s="6"/>
      <c r="K20" s="6"/>
      <c r="L20" s="6"/>
      <c r="M20" s="6"/>
      <c r="N20" s="6"/>
      <c r="O20" s="6"/>
      <c r="P20" s="6"/>
      <c r="Q20" s="6"/>
      <c r="R20" s="6"/>
      <c r="S20" s="6"/>
      <c r="T20" s="6"/>
      <c r="U20" s="6"/>
      <c r="V20" s="6"/>
      <c r="W20" s="6"/>
      <c r="X20" s="6"/>
      <c r="Y20" s="6"/>
      <c r="Z20" s="6"/>
      <c r="AA20" s="6"/>
      <c r="AB20" s="6"/>
      <c r="AC20" s="12"/>
      <c r="AD20" s="12"/>
      <c r="AE20" s="12"/>
      <c r="AJ20" s="21"/>
    </row>
    <row r="21" spans="2:36" s="2" customFormat="1" ht="11.25">
      <c r="B21" s="17"/>
      <c r="D21" s="34"/>
      <c r="E21" s="34"/>
      <c r="F21" s="34"/>
      <c r="H21" s="6"/>
      <c r="I21" s="6"/>
      <c r="J21" s="6"/>
      <c r="K21" s="6"/>
      <c r="L21" s="6"/>
      <c r="M21" s="6"/>
      <c r="N21" s="6"/>
      <c r="O21" s="6"/>
      <c r="P21" s="6"/>
      <c r="Q21" s="6"/>
      <c r="R21" s="6"/>
      <c r="S21" s="6"/>
      <c r="T21" s="6"/>
      <c r="U21" s="6"/>
      <c r="V21" s="6"/>
      <c r="W21" s="6"/>
      <c r="X21" s="6"/>
      <c r="Y21" s="6"/>
      <c r="Z21" s="6"/>
      <c r="AA21" s="6"/>
      <c r="AB21" s="6"/>
      <c r="AC21" s="12"/>
      <c r="AD21" s="12"/>
      <c r="AE21" s="12"/>
      <c r="AJ21" s="21"/>
    </row>
    <row r="22" spans="2:36" s="2" customFormat="1" ht="11.25">
      <c r="B22" s="17"/>
      <c r="D22" s="34"/>
      <c r="E22" s="34"/>
      <c r="F22" s="34"/>
      <c r="H22" s="6"/>
      <c r="I22" s="6"/>
      <c r="J22" s="6"/>
      <c r="K22" s="6"/>
      <c r="L22" s="6"/>
      <c r="M22" s="6"/>
      <c r="N22" s="6"/>
      <c r="O22" s="6"/>
      <c r="P22" s="6"/>
      <c r="Q22" s="6"/>
      <c r="R22" s="6"/>
      <c r="S22" s="6"/>
      <c r="T22" s="6"/>
      <c r="U22" s="6"/>
      <c r="V22" s="6"/>
      <c r="W22" s="6"/>
      <c r="X22" s="6"/>
      <c r="Y22" s="6"/>
      <c r="Z22" s="6"/>
      <c r="AA22" s="6"/>
      <c r="AB22" s="6"/>
      <c r="AC22" s="12"/>
      <c r="AD22" s="12"/>
      <c r="AE22" s="12"/>
      <c r="AJ22" s="21"/>
    </row>
    <row r="23" spans="2:36" s="2" customFormat="1" ht="11.25">
      <c r="B23" s="17"/>
      <c r="D23" s="34"/>
      <c r="E23" s="34"/>
      <c r="F23" s="34"/>
      <c r="H23" s="6"/>
      <c r="I23" s="6"/>
      <c r="J23" s="6"/>
      <c r="K23" s="6"/>
      <c r="L23" s="6"/>
      <c r="M23" s="6"/>
      <c r="N23" s="6"/>
      <c r="O23" s="6"/>
      <c r="P23" s="6"/>
      <c r="Q23" s="6"/>
      <c r="R23" s="6"/>
      <c r="S23" s="6"/>
      <c r="T23" s="6"/>
      <c r="U23" s="6"/>
      <c r="V23" s="6"/>
      <c r="W23" s="6"/>
      <c r="X23" s="6"/>
      <c r="Y23" s="6"/>
      <c r="Z23" s="6"/>
      <c r="AA23" s="6"/>
      <c r="AB23" s="6"/>
      <c r="AC23" s="12"/>
      <c r="AD23" s="12"/>
      <c r="AE23" s="12"/>
      <c r="AJ23" s="21"/>
    </row>
    <row r="24" spans="2:36" s="2" customFormat="1" ht="11.25">
      <c r="B24" s="17"/>
      <c r="D24" s="34"/>
      <c r="E24" s="34"/>
      <c r="F24" s="34"/>
      <c r="H24" s="6"/>
      <c r="I24" s="6"/>
      <c r="J24" s="6"/>
      <c r="K24" s="6"/>
      <c r="L24" s="6"/>
      <c r="M24" s="6"/>
      <c r="N24" s="6"/>
      <c r="O24" s="6"/>
      <c r="P24" s="6"/>
      <c r="Q24" s="6"/>
      <c r="R24" s="6"/>
      <c r="S24" s="6"/>
      <c r="T24" s="6"/>
      <c r="U24" s="6"/>
      <c r="V24" s="6"/>
      <c r="W24" s="6"/>
      <c r="X24" s="6"/>
      <c r="Y24" s="6"/>
      <c r="Z24" s="6"/>
      <c r="AA24" s="6"/>
      <c r="AB24" s="6"/>
      <c r="AC24" s="12"/>
      <c r="AD24" s="12"/>
      <c r="AE24" s="12"/>
      <c r="AJ24" s="21"/>
    </row>
    <row r="25" spans="2:36" s="2" customFormat="1" ht="11.25">
      <c r="B25" s="17"/>
      <c r="D25" s="34"/>
      <c r="E25" s="34"/>
      <c r="F25" s="34"/>
      <c r="H25" s="6"/>
      <c r="I25" s="6"/>
      <c r="J25" s="6"/>
      <c r="K25" s="6"/>
      <c r="L25" s="6"/>
      <c r="M25" s="6"/>
      <c r="N25" s="6"/>
      <c r="O25" s="6"/>
      <c r="P25" s="6"/>
      <c r="Q25" s="6"/>
      <c r="R25" s="6"/>
      <c r="S25" s="6"/>
      <c r="T25" s="6"/>
      <c r="U25" s="6"/>
      <c r="V25" s="6"/>
      <c r="W25" s="6"/>
      <c r="X25" s="6"/>
      <c r="Y25" s="6"/>
      <c r="Z25" s="6"/>
      <c r="AA25" s="6"/>
      <c r="AB25" s="6"/>
      <c r="AC25" s="12"/>
      <c r="AD25" s="12"/>
      <c r="AE25" s="12"/>
      <c r="AJ25" s="21"/>
    </row>
    <row r="26" spans="2:36" s="2" customFormat="1" ht="11.25">
      <c r="B26" s="17"/>
      <c r="D26" s="34"/>
      <c r="E26" s="34"/>
      <c r="F26" s="34"/>
      <c r="H26" s="6"/>
      <c r="I26" s="6"/>
      <c r="J26" s="6"/>
      <c r="K26" s="6"/>
      <c r="L26" s="6"/>
      <c r="M26" s="6"/>
      <c r="N26" s="6"/>
      <c r="O26" s="6"/>
      <c r="P26" s="6"/>
      <c r="Q26" s="6"/>
      <c r="R26" s="6"/>
      <c r="S26" s="6"/>
      <c r="T26" s="6"/>
      <c r="U26" s="6"/>
      <c r="V26" s="6"/>
      <c r="W26" s="6"/>
      <c r="X26" s="6"/>
      <c r="Y26" s="6"/>
      <c r="Z26" s="6"/>
      <c r="AA26" s="6"/>
      <c r="AB26" s="6"/>
      <c r="AC26" s="12"/>
      <c r="AD26" s="12"/>
      <c r="AE26" s="12"/>
      <c r="AJ26" s="21"/>
    </row>
    <row r="27" spans="2:36" s="2" customFormat="1" ht="11.25">
      <c r="B27" s="17"/>
      <c r="D27" s="34"/>
      <c r="E27" s="34"/>
      <c r="F27" s="34"/>
      <c r="H27" s="6"/>
      <c r="I27" s="6"/>
      <c r="J27" s="6"/>
      <c r="K27" s="6"/>
      <c r="L27" s="6"/>
      <c r="M27" s="6"/>
      <c r="N27" s="6"/>
      <c r="O27" s="6"/>
      <c r="P27" s="6"/>
      <c r="Q27" s="6"/>
      <c r="R27" s="6"/>
      <c r="S27" s="6"/>
      <c r="T27" s="6"/>
      <c r="U27" s="6"/>
      <c r="V27" s="6"/>
      <c r="W27" s="6"/>
      <c r="X27" s="6"/>
      <c r="Y27" s="6"/>
      <c r="Z27" s="6"/>
      <c r="AA27" s="6"/>
      <c r="AB27" s="6"/>
      <c r="AC27" s="12"/>
      <c r="AD27" s="12"/>
      <c r="AE27" s="12"/>
      <c r="AJ27" s="21"/>
    </row>
    <row r="28" spans="2:36" s="2" customFormat="1" ht="11.25">
      <c r="B28" s="17"/>
      <c r="D28" s="34"/>
      <c r="E28" s="34"/>
      <c r="F28" s="34"/>
      <c r="H28" s="6"/>
      <c r="I28" s="6"/>
      <c r="J28" s="6"/>
      <c r="K28" s="6"/>
      <c r="L28" s="6"/>
      <c r="M28" s="6"/>
      <c r="N28" s="6"/>
      <c r="O28" s="6"/>
      <c r="P28" s="6"/>
      <c r="Q28" s="6"/>
      <c r="R28" s="6"/>
      <c r="S28" s="6"/>
      <c r="T28" s="6"/>
      <c r="U28" s="6"/>
      <c r="V28" s="6"/>
      <c r="W28" s="6"/>
      <c r="X28" s="6"/>
      <c r="Y28" s="6"/>
      <c r="Z28" s="6"/>
      <c r="AA28" s="6"/>
      <c r="AB28" s="6"/>
      <c r="AC28" s="12"/>
      <c r="AD28" s="12"/>
      <c r="AE28" s="12"/>
      <c r="AJ28" s="21"/>
    </row>
    <row r="29" spans="2:36" s="2" customFormat="1" ht="11.25">
      <c r="B29" s="17"/>
      <c r="D29" s="34"/>
      <c r="E29" s="34"/>
      <c r="F29" s="34"/>
      <c r="H29" s="6"/>
      <c r="I29" s="6"/>
      <c r="J29" s="6"/>
      <c r="K29" s="6"/>
      <c r="L29" s="6"/>
      <c r="M29" s="6"/>
      <c r="N29" s="6"/>
      <c r="O29" s="6"/>
      <c r="P29" s="6"/>
      <c r="Q29" s="6"/>
      <c r="R29" s="6"/>
      <c r="S29" s="6"/>
      <c r="T29" s="6"/>
      <c r="U29" s="6"/>
      <c r="V29" s="6"/>
      <c r="W29" s="6"/>
      <c r="X29" s="6"/>
      <c r="Y29" s="6"/>
      <c r="Z29" s="6"/>
      <c r="AA29" s="6"/>
      <c r="AB29" s="6"/>
      <c r="AC29" s="12"/>
      <c r="AD29" s="12"/>
      <c r="AE29" s="12"/>
      <c r="AJ29" s="21"/>
    </row>
    <row r="30" spans="2:36" s="2" customFormat="1" ht="11.25">
      <c r="B30" s="17"/>
      <c r="D30" s="34"/>
      <c r="E30" s="34"/>
      <c r="F30" s="34"/>
      <c r="H30" s="6"/>
      <c r="I30" s="6"/>
      <c r="J30" s="6"/>
      <c r="K30" s="6"/>
      <c r="L30" s="6"/>
      <c r="M30" s="6"/>
      <c r="N30" s="6"/>
      <c r="O30" s="6"/>
      <c r="P30" s="6"/>
      <c r="Q30" s="6"/>
      <c r="R30" s="6"/>
      <c r="S30" s="6"/>
      <c r="T30" s="6"/>
      <c r="U30" s="6"/>
      <c r="V30" s="6"/>
      <c r="W30" s="6"/>
      <c r="X30" s="6"/>
      <c r="Y30" s="6"/>
      <c r="Z30" s="6"/>
      <c r="AA30" s="6"/>
      <c r="AB30" s="6"/>
      <c r="AC30" s="12"/>
      <c r="AD30" s="12"/>
      <c r="AE30" s="12"/>
      <c r="AJ30" s="21"/>
    </row>
    <row r="31" spans="2:36" s="2" customFormat="1" ht="11.25">
      <c r="B31" s="17"/>
      <c r="D31" s="34"/>
      <c r="E31" s="34"/>
      <c r="F31" s="34"/>
      <c r="H31" s="6"/>
      <c r="I31" s="6"/>
      <c r="J31" s="6"/>
      <c r="K31" s="6"/>
      <c r="L31" s="6"/>
      <c r="M31" s="6"/>
      <c r="N31" s="6"/>
      <c r="O31" s="6"/>
      <c r="P31" s="6"/>
      <c r="Q31" s="6"/>
      <c r="R31" s="6"/>
      <c r="S31" s="6"/>
      <c r="T31" s="6"/>
      <c r="U31" s="6"/>
      <c r="V31" s="6"/>
      <c r="W31" s="6"/>
      <c r="X31" s="6"/>
      <c r="Y31" s="6"/>
      <c r="Z31" s="6"/>
      <c r="AA31" s="6"/>
      <c r="AB31" s="6"/>
      <c r="AC31" s="12"/>
      <c r="AD31" s="12"/>
      <c r="AE31" s="12"/>
      <c r="AJ31" s="21"/>
    </row>
    <row r="32" spans="2:36" s="2" customFormat="1" ht="11.25">
      <c r="B32" s="17"/>
      <c r="D32" s="34"/>
      <c r="E32" s="34"/>
      <c r="F32" s="34"/>
      <c r="H32" s="6"/>
      <c r="I32" s="6"/>
      <c r="J32" s="6"/>
      <c r="K32" s="6"/>
      <c r="L32" s="6"/>
      <c r="M32" s="6"/>
      <c r="N32" s="6"/>
      <c r="O32" s="6"/>
      <c r="P32" s="6"/>
      <c r="Q32" s="6"/>
      <c r="R32" s="6"/>
      <c r="S32" s="6"/>
      <c r="T32" s="6"/>
      <c r="U32" s="6"/>
      <c r="V32" s="6"/>
      <c r="W32" s="6"/>
      <c r="X32" s="6"/>
      <c r="Y32" s="6"/>
      <c r="Z32" s="6"/>
      <c r="AA32" s="6"/>
      <c r="AB32" s="6"/>
      <c r="AC32" s="12"/>
      <c r="AD32" s="12"/>
      <c r="AE32" s="12"/>
      <c r="AJ32" s="21"/>
    </row>
    <row r="33" spans="2:36" s="2" customFormat="1" ht="11.25">
      <c r="B33" s="17"/>
      <c r="D33" s="34"/>
      <c r="E33" s="34"/>
      <c r="F33" s="34"/>
      <c r="H33" s="6"/>
      <c r="I33" s="6"/>
      <c r="J33" s="6"/>
      <c r="K33" s="6"/>
      <c r="L33" s="6"/>
      <c r="M33" s="6"/>
      <c r="N33" s="6"/>
      <c r="O33" s="6"/>
      <c r="P33" s="6"/>
      <c r="Q33" s="6"/>
      <c r="R33" s="6"/>
      <c r="S33" s="6"/>
      <c r="T33" s="6"/>
      <c r="U33" s="6"/>
      <c r="V33" s="6"/>
      <c r="W33" s="6"/>
      <c r="X33" s="6"/>
      <c r="Y33" s="6"/>
      <c r="Z33" s="6"/>
      <c r="AA33" s="6"/>
      <c r="AB33" s="6"/>
      <c r="AC33" s="12"/>
      <c r="AD33" s="12"/>
      <c r="AE33" s="12"/>
      <c r="AJ33" s="21"/>
    </row>
    <row r="34" spans="2:36" s="2" customFormat="1" ht="11.25">
      <c r="B34" s="17"/>
      <c r="D34" s="34"/>
      <c r="E34" s="34"/>
      <c r="F34" s="34"/>
      <c r="H34" s="6"/>
      <c r="I34" s="6"/>
      <c r="J34" s="6"/>
      <c r="K34" s="6"/>
      <c r="L34" s="6"/>
      <c r="M34" s="6"/>
      <c r="N34" s="6"/>
      <c r="O34" s="6"/>
      <c r="P34" s="6"/>
      <c r="Q34" s="6"/>
      <c r="R34" s="6"/>
      <c r="S34" s="6"/>
      <c r="T34" s="6"/>
      <c r="U34" s="6"/>
      <c r="V34" s="6"/>
      <c r="W34" s="6"/>
      <c r="X34" s="6"/>
      <c r="Y34" s="6"/>
      <c r="Z34" s="6"/>
      <c r="AA34" s="6"/>
      <c r="AB34" s="6"/>
      <c r="AC34" s="12"/>
      <c r="AD34" s="12"/>
      <c r="AE34" s="12"/>
      <c r="AJ34" s="21"/>
    </row>
    <row r="35" spans="2:36" s="2" customFormat="1" ht="11.25">
      <c r="B35" s="17"/>
      <c r="D35" s="34"/>
      <c r="E35" s="34"/>
      <c r="F35" s="34"/>
      <c r="H35" s="6"/>
      <c r="I35" s="6"/>
      <c r="J35" s="6"/>
      <c r="K35" s="6"/>
      <c r="L35" s="6"/>
      <c r="M35" s="6"/>
      <c r="N35" s="6"/>
      <c r="O35" s="6"/>
      <c r="P35" s="6"/>
      <c r="Q35" s="6"/>
      <c r="R35" s="6"/>
      <c r="S35" s="6"/>
      <c r="T35" s="6"/>
      <c r="U35" s="6"/>
      <c r="V35" s="6"/>
      <c r="W35" s="6"/>
      <c r="X35" s="6"/>
      <c r="Y35" s="6"/>
      <c r="Z35" s="6"/>
      <c r="AA35" s="6"/>
      <c r="AB35" s="6"/>
      <c r="AC35" s="12"/>
      <c r="AD35" s="12"/>
      <c r="AE35" s="12"/>
      <c r="AJ35" s="21"/>
    </row>
    <row r="36" spans="2:36" s="2" customFormat="1" ht="11.25">
      <c r="B36" s="17"/>
      <c r="D36" s="34"/>
      <c r="E36" s="34"/>
      <c r="F36" s="34"/>
      <c r="H36" s="6"/>
      <c r="I36" s="6"/>
      <c r="J36" s="6"/>
      <c r="K36" s="6"/>
      <c r="L36" s="6"/>
      <c r="M36" s="6"/>
      <c r="N36" s="6"/>
      <c r="O36" s="6"/>
      <c r="P36" s="6"/>
      <c r="Q36" s="6"/>
      <c r="R36" s="6"/>
      <c r="S36" s="6"/>
      <c r="T36" s="6"/>
      <c r="U36" s="6"/>
      <c r="V36" s="6"/>
      <c r="W36" s="6"/>
      <c r="X36" s="6"/>
      <c r="Y36" s="6"/>
      <c r="Z36" s="6"/>
      <c r="AA36" s="6"/>
      <c r="AB36" s="6"/>
      <c r="AC36" s="12"/>
      <c r="AD36" s="12"/>
      <c r="AE36" s="12"/>
      <c r="AJ36" s="21"/>
    </row>
    <row r="37" spans="2:36" s="2" customFormat="1" ht="11.25">
      <c r="B37" s="17"/>
      <c r="D37" s="34"/>
      <c r="E37" s="34"/>
      <c r="F37" s="34"/>
      <c r="H37" s="6"/>
      <c r="I37" s="6"/>
      <c r="J37" s="6"/>
      <c r="K37" s="6"/>
      <c r="L37" s="6"/>
      <c r="M37" s="6"/>
      <c r="N37" s="6"/>
      <c r="O37" s="6"/>
      <c r="P37" s="6"/>
      <c r="Q37" s="6"/>
      <c r="R37" s="6"/>
      <c r="S37" s="6"/>
      <c r="T37" s="6"/>
      <c r="U37" s="6"/>
      <c r="V37" s="6"/>
      <c r="W37" s="6"/>
      <c r="X37" s="6"/>
      <c r="Y37" s="6"/>
      <c r="Z37" s="6"/>
      <c r="AA37" s="6"/>
      <c r="AB37" s="6"/>
      <c r="AC37" s="12"/>
      <c r="AD37" s="12"/>
      <c r="AE37" s="12"/>
      <c r="AJ37" s="21"/>
    </row>
    <row r="38" spans="2:36" s="2" customFormat="1" ht="11.25">
      <c r="B38" s="17"/>
      <c r="D38" s="34"/>
      <c r="E38" s="34"/>
      <c r="F38" s="34"/>
      <c r="H38" s="6"/>
      <c r="I38" s="6"/>
      <c r="J38" s="6"/>
      <c r="K38" s="6"/>
      <c r="L38" s="6"/>
      <c r="M38" s="6"/>
      <c r="N38" s="6"/>
      <c r="O38" s="6"/>
      <c r="P38" s="6"/>
      <c r="Q38" s="6"/>
      <c r="R38" s="6"/>
      <c r="S38" s="6"/>
      <c r="T38" s="6"/>
      <c r="U38" s="6"/>
      <c r="V38" s="6"/>
      <c r="W38" s="6"/>
      <c r="X38" s="6"/>
      <c r="Y38" s="6"/>
      <c r="Z38" s="6"/>
      <c r="AA38" s="6"/>
      <c r="AB38" s="6"/>
      <c r="AC38" s="12"/>
      <c r="AD38" s="12"/>
      <c r="AE38" s="12"/>
      <c r="AJ38" s="21"/>
    </row>
    <row r="39" spans="2:36" s="2" customFormat="1" ht="11.25">
      <c r="B39" s="17"/>
      <c r="D39" s="34"/>
      <c r="E39" s="34"/>
      <c r="F39" s="34"/>
      <c r="H39" s="6"/>
      <c r="I39" s="6"/>
      <c r="J39" s="6"/>
      <c r="K39" s="6"/>
      <c r="L39" s="6"/>
      <c r="M39" s="6"/>
      <c r="N39" s="6"/>
      <c r="O39" s="6"/>
      <c r="P39" s="6"/>
      <c r="Q39" s="6"/>
      <c r="R39" s="6"/>
      <c r="S39" s="6"/>
      <c r="T39" s="6"/>
      <c r="U39" s="6"/>
      <c r="V39" s="6"/>
      <c r="W39" s="6"/>
      <c r="X39" s="6"/>
      <c r="Y39" s="6"/>
      <c r="Z39" s="6"/>
      <c r="AA39" s="6"/>
      <c r="AB39" s="6"/>
      <c r="AC39" s="12"/>
      <c r="AD39" s="12"/>
      <c r="AE39" s="12"/>
      <c r="AJ39" s="21"/>
    </row>
    <row r="40" spans="2:36" s="2" customFormat="1" ht="11.25">
      <c r="B40" s="17"/>
      <c r="D40" s="34"/>
      <c r="E40" s="34"/>
      <c r="F40" s="34"/>
      <c r="H40" s="6"/>
      <c r="I40" s="6"/>
      <c r="J40" s="6"/>
      <c r="K40" s="6"/>
      <c r="L40" s="6"/>
      <c r="M40" s="6"/>
      <c r="N40" s="6"/>
      <c r="O40" s="6"/>
      <c r="P40" s="6"/>
      <c r="Q40" s="6"/>
      <c r="R40" s="6"/>
      <c r="S40" s="6"/>
      <c r="T40" s="6"/>
      <c r="U40" s="6"/>
      <c r="V40" s="6"/>
      <c r="W40" s="6"/>
      <c r="X40" s="6"/>
      <c r="Y40" s="6"/>
      <c r="Z40" s="6"/>
      <c r="AA40" s="6"/>
      <c r="AB40" s="6"/>
      <c r="AC40" s="12"/>
      <c r="AD40" s="12"/>
      <c r="AE40" s="12"/>
      <c r="AJ40" s="21"/>
    </row>
    <row r="41" spans="2:36" s="2" customFormat="1" ht="11.25">
      <c r="B41" s="17"/>
      <c r="D41" s="34"/>
      <c r="E41" s="34"/>
      <c r="F41" s="34"/>
      <c r="H41" s="6"/>
      <c r="I41" s="6"/>
      <c r="J41" s="6"/>
      <c r="K41" s="6"/>
      <c r="L41" s="6"/>
      <c r="M41" s="6"/>
      <c r="N41" s="6"/>
      <c r="O41" s="6"/>
      <c r="P41" s="6"/>
      <c r="Q41" s="6"/>
      <c r="R41" s="6"/>
      <c r="S41" s="6"/>
      <c r="T41" s="6"/>
      <c r="U41" s="6"/>
      <c r="V41" s="6"/>
      <c r="W41" s="6"/>
      <c r="X41" s="6"/>
      <c r="Y41" s="6"/>
      <c r="Z41" s="6"/>
      <c r="AA41" s="6"/>
      <c r="AB41" s="6"/>
      <c r="AC41" s="12"/>
      <c r="AD41" s="12"/>
      <c r="AE41" s="12"/>
      <c r="AJ41" s="21"/>
    </row>
    <row r="42" spans="2:36" s="2" customFormat="1" ht="11.25">
      <c r="B42" s="17"/>
      <c r="D42" s="34"/>
      <c r="E42" s="34"/>
      <c r="F42" s="34"/>
      <c r="H42" s="6"/>
      <c r="I42" s="6"/>
      <c r="J42" s="6"/>
      <c r="K42" s="6"/>
      <c r="L42" s="6"/>
      <c r="M42" s="6"/>
      <c r="N42" s="6"/>
      <c r="O42" s="6"/>
      <c r="P42" s="6"/>
      <c r="Q42" s="6"/>
      <c r="R42" s="6"/>
      <c r="S42" s="6"/>
      <c r="T42" s="6"/>
      <c r="U42" s="6"/>
      <c r="V42" s="6"/>
      <c r="W42" s="6"/>
      <c r="X42" s="6"/>
      <c r="Y42" s="6"/>
      <c r="Z42" s="6"/>
      <c r="AA42" s="6"/>
      <c r="AB42" s="6"/>
      <c r="AC42" s="12"/>
      <c r="AD42" s="12"/>
      <c r="AE42" s="12"/>
      <c r="AJ42" s="21"/>
    </row>
    <row r="43" spans="2:36" s="2" customFormat="1" ht="11.25">
      <c r="B43" s="17"/>
      <c r="D43" s="34"/>
      <c r="E43" s="34"/>
      <c r="F43" s="34"/>
      <c r="H43" s="6"/>
      <c r="I43" s="6"/>
      <c r="J43" s="6"/>
      <c r="K43" s="6"/>
      <c r="L43" s="6"/>
      <c r="M43" s="6"/>
      <c r="N43" s="6"/>
      <c r="O43" s="6"/>
      <c r="P43" s="6"/>
      <c r="Q43" s="6"/>
      <c r="R43" s="6"/>
      <c r="S43" s="6"/>
      <c r="T43" s="6"/>
      <c r="U43" s="6"/>
      <c r="V43" s="6"/>
      <c r="W43" s="6"/>
      <c r="X43" s="6"/>
      <c r="Y43" s="6"/>
      <c r="Z43" s="6"/>
      <c r="AA43" s="6"/>
      <c r="AB43" s="6"/>
      <c r="AC43" s="12"/>
      <c r="AD43" s="12"/>
      <c r="AE43" s="12"/>
      <c r="AJ43" s="21"/>
    </row>
    <row r="44" spans="2:36" s="2" customFormat="1" ht="11.25">
      <c r="B44" s="17"/>
      <c r="D44" s="34"/>
      <c r="E44" s="34"/>
      <c r="F44" s="34"/>
      <c r="H44" s="6"/>
      <c r="I44" s="6"/>
      <c r="J44" s="6"/>
      <c r="K44" s="6"/>
      <c r="L44" s="6"/>
      <c r="M44" s="6"/>
      <c r="N44" s="6"/>
      <c r="O44" s="6"/>
      <c r="P44" s="6"/>
      <c r="Q44" s="6"/>
      <c r="R44" s="6"/>
      <c r="S44" s="6"/>
      <c r="T44" s="6"/>
      <c r="U44" s="6"/>
      <c r="V44" s="6"/>
      <c r="W44" s="6"/>
      <c r="X44" s="6"/>
      <c r="Y44" s="6"/>
      <c r="Z44" s="6"/>
      <c r="AA44" s="6"/>
      <c r="AB44" s="6"/>
      <c r="AC44" s="12"/>
      <c r="AD44" s="12"/>
      <c r="AE44" s="12"/>
      <c r="AJ44" s="21"/>
    </row>
    <row r="45" spans="2:36" s="2" customFormat="1" ht="11.25">
      <c r="B45" s="17"/>
      <c r="D45" s="34"/>
      <c r="E45" s="34"/>
      <c r="F45" s="34"/>
      <c r="H45" s="6"/>
      <c r="I45" s="6"/>
      <c r="J45" s="6"/>
      <c r="K45" s="6"/>
      <c r="L45" s="6"/>
      <c r="M45" s="6"/>
      <c r="N45" s="6"/>
      <c r="O45" s="6"/>
      <c r="P45" s="6"/>
      <c r="Q45" s="6"/>
      <c r="R45" s="6"/>
      <c r="S45" s="6"/>
      <c r="T45" s="6"/>
      <c r="U45" s="6"/>
      <c r="V45" s="6"/>
      <c r="W45" s="6"/>
      <c r="X45" s="6"/>
      <c r="Y45" s="6"/>
      <c r="Z45" s="6"/>
      <c r="AA45" s="6"/>
      <c r="AB45" s="6"/>
      <c r="AC45" s="12"/>
      <c r="AD45" s="12"/>
      <c r="AE45" s="12"/>
      <c r="AJ45" s="21"/>
    </row>
    <row r="46" spans="2:36" s="2" customFormat="1" ht="11.25">
      <c r="B46" s="17"/>
      <c r="D46" s="34"/>
      <c r="E46" s="34"/>
      <c r="F46" s="34"/>
      <c r="H46" s="6"/>
      <c r="I46" s="6"/>
      <c r="J46" s="6"/>
      <c r="K46" s="6"/>
      <c r="L46" s="6"/>
      <c r="M46" s="6"/>
      <c r="N46" s="6"/>
      <c r="O46" s="6"/>
      <c r="P46" s="6"/>
      <c r="Q46" s="6"/>
      <c r="R46" s="6"/>
      <c r="S46" s="6"/>
      <c r="T46" s="6"/>
      <c r="U46" s="6"/>
      <c r="V46" s="6"/>
      <c r="W46" s="6"/>
      <c r="X46" s="6"/>
      <c r="Y46" s="6"/>
      <c r="Z46" s="6"/>
      <c r="AA46" s="6"/>
      <c r="AB46" s="6"/>
      <c r="AC46" s="12"/>
      <c r="AD46" s="12"/>
      <c r="AE46" s="12"/>
      <c r="AJ46" s="21"/>
    </row>
    <row r="47" spans="2:36" s="2" customFormat="1" ht="11.25">
      <c r="B47" s="17"/>
      <c r="D47" s="34"/>
      <c r="E47" s="34"/>
      <c r="F47" s="34"/>
      <c r="H47" s="6"/>
      <c r="I47" s="6"/>
      <c r="J47" s="6"/>
      <c r="K47" s="6"/>
      <c r="L47" s="6"/>
      <c r="M47" s="6"/>
      <c r="N47" s="6"/>
      <c r="O47" s="6"/>
      <c r="P47" s="6"/>
      <c r="Q47" s="6"/>
      <c r="R47" s="6"/>
      <c r="S47" s="6"/>
      <c r="T47" s="6"/>
      <c r="U47" s="6"/>
      <c r="V47" s="6"/>
      <c r="W47" s="6"/>
      <c r="X47" s="6"/>
      <c r="Y47" s="6"/>
      <c r="Z47" s="6"/>
      <c r="AA47" s="6"/>
      <c r="AB47" s="6"/>
      <c r="AC47" s="12"/>
      <c r="AD47" s="12"/>
      <c r="AE47" s="12"/>
      <c r="AJ47" s="21"/>
    </row>
    <row r="48" spans="2:36" s="2" customFormat="1" ht="11.25">
      <c r="B48" s="17"/>
      <c r="C48" s="3"/>
      <c r="D48" s="13"/>
      <c r="E48" s="13"/>
      <c r="F48" s="13"/>
      <c r="H48" s="6"/>
      <c r="I48" s="6"/>
      <c r="J48" s="6"/>
      <c r="K48" s="6"/>
      <c r="L48" s="6"/>
      <c r="M48" s="6"/>
      <c r="N48" s="6"/>
      <c r="O48" s="6"/>
      <c r="P48" s="6"/>
      <c r="Q48" s="6"/>
      <c r="R48" s="6"/>
      <c r="S48" s="6"/>
      <c r="T48" s="6"/>
      <c r="U48" s="6"/>
      <c r="V48" s="6"/>
      <c r="W48" s="6"/>
      <c r="X48" s="6"/>
      <c r="Y48" s="6"/>
      <c r="Z48" s="6"/>
      <c r="AA48" s="6"/>
      <c r="AB48" s="6"/>
      <c r="AC48" s="12"/>
      <c r="AD48" s="12"/>
      <c r="AE48" s="12"/>
      <c r="AJ48" s="21"/>
    </row>
    <row r="49" spans="2:36" s="2" customFormat="1" ht="11.25">
      <c r="B49" s="17"/>
      <c r="C49" s="3"/>
      <c r="D49" s="13"/>
      <c r="E49" s="13"/>
      <c r="F49" s="13"/>
      <c r="H49" s="6"/>
      <c r="I49" s="6"/>
      <c r="J49" s="6"/>
      <c r="K49" s="6"/>
      <c r="L49" s="6"/>
      <c r="M49" s="6"/>
      <c r="N49" s="6"/>
      <c r="O49" s="6"/>
      <c r="P49" s="6"/>
      <c r="Q49" s="6"/>
      <c r="R49" s="6"/>
      <c r="S49" s="6"/>
      <c r="T49" s="6"/>
      <c r="U49" s="6"/>
      <c r="V49" s="6"/>
      <c r="W49" s="6"/>
      <c r="X49" s="6"/>
      <c r="Y49" s="6"/>
      <c r="Z49" s="6"/>
      <c r="AA49" s="6"/>
      <c r="AB49" s="6"/>
      <c r="AC49" s="12"/>
      <c r="AD49" s="12"/>
      <c r="AE49" s="12"/>
      <c r="AJ49" s="21"/>
    </row>
    <row r="50" spans="2:36" s="2" customFormat="1" ht="11.25">
      <c r="B50" s="17"/>
      <c r="D50" s="34"/>
      <c r="E50" s="34"/>
      <c r="F50" s="34"/>
      <c r="H50" s="6"/>
      <c r="I50" s="6"/>
      <c r="J50" s="6"/>
      <c r="K50" s="6"/>
      <c r="L50" s="6"/>
      <c r="M50" s="6"/>
      <c r="N50" s="6"/>
      <c r="O50" s="6"/>
      <c r="P50" s="6"/>
      <c r="Q50" s="6"/>
      <c r="R50" s="6"/>
      <c r="S50" s="6"/>
      <c r="T50" s="6"/>
      <c r="U50" s="6"/>
      <c r="V50" s="6"/>
      <c r="W50" s="6"/>
      <c r="X50" s="6"/>
      <c r="Y50" s="6"/>
      <c r="Z50" s="6"/>
      <c r="AA50" s="6"/>
      <c r="AB50" s="6"/>
      <c r="AC50" s="12"/>
      <c r="AD50" s="12"/>
      <c r="AE50" s="12"/>
      <c r="AJ50" s="21"/>
    </row>
    <row r="51" spans="2:36" s="2" customFormat="1" ht="11.25">
      <c r="B51" s="17"/>
      <c r="D51" s="34"/>
      <c r="E51" s="34"/>
      <c r="F51" s="34"/>
      <c r="H51" s="6"/>
      <c r="I51" s="6"/>
      <c r="J51" s="6"/>
      <c r="K51" s="6"/>
      <c r="L51" s="6"/>
      <c r="M51" s="6"/>
      <c r="N51" s="6"/>
      <c r="O51" s="6"/>
      <c r="P51" s="6"/>
      <c r="Q51" s="6"/>
      <c r="R51" s="6"/>
      <c r="S51" s="6"/>
      <c r="T51" s="6"/>
      <c r="U51" s="6"/>
      <c r="V51" s="6"/>
      <c r="W51" s="6"/>
      <c r="X51" s="6"/>
      <c r="Y51" s="6"/>
      <c r="Z51" s="6"/>
      <c r="AA51" s="6"/>
      <c r="AB51" s="6"/>
      <c r="AC51" s="12"/>
      <c r="AD51" s="12"/>
      <c r="AE51" s="12"/>
      <c r="AJ51" s="21"/>
    </row>
    <row r="52" spans="2:36" s="2" customFormat="1" ht="11.25">
      <c r="B52" s="17"/>
      <c r="D52" s="34"/>
      <c r="E52" s="34"/>
      <c r="F52" s="34"/>
      <c r="H52" s="6"/>
      <c r="I52" s="6"/>
      <c r="J52" s="6"/>
      <c r="K52" s="6"/>
      <c r="L52" s="6"/>
      <c r="M52" s="6"/>
      <c r="N52" s="6"/>
      <c r="O52" s="6"/>
      <c r="P52" s="6"/>
      <c r="Q52" s="6"/>
      <c r="R52" s="6"/>
      <c r="S52" s="6"/>
      <c r="T52" s="6"/>
      <c r="U52" s="6"/>
      <c r="V52" s="6"/>
      <c r="W52" s="6"/>
      <c r="X52" s="6"/>
      <c r="Y52" s="6"/>
      <c r="Z52" s="6"/>
      <c r="AA52" s="6"/>
      <c r="AB52" s="6"/>
      <c r="AC52" s="12"/>
      <c r="AD52" s="12"/>
      <c r="AE52" s="12"/>
      <c r="AJ52" s="21"/>
    </row>
    <row r="53" spans="2:36" s="2" customFormat="1" ht="11.25">
      <c r="B53" s="17"/>
      <c r="D53" s="34"/>
      <c r="E53" s="34"/>
      <c r="F53" s="34"/>
      <c r="H53" s="6"/>
      <c r="I53" s="6"/>
      <c r="J53" s="6"/>
      <c r="K53" s="6"/>
      <c r="L53" s="6"/>
      <c r="M53" s="6"/>
      <c r="N53" s="6"/>
      <c r="O53" s="6"/>
      <c r="P53" s="6"/>
      <c r="Q53" s="6"/>
      <c r="R53" s="6"/>
      <c r="S53" s="6"/>
      <c r="T53" s="6"/>
      <c r="U53" s="6"/>
      <c r="V53" s="6"/>
      <c r="W53" s="6"/>
      <c r="X53" s="6"/>
      <c r="Y53" s="6"/>
      <c r="Z53" s="6"/>
      <c r="AA53" s="6"/>
      <c r="AB53" s="6"/>
      <c r="AC53" s="12"/>
      <c r="AD53" s="12"/>
      <c r="AE53" s="12"/>
      <c r="AJ53" s="21"/>
    </row>
    <row r="54" spans="2:36" s="2" customFormat="1" ht="11.25">
      <c r="B54" s="17"/>
      <c r="D54" s="34"/>
      <c r="E54" s="34"/>
      <c r="F54" s="34"/>
      <c r="H54" s="6"/>
      <c r="I54" s="6"/>
      <c r="J54" s="6"/>
      <c r="K54" s="6"/>
      <c r="L54" s="6"/>
      <c r="M54" s="6"/>
      <c r="N54" s="6"/>
      <c r="O54" s="6"/>
      <c r="P54" s="6"/>
      <c r="Q54" s="6"/>
      <c r="R54" s="6"/>
      <c r="S54" s="6"/>
      <c r="T54" s="6"/>
      <c r="U54" s="6"/>
      <c r="V54" s="6"/>
      <c r="W54" s="6"/>
      <c r="X54" s="6"/>
      <c r="Y54" s="6"/>
      <c r="Z54" s="6"/>
      <c r="AA54" s="6"/>
      <c r="AB54" s="6"/>
      <c r="AC54" s="12"/>
      <c r="AD54" s="12"/>
      <c r="AE54" s="12"/>
      <c r="AJ54" s="21"/>
    </row>
    <row r="55" spans="2:36" s="2" customFormat="1" ht="11.25">
      <c r="B55" s="17"/>
      <c r="D55" s="34"/>
      <c r="E55" s="34"/>
      <c r="F55" s="34"/>
      <c r="H55" s="6"/>
      <c r="I55" s="6"/>
      <c r="J55" s="6"/>
      <c r="K55" s="6"/>
      <c r="L55" s="6"/>
      <c r="M55" s="6"/>
      <c r="N55" s="6"/>
      <c r="O55" s="6"/>
      <c r="P55" s="6"/>
      <c r="Q55" s="6"/>
      <c r="R55" s="6"/>
      <c r="S55" s="6"/>
      <c r="T55" s="6"/>
      <c r="U55" s="6"/>
      <c r="V55" s="6"/>
      <c r="W55" s="6"/>
      <c r="X55" s="6"/>
      <c r="Y55" s="6"/>
      <c r="Z55" s="6"/>
      <c r="AA55" s="6"/>
      <c r="AB55" s="6"/>
      <c r="AC55" s="12"/>
      <c r="AD55" s="12"/>
      <c r="AE55" s="12"/>
      <c r="AJ55" s="21"/>
    </row>
    <row r="56" spans="2:36" s="2" customFormat="1" ht="11.25">
      <c r="B56" s="17"/>
      <c r="D56" s="34"/>
      <c r="E56" s="34"/>
      <c r="F56" s="34"/>
      <c r="H56" s="6"/>
      <c r="I56" s="6"/>
      <c r="J56" s="6"/>
      <c r="K56" s="6"/>
      <c r="L56" s="6"/>
      <c r="M56" s="6"/>
      <c r="N56" s="6"/>
      <c r="O56" s="6"/>
      <c r="P56" s="6"/>
      <c r="Q56" s="6"/>
      <c r="R56" s="6"/>
      <c r="S56" s="6"/>
      <c r="T56" s="6"/>
      <c r="U56" s="6"/>
      <c r="V56" s="6"/>
      <c r="W56" s="6"/>
      <c r="X56" s="6"/>
      <c r="Y56" s="6"/>
      <c r="Z56" s="6"/>
      <c r="AA56" s="6"/>
      <c r="AB56" s="6"/>
      <c r="AC56" s="12"/>
      <c r="AD56" s="12"/>
      <c r="AE56" s="12"/>
      <c r="AJ56" s="21"/>
    </row>
    <row r="57" spans="2:36" s="2" customFormat="1" ht="11.25">
      <c r="B57" s="17"/>
      <c r="D57" s="34"/>
      <c r="E57" s="34"/>
      <c r="F57" s="34"/>
      <c r="H57" s="6"/>
      <c r="I57" s="6"/>
      <c r="J57" s="6"/>
      <c r="K57" s="6"/>
      <c r="L57" s="6"/>
      <c r="M57" s="6"/>
      <c r="N57" s="6"/>
      <c r="O57" s="6"/>
      <c r="P57" s="6"/>
      <c r="Q57" s="6"/>
      <c r="R57" s="6"/>
      <c r="S57" s="6"/>
      <c r="T57" s="6"/>
      <c r="U57" s="6"/>
      <c r="V57" s="6"/>
      <c r="W57" s="6"/>
      <c r="X57" s="6"/>
      <c r="Y57" s="6"/>
      <c r="Z57" s="6"/>
      <c r="AA57" s="6"/>
      <c r="AB57" s="6"/>
      <c r="AC57" s="12"/>
      <c r="AD57" s="12"/>
      <c r="AE57" s="12"/>
      <c r="AJ57" s="21"/>
    </row>
    <row r="58" spans="2:36" s="2" customFormat="1" ht="11.25">
      <c r="B58" s="17"/>
      <c r="D58" s="34"/>
      <c r="E58" s="34"/>
      <c r="F58" s="34"/>
      <c r="H58" s="6"/>
      <c r="I58" s="6"/>
      <c r="J58" s="6"/>
      <c r="K58" s="6"/>
      <c r="L58" s="6"/>
      <c r="M58" s="6"/>
      <c r="N58" s="6"/>
      <c r="O58" s="6"/>
      <c r="P58" s="6"/>
      <c r="Q58" s="6"/>
      <c r="R58" s="6"/>
      <c r="S58" s="6"/>
      <c r="T58" s="6"/>
      <c r="U58" s="6"/>
      <c r="V58" s="6"/>
      <c r="W58" s="6"/>
      <c r="X58" s="6"/>
      <c r="Y58" s="6"/>
      <c r="Z58" s="6"/>
      <c r="AA58" s="6"/>
      <c r="AB58" s="6"/>
      <c r="AC58" s="12"/>
      <c r="AD58" s="12"/>
      <c r="AE58" s="12"/>
      <c r="AJ58" s="21"/>
    </row>
    <row r="59" spans="2:36" s="2" customFormat="1" ht="11.25">
      <c r="B59" s="17"/>
      <c r="D59" s="34"/>
      <c r="E59" s="34"/>
      <c r="F59" s="34"/>
      <c r="H59" s="6"/>
      <c r="I59" s="6"/>
      <c r="J59" s="6"/>
      <c r="K59" s="6"/>
      <c r="L59" s="6"/>
      <c r="M59" s="6"/>
      <c r="N59" s="6"/>
      <c r="O59" s="6"/>
      <c r="P59" s="6"/>
      <c r="Q59" s="6"/>
      <c r="R59" s="6"/>
      <c r="S59" s="6"/>
      <c r="T59" s="6"/>
      <c r="U59" s="6"/>
      <c r="V59" s="6"/>
      <c r="W59" s="6"/>
      <c r="X59" s="6"/>
      <c r="Y59" s="6"/>
      <c r="Z59" s="6"/>
      <c r="AA59" s="6"/>
      <c r="AB59" s="6"/>
      <c r="AC59" s="12"/>
      <c r="AD59" s="12"/>
      <c r="AE59" s="12"/>
      <c r="AJ59" s="21"/>
    </row>
    <row r="60" spans="2:36" s="2" customFormat="1" ht="11.25">
      <c r="B60" s="17"/>
      <c r="D60" s="34"/>
      <c r="E60" s="34"/>
      <c r="F60" s="34"/>
      <c r="H60" s="6"/>
      <c r="I60" s="6"/>
      <c r="J60" s="6"/>
      <c r="K60" s="6"/>
      <c r="L60" s="6"/>
      <c r="M60" s="6"/>
      <c r="N60" s="6"/>
      <c r="O60" s="6"/>
      <c r="P60" s="6"/>
      <c r="Q60" s="6"/>
      <c r="R60" s="6"/>
      <c r="S60" s="6"/>
      <c r="T60" s="6"/>
      <c r="U60" s="6"/>
      <c r="V60" s="6"/>
      <c r="W60" s="6"/>
      <c r="X60" s="6"/>
      <c r="Y60" s="6"/>
      <c r="Z60" s="6"/>
      <c r="AA60" s="6"/>
      <c r="AB60" s="6"/>
      <c r="AC60" s="12"/>
      <c r="AD60" s="12"/>
      <c r="AE60" s="12"/>
      <c r="AJ60" s="21"/>
    </row>
    <row r="61" spans="2:36" s="2" customFormat="1" ht="11.25">
      <c r="B61" s="17"/>
      <c r="D61" s="34"/>
      <c r="E61" s="34"/>
      <c r="F61" s="34"/>
      <c r="H61" s="6"/>
      <c r="I61" s="6"/>
      <c r="J61" s="6"/>
      <c r="K61" s="6"/>
      <c r="L61" s="6"/>
      <c r="M61" s="6"/>
      <c r="N61" s="6"/>
      <c r="O61" s="6"/>
      <c r="P61" s="6"/>
      <c r="Q61" s="6"/>
      <c r="R61" s="6"/>
      <c r="S61" s="6"/>
      <c r="T61" s="6"/>
      <c r="U61" s="6"/>
      <c r="V61" s="6"/>
      <c r="W61" s="6"/>
      <c r="X61" s="6"/>
      <c r="Y61" s="6"/>
      <c r="Z61" s="6"/>
      <c r="AA61" s="6"/>
      <c r="AB61" s="6"/>
      <c r="AC61" s="12"/>
      <c r="AD61" s="12"/>
      <c r="AE61" s="12"/>
      <c r="AJ61" s="21"/>
    </row>
    <row r="62" spans="2:36" s="2" customFormat="1" ht="11.25">
      <c r="B62" s="17"/>
      <c r="D62" s="34"/>
      <c r="E62" s="34"/>
      <c r="F62" s="34"/>
      <c r="H62" s="6"/>
      <c r="I62" s="6"/>
      <c r="J62" s="6"/>
      <c r="K62" s="6"/>
      <c r="L62" s="6"/>
      <c r="M62" s="6"/>
      <c r="N62" s="6"/>
      <c r="O62" s="6"/>
      <c r="P62" s="6"/>
      <c r="Q62" s="6"/>
      <c r="R62" s="6"/>
      <c r="S62" s="6"/>
      <c r="T62" s="6"/>
      <c r="U62" s="6"/>
      <c r="V62" s="6"/>
      <c r="W62" s="6"/>
      <c r="X62" s="6"/>
      <c r="Y62" s="6"/>
      <c r="Z62" s="6"/>
      <c r="AA62" s="6"/>
      <c r="AB62" s="6"/>
      <c r="AC62" s="12"/>
      <c r="AD62" s="12"/>
      <c r="AE62" s="12"/>
      <c r="AJ62" s="21"/>
    </row>
    <row r="63" spans="2:36" s="2" customFormat="1" ht="11.25">
      <c r="B63" s="17"/>
      <c r="D63" s="34"/>
      <c r="E63" s="34"/>
      <c r="F63" s="34"/>
      <c r="H63" s="6"/>
      <c r="I63" s="6"/>
      <c r="J63" s="6"/>
      <c r="K63" s="6"/>
      <c r="L63" s="6"/>
      <c r="M63" s="6"/>
      <c r="N63" s="6"/>
      <c r="O63" s="6"/>
      <c r="P63" s="6"/>
      <c r="Q63" s="6"/>
      <c r="R63" s="6"/>
      <c r="S63" s="6"/>
      <c r="T63" s="6"/>
      <c r="U63" s="6"/>
      <c r="V63" s="6"/>
      <c r="W63" s="6"/>
      <c r="X63" s="6"/>
      <c r="Y63" s="6"/>
      <c r="Z63" s="6"/>
      <c r="AA63" s="6"/>
      <c r="AB63" s="6"/>
      <c r="AC63" s="12"/>
      <c r="AD63" s="12"/>
      <c r="AE63" s="12"/>
      <c r="AJ63" s="21"/>
    </row>
    <row r="64" spans="2:36" s="2" customFormat="1" ht="11.25">
      <c r="B64" s="17"/>
      <c r="D64" s="34"/>
      <c r="E64" s="34"/>
      <c r="F64" s="34"/>
      <c r="H64" s="6"/>
      <c r="I64" s="6"/>
      <c r="J64" s="6"/>
      <c r="K64" s="6"/>
      <c r="L64" s="6"/>
      <c r="M64" s="6"/>
      <c r="N64" s="6"/>
      <c r="O64" s="6"/>
      <c r="P64" s="6"/>
      <c r="Q64" s="6"/>
      <c r="R64" s="6"/>
      <c r="S64" s="6"/>
      <c r="T64" s="6"/>
      <c r="U64" s="6"/>
      <c r="V64" s="6"/>
      <c r="W64" s="6"/>
      <c r="X64" s="6"/>
      <c r="Y64" s="6"/>
      <c r="Z64" s="6"/>
      <c r="AA64" s="6"/>
      <c r="AB64" s="6"/>
      <c r="AC64" s="12"/>
      <c r="AD64" s="12"/>
      <c r="AE64" s="12"/>
      <c r="AJ64" s="21"/>
    </row>
    <row r="65" spans="2:36" s="2" customFormat="1" ht="11.25">
      <c r="B65" s="17"/>
      <c r="D65" s="34"/>
      <c r="E65" s="34"/>
      <c r="F65" s="34"/>
      <c r="H65" s="6"/>
      <c r="I65" s="6"/>
      <c r="J65" s="6"/>
      <c r="K65" s="6"/>
      <c r="L65" s="6"/>
      <c r="M65" s="6"/>
      <c r="N65" s="6"/>
      <c r="O65" s="6"/>
      <c r="P65" s="6"/>
      <c r="Q65" s="6"/>
      <c r="R65" s="6"/>
      <c r="S65" s="6"/>
      <c r="T65" s="6"/>
      <c r="U65" s="6"/>
      <c r="V65" s="6"/>
      <c r="W65" s="6"/>
      <c r="X65" s="6"/>
      <c r="Y65" s="6"/>
      <c r="Z65" s="6"/>
      <c r="AA65" s="6"/>
      <c r="AB65" s="6"/>
      <c r="AC65" s="12"/>
      <c r="AD65" s="12"/>
      <c r="AE65" s="12"/>
      <c r="AJ65" s="21"/>
    </row>
    <row r="66" spans="2:36" s="2" customFormat="1" ht="11.25">
      <c r="B66" s="17"/>
      <c r="D66" s="34"/>
      <c r="E66" s="34"/>
      <c r="F66" s="34"/>
      <c r="H66" s="6"/>
      <c r="I66" s="6"/>
      <c r="J66" s="6"/>
      <c r="K66" s="6"/>
      <c r="L66" s="6"/>
      <c r="M66" s="6"/>
      <c r="N66" s="6"/>
      <c r="O66" s="6"/>
      <c r="P66" s="6"/>
      <c r="Q66" s="6"/>
      <c r="R66" s="6"/>
      <c r="S66" s="6"/>
      <c r="T66" s="6"/>
      <c r="U66" s="6"/>
      <c r="V66" s="6"/>
      <c r="W66" s="6"/>
      <c r="X66" s="6"/>
      <c r="Y66" s="6"/>
      <c r="Z66" s="6"/>
      <c r="AA66" s="6"/>
      <c r="AB66" s="6"/>
      <c r="AC66" s="12"/>
      <c r="AD66" s="12"/>
      <c r="AE66" s="12"/>
      <c r="AJ66" s="21"/>
    </row>
    <row r="67" spans="2:36" s="2" customFormat="1" ht="11.25">
      <c r="B67" s="17"/>
      <c r="D67" s="34"/>
      <c r="E67" s="34"/>
      <c r="F67" s="34"/>
      <c r="H67" s="6"/>
      <c r="I67" s="6"/>
      <c r="J67" s="6"/>
      <c r="K67" s="6"/>
      <c r="L67" s="6"/>
      <c r="M67" s="6"/>
      <c r="N67" s="6"/>
      <c r="O67" s="6"/>
      <c r="P67" s="6"/>
      <c r="Q67" s="6"/>
      <c r="R67" s="6"/>
      <c r="S67" s="6"/>
      <c r="T67" s="6"/>
      <c r="U67" s="6"/>
      <c r="V67" s="6"/>
      <c r="W67" s="6"/>
      <c r="X67" s="6"/>
      <c r="Y67" s="6"/>
      <c r="Z67" s="6"/>
      <c r="AA67" s="6"/>
      <c r="AB67" s="6"/>
      <c r="AC67" s="12"/>
      <c r="AD67" s="12"/>
      <c r="AE67" s="12"/>
      <c r="AJ67" s="21"/>
    </row>
    <row r="68" spans="2:36" s="2" customFormat="1" ht="11.25">
      <c r="B68" s="17"/>
      <c r="D68" s="34"/>
      <c r="E68" s="34"/>
      <c r="F68" s="34"/>
      <c r="H68" s="6"/>
      <c r="I68" s="6"/>
      <c r="J68" s="6"/>
      <c r="K68" s="6"/>
      <c r="L68" s="6"/>
      <c r="M68" s="6"/>
      <c r="N68" s="6"/>
      <c r="O68" s="6"/>
      <c r="P68" s="6"/>
      <c r="Q68" s="6"/>
      <c r="R68" s="6"/>
      <c r="S68" s="6"/>
      <c r="T68" s="6"/>
      <c r="U68" s="6"/>
      <c r="V68" s="6"/>
      <c r="W68" s="6"/>
      <c r="X68" s="6"/>
      <c r="Y68" s="6"/>
      <c r="Z68" s="6"/>
      <c r="AA68" s="6"/>
      <c r="AB68" s="6"/>
      <c r="AC68" s="12"/>
      <c r="AD68" s="12"/>
      <c r="AE68" s="12"/>
      <c r="AJ68" s="21"/>
    </row>
    <row r="69" spans="2:36" s="2" customFormat="1" ht="11.25">
      <c r="B69" s="17"/>
      <c r="D69" s="34"/>
      <c r="E69" s="34"/>
      <c r="F69" s="34"/>
      <c r="H69" s="6"/>
      <c r="I69" s="6"/>
      <c r="J69" s="6"/>
      <c r="K69" s="6"/>
      <c r="L69" s="6"/>
      <c r="M69" s="6"/>
      <c r="N69" s="6"/>
      <c r="O69" s="6"/>
      <c r="P69" s="6"/>
      <c r="Q69" s="6"/>
      <c r="R69" s="6"/>
      <c r="S69" s="6"/>
      <c r="T69" s="6"/>
      <c r="U69" s="6"/>
      <c r="V69" s="6"/>
      <c r="W69" s="6"/>
      <c r="X69" s="6"/>
      <c r="Y69" s="6"/>
      <c r="Z69" s="6"/>
      <c r="AA69" s="6"/>
      <c r="AB69" s="6"/>
      <c r="AC69" s="12"/>
      <c r="AD69" s="12"/>
      <c r="AE69" s="12"/>
      <c r="AJ69" s="21"/>
    </row>
    <row r="70" spans="2:36" s="2" customFormat="1" ht="11.25">
      <c r="B70" s="17"/>
      <c r="D70" s="34"/>
      <c r="E70" s="34"/>
      <c r="F70" s="34"/>
      <c r="H70" s="6"/>
      <c r="I70" s="6"/>
      <c r="J70" s="6"/>
      <c r="K70" s="6"/>
      <c r="L70" s="6"/>
      <c r="M70" s="6"/>
      <c r="N70" s="6"/>
      <c r="O70" s="6"/>
      <c r="P70" s="6"/>
      <c r="Q70" s="6"/>
      <c r="R70" s="6"/>
      <c r="S70" s="6"/>
      <c r="T70" s="6"/>
      <c r="U70" s="6"/>
      <c r="V70" s="6"/>
      <c r="W70" s="6"/>
      <c r="X70" s="6"/>
      <c r="Y70" s="6"/>
      <c r="Z70" s="6"/>
      <c r="AA70" s="6"/>
      <c r="AB70" s="6"/>
      <c r="AC70" s="12"/>
      <c r="AD70" s="12"/>
      <c r="AE70" s="12"/>
      <c r="AJ70" s="21"/>
    </row>
    <row r="71" spans="2:36" s="2" customFormat="1" ht="11.25">
      <c r="B71" s="17"/>
      <c r="D71" s="34"/>
      <c r="E71" s="34"/>
      <c r="F71" s="34"/>
      <c r="H71" s="6"/>
      <c r="I71" s="6"/>
      <c r="J71" s="6"/>
      <c r="K71" s="6"/>
      <c r="L71" s="6"/>
      <c r="M71" s="6"/>
      <c r="N71" s="6"/>
      <c r="O71" s="6"/>
      <c r="P71" s="6"/>
      <c r="Q71" s="6"/>
      <c r="R71" s="6"/>
      <c r="S71" s="6"/>
      <c r="T71" s="6"/>
      <c r="U71" s="6"/>
      <c r="V71" s="6"/>
      <c r="W71" s="6"/>
      <c r="X71" s="6"/>
      <c r="Y71" s="6"/>
      <c r="Z71" s="6"/>
      <c r="AA71" s="6"/>
      <c r="AB71" s="6"/>
      <c r="AC71" s="12"/>
      <c r="AD71" s="12"/>
      <c r="AE71" s="12"/>
      <c r="AJ71" s="21"/>
    </row>
    <row r="72" spans="2:36" s="2" customFormat="1" ht="11.25">
      <c r="B72" s="17"/>
      <c r="D72" s="34"/>
      <c r="E72" s="34"/>
      <c r="F72" s="34"/>
      <c r="H72" s="6"/>
      <c r="I72" s="6"/>
      <c r="J72" s="6"/>
      <c r="K72" s="6"/>
      <c r="L72" s="6"/>
      <c r="M72" s="6"/>
      <c r="N72" s="6"/>
      <c r="O72" s="6"/>
      <c r="P72" s="6"/>
      <c r="Q72" s="6"/>
      <c r="R72" s="6"/>
      <c r="S72" s="6"/>
      <c r="T72" s="6"/>
      <c r="U72" s="6"/>
      <c r="V72" s="6"/>
      <c r="W72" s="6"/>
      <c r="X72" s="6"/>
      <c r="Y72" s="6"/>
      <c r="Z72" s="6"/>
      <c r="AA72" s="6"/>
      <c r="AB72" s="6"/>
      <c r="AC72" s="12"/>
      <c r="AD72" s="12"/>
      <c r="AE72" s="12"/>
      <c r="AJ72" s="21"/>
    </row>
    <row r="73" spans="2:36" s="2" customFormat="1" ht="11.25">
      <c r="B73" s="17"/>
      <c r="D73" s="34"/>
      <c r="E73" s="34"/>
      <c r="F73" s="34"/>
      <c r="H73" s="6"/>
      <c r="I73" s="6"/>
      <c r="J73" s="6"/>
      <c r="K73" s="6"/>
      <c r="L73" s="6"/>
      <c r="M73" s="6"/>
      <c r="N73" s="6"/>
      <c r="O73" s="6"/>
      <c r="P73" s="6"/>
      <c r="Q73" s="6"/>
      <c r="R73" s="6"/>
      <c r="S73" s="6"/>
      <c r="T73" s="6"/>
      <c r="U73" s="6"/>
      <c r="V73" s="6"/>
      <c r="W73" s="6"/>
      <c r="X73" s="6"/>
      <c r="Y73" s="6"/>
      <c r="Z73" s="6"/>
      <c r="AA73" s="6"/>
      <c r="AB73" s="6"/>
      <c r="AC73" s="12"/>
      <c r="AD73" s="12"/>
      <c r="AE73" s="12"/>
      <c r="AJ73" s="21"/>
    </row>
    <row r="74" spans="2:36" s="2" customFormat="1" ht="11.25">
      <c r="B74" s="17"/>
      <c r="D74" s="34"/>
      <c r="E74" s="34"/>
      <c r="F74" s="34"/>
      <c r="H74" s="6"/>
      <c r="I74" s="6"/>
      <c r="J74" s="6"/>
      <c r="K74" s="6"/>
      <c r="L74" s="6"/>
      <c r="M74" s="6"/>
      <c r="N74" s="6"/>
      <c r="O74" s="6"/>
      <c r="P74" s="6"/>
      <c r="Q74" s="6"/>
      <c r="R74" s="6"/>
      <c r="S74" s="6"/>
      <c r="T74" s="6"/>
      <c r="U74" s="6"/>
      <c r="V74" s="6"/>
      <c r="W74" s="6"/>
      <c r="X74" s="6"/>
      <c r="Y74" s="6"/>
      <c r="Z74" s="6"/>
      <c r="AA74" s="6"/>
      <c r="AB74" s="6"/>
      <c r="AC74" s="12"/>
      <c r="AD74" s="12"/>
      <c r="AE74" s="12"/>
      <c r="AJ74" s="21"/>
    </row>
    <row r="75" spans="2:36" s="2" customFormat="1" ht="11.25">
      <c r="B75" s="17"/>
      <c r="D75" s="34"/>
      <c r="E75" s="34"/>
      <c r="F75" s="34"/>
      <c r="H75" s="6"/>
      <c r="I75" s="6"/>
      <c r="J75" s="6"/>
      <c r="K75" s="6"/>
      <c r="L75" s="6"/>
      <c r="M75" s="6"/>
      <c r="N75" s="6"/>
      <c r="O75" s="6"/>
      <c r="P75" s="6"/>
      <c r="Q75" s="6"/>
      <c r="R75" s="6"/>
      <c r="S75" s="6"/>
      <c r="T75" s="6"/>
      <c r="U75" s="6"/>
      <c r="V75" s="6"/>
      <c r="W75" s="6"/>
      <c r="X75" s="6"/>
      <c r="Y75" s="6"/>
      <c r="Z75" s="6"/>
      <c r="AA75" s="6"/>
      <c r="AB75" s="6"/>
      <c r="AC75" s="12"/>
      <c r="AD75" s="12"/>
      <c r="AE75" s="12"/>
      <c r="AJ75" s="21"/>
    </row>
    <row r="76" spans="2:36" s="2" customFormat="1" ht="11.25">
      <c r="B76" s="17"/>
      <c r="D76" s="34"/>
      <c r="E76" s="34"/>
      <c r="F76" s="34"/>
      <c r="H76" s="6"/>
      <c r="I76" s="6"/>
      <c r="J76" s="6"/>
      <c r="K76" s="6"/>
      <c r="L76" s="6"/>
      <c r="M76" s="6"/>
      <c r="N76" s="6"/>
      <c r="O76" s="6"/>
      <c r="P76" s="6"/>
      <c r="Q76" s="6"/>
      <c r="R76" s="6"/>
      <c r="S76" s="6"/>
      <c r="T76" s="6"/>
      <c r="U76" s="6"/>
      <c r="V76" s="6"/>
      <c r="W76" s="6"/>
      <c r="X76" s="6"/>
      <c r="Y76" s="6"/>
      <c r="Z76" s="6"/>
      <c r="AA76" s="6"/>
      <c r="AB76" s="6"/>
      <c r="AC76" s="12"/>
      <c r="AD76" s="12"/>
      <c r="AE76" s="12"/>
      <c r="AJ76" s="21"/>
    </row>
    <row r="77" spans="2:36" s="2" customFormat="1" ht="11.25">
      <c r="B77" s="17"/>
      <c r="D77" s="34"/>
      <c r="E77" s="34"/>
      <c r="F77" s="34"/>
      <c r="H77" s="6"/>
      <c r="I77" s="6"/>
      <c r="J77" s="6"/>
      <c r="K77" s="6"/>
      <c r="L77" s="6"/>
      <c r="M77" s="6"/>
      <c r="N77" s="6"/>
      <c r="O77" s="6"/>
      <c r="P77" s="6"/>
      <c r="Q77" s="6"/>
      <c r="R77" s="6"/>
      <c r="S77" s="6"/>
      <c r="T77" s="6"/>
      <c r="U77" s="6"/>
      <c r="V77" s="6"/>
      <c r="W77" s="6"/>
      <c r="X77" s="6"/>
      <c r="Y77" s="6"/>
      <c r="Z77" s="6"/>
      <c r="AA77" s="6"/>
      <c r="AB77" s="6"/>
      <c r="AC77" s="12"/>
      <c r="AD77" s="12"/>
      <c r="AE77" s="12"/>
      <c r="AJ77" s="21"/>
    </row>
    <row r="78" spans="2:36" s="2" customFormat="1" ht="11.25">
      <c r="B78" s="17"/>
      <c r="D78" s="34"/>
      <c r="E78" s="34"/>
      <c r="F78" s="34"/>
      <c r="H78" s="6"/>
      <c r="I78" s="6"/>
      <c r="J78" s="6"/>
      <c r="K78" s="6"/>
      <c r="L78" s="6"/>
      <c r="M78" s="6"/>
      <c r="N78" s="6"/>
      <c r="O78" s="6"/>
      <c r="P78" s="6"/>
      <c r="Q78" s="6"/>
      <c r="R78" s="6"/>
      <c r="S78" s="6"/>
      <c r="T78" s="6"/>
      <c r="U78" s="6"/>
      <c r="V78" s="6"/>
      <c r="W78" s="6"/>
      <c r="X78" s="6"/>
      <c r="Y78" s="6"/>
      <c r="Z78" s="6"/>
      <c r="AA78" s="6"/>
      <c r="AB78" s="6"/>
      <c r="AC78" s="12"/>
      <c r="AD78" s="12"/>
      <c r="AE78" s="12"/>
      <c r="AJ78" s="21"/>
    </row>
    <row r="79" spans="2:36" s="2" customFormat="1" ht="11.25">
      <c r="B79" s="17"/>
      <c r="D79" s="34"/>
      <c r="E79" s="34"/>
      <c r="F79" s="34"/>
      <c r="H79" s="6"/>
      <c r="I79" s="6"/>
      <c r="J79" s="6"/>
      <c r="K79" s="6"/>
      <c r="L79" s="6"/>
      <c r="M79" s="6"/>
      <c r="N79" s="6"/>
      <c r="O79" s="6"/>
      <c r="P79" s="6"/>
      <c r="Q79" s="6"/>
      <c r="R79" s="6"/>
      <c r="S79" s="6"/>
      <c r="T79" s="6"/>
      <c r="U79" s="6"/>
      <c r="V79" s="6"/>
      <c r="W79" s="6"/>
      <c r="X79" s="6"/>
      <c r="Y79" s="6"/>
      <c r="Z79" s="6"/>
      <c r="AA79" s="6"/>
      <c r="AB79" s="6"/>
      <c r="AC79" s="12"/>
      <c r="AD79" s="12"/>
      <c r="AE79" s="12"/>
      <c r="AJ79" s="21"/>
    </row>
    <row r="80" spans="2:36" s="2" customFormat="1" ht="11.25">
      <c r="B80" s="17"/>
      <c r="D80" s="34"/>
      <c r="E80" s="34"/>
      <c r="F80" s="34"/>
      <c r="H80" s="6"/>
      <c r="I80" s="6"/>
      <c r="J80" s="6"/>
      <c r="K80" s="6"/>
      <c r="L80" s="6"/>
      <c r="M80" s="6"/>
      <c r="N80" s="6"/>
      <c r="O80" s="6"/>
      <c r="P80" s="6"/>
      <c r="Q80" s="6"/>
      <c r="R80" s="6"/>
      <c r="S80" s="6"/>
      <c r="T80" s="6"/>
      <c r="U80" s="6"/>
      <c r="V80" s="6"/>
      <c r="W80" s="6"/>
      <c r="X80" s="6"/>
      <c r="Y80" s="6"/>
      <c r="Z80" s="6"/>
      <c r="AA80" s="6"/>
      <c r="AB80" s="6"/>
      <c r="AC80" s="12"/>
      <c r="AD80" s="12"/>
      <c r="AE80" s="12"/>
      <c r="AJ80" s="21"/>
    </row>
    <row r="81" spans="2:36" s="2" customFormat="1" ht="11.25">
      <c r="B81" s="17"/>
      <c r="D81" s="34"/>
      <c r="E81" s="34"/>
      <c r="F81" s="34"/>
      <c r="H81" s="6"/>
      <c r="I81" s="6"/>
      <c r="J81" s="6"/>
      <c r="K81" s="6"/>
      <c r="L81" s="6"/>
      <c r="M81" s="6"/>
      <c r="N81" s="6"/>
      <c r="O81" s="6"/>
      <c r="P81" s="6"/>
      <c r="Q81" s="6"/>
      <c r="R81" s="6"/>
      <c r="S81" s="6"/>
      <c r="T81" s="6"/>
      <c r="U81" s="6"/>
      <c r="V81" s="6"/>
      <c r="W81" s="6"/>
      <c r="X81" s="6"/>
      <c r="Y81" s="6"/>
      <c r="Z81" s="6"/>
      <c r="AA81" s="6"/>
      <c r="AB81" s="6"/>
      <c r="AC81" s="12"/>
      <c r="AD81" s="12"/>
      <c r="AE81" s="12"/>
      <c r="AJ81" s="21"/>
    </row>
    <row r="82" spans="2:36" s="2" customFormat="1" ht="11.25">
      <c r="B82" s="17"/>
      <c r="D82" s="34"/>
      <c r="E82" s="34"/>
      <c r="F82" s="34"/>
      <c r="H82" s="6"/>
      <c r="I82" s="6"/>
      <c r="J82" s="6"/>
      <c r="K82" s="6"/>
      <c r="L82" s="6"/>
      <c r="M82" s="6"/>
      <c r="N82" s="6"/>
      <c r="O82" s="6"/>
      <c r="P82" s="6"/>
      <c r="Q82" s="6"/>
      <c r="R82" s="6"/>
      <c r="S82" s="6"/>
      <c r="T82" s="6"/>
      <c r="U82" s="6"/>
      <c r="V82" s="6"/>
      <c r="W82" s="6"/>
      <c r="X82" s="6"/>
      <c r="Y82" s="6"/>
      <c r="Z82" s="6"/>
      <c r="AA82" s="6"/>
      <c r="AB82" s="6"/>
      <c r="AC82" s="6"/>
      <c r="AD82" s="6"/>
      <c r="AE82" s="6"/>
      <c r="AJ82" s="21"/>
    </row>
    <row r="83" spans="2:36" s="2" customFormat="1" ht="11.25">
      <c r="B83" s="17"/>
      <c r="D83" s="34"/>
      <c r="E83" s="34"/>
      <c r="F83" s="34"/>
      <c r="H83" s="6"/>
      <c r="I83" s="6"/>
      <c r="J83" s="6"/>
      <c r="K83" s="6"/>
      <c r="L83" s="6"/>
      <c r="M83" s="6"/>
      <c r="N83" s="6"/>
      <c r="O83" s="6"/>
      <c r="P83" s="6"/>
      <c r="Q83" s="6"/>
      <c r="R83" s="6"/>
      <c r="S83" s="6"/>
      <c r="T83" s="6"/>
      <c r="U83" s="6"/>
      <c r="V83" s="6"/>
      <c r="W83" s="6"/>
      <c r="X83" s="6"/>
      <c r="Y83" s="6"/>
      <c r="Z83" s="6"/>
      <c r="AA83" s="6"/>
      <c r="AB83" s="6"/>
      <c r="AC83" s="6"/>
      <c r="AD83" s="6"/>
      <c r="AE83" s="6"/>
      <c r="AJ83" s="21"/>
    </row>
    <row r="84" spans="2:36" s="2" customFormat="1" ht="11.25">
      <c r="B84" s="17"/>
      <c r="D84" s="34"/>
      <c r="E84" s="34"/>
      <c r="F84" s="34"/>
      <c r="H84" s="6"/>
      <c r="I84" s="6"/>
      <c r="J84" s="6"/>
      <c r="K84" s="6"/>
      <c r="L84" s="6"/>
      <c r="M84" s="6"/>
      <c r="N84" s="6"/>
      <c r="O84" s="6"/>
      <c r="P84" s="6"/>
      <c r="Q84" s="6"/>
      <c r="R84" s="6"/>
      <c r="S84" s="6"/>
      <c r="T84" s="6"/>
      <c r="U84" s="6"/>
      <c r="V84" s="6"/>
      <c r="W84" s="6"/>
      <c r="X84" s="6"/>
      <c r="Y84" s="6"/>
      <c r="Z84" s="6"/>
      <c r="AA84" s="6"/>
      <c r="AB84" s="6"/>
      <c r="AC84" s="6"/>
      <c r="AD84" s="6"/>
      <c r="AE84" s="6"/>
      <c r="AJ84" s="21"/>
    </row>
    <row r="85" spans="2:36" s="2" customFormat="1" ht="11.25">
      <c r="B85" s="17"/>
      <c r="D85" s="34"/>
      <c r="E85" s="34"/>
      <c r="F85" s="34"/>
      <c r="H85" s="6"/>
      <c r="I85" s="6"/>
      <c r="J85" s="6"/>
      <c r="K85" s="6"/>
      <c r="L85" s="6"/>
      <c r="M85" s="6"/>
      <c r="N85" s="6"/>
      <c r="O85" s="6"/>
      <c r="P85" s="6"/>
      <c r="Q85" s="6"/>
      <c r="R85" s="6"/>
      <c r="S85" s="6"/>
      <c r="T85" s="6"/>
      <c r="U85" s="6"/>
      <c r="V85" s="6"/>
      <c r="W85" s="6"/>
      <c r="X85" s="6"/>
      <c r="Y85" s="6"/>
      <c r="Z85" s="6"/>
      <c r="AA85" s="6"/>
      <c r="AB85" s="6"/>
      <c r="AC85" s="6"/>
      <c r="AD85" s="6"/>
      <c r="AE85" s="6"/>
      <c r="AJ85" s="21"/>
    </row>
    <row r="86" spans="2:36" s="2" customFormat="1" ht="11.25">
      <c r="B86" s="17"/>
      <c r="D86" s="34"/>
      <c r="E86" s="34"/>
      <c r="F86" s="34"/>
      <c r="H86" s="6"/>
      <c r="I86" s="6"/>
      <c r="J86" s="6"/>
      <c r="K86" s="6"/>
      <c r="L86" s="6"/>
      <c r="M86" s="6"/>
      <c r="N86" s="6"/>
      <c r="O86" s="6"/>
      <c r="P86" s="6"/>
      <c r="Q86" s="6"/>
      <c r="R86" s="6"/>
      <c r="S86" s="6"/>
      <c r="T86" s="6"/>
      <c r="U86" s="6"/>
      <c r="V86" s="6"/>
      <c r="W86" s="6"/>
      <c r="X86" s="6"/>
      <c r="Y86" s="6"/>
      <c r="Z86" s="6"/>
      <c r="AA86" s="6"/>
      <c r="AB86" s="6"/>
      <c r="AC86" s="12"/>
      <c r="AD86" s="12"/>
      <c r="AE86" s="12"/>
      <c r="AJ86" s="21"/>
    </row>
    <row r="87" spans="2:36" s="2" customFormat="1" ht="11.25">
      <c r="B87" s="17"/>
      <c r="D87" s="34"/>
      <c r="E87" s="34"/>
      <c r="F87" s="34"/>
      <c r="H87" s="6"/>
      <c r="I87" s="6"/>
      <c r="J87" s="6"/>
      <c r="K87" s="6"/>
      <c r="L87" s="6"/>
      <c r="M87" s="6"/>
      <c r="N87" s="6"/>
      <c r="O87" s="6"/>
      <c r="P87" s="6"/>
      <c r="Q87" s="6"/>
      <c r="R87" s="6"/>
      <c r="S87" s="6"/>
      <c r="T87" s="6"/>
      <c r="U87" s="6"/>
      <c r="V87" s="6"/>
      <c r="W87" s="6"/>
      <c r="X87" s="6"/>
      <c r="Y87" s="6"/>
      <c r="Z87" s="6"/>
      <c r="AA87" s="6"/>
      <c r="AB87" s="6"/>
      <c r="AC87" s="12"/>
      <c r="AD87" s="12"/>
      <c r="AE87" s="12"/>
      <c r="AJ87" s="21"/>
    </row>
    <row r="88" spans="2:36" s="2" customFormat="1" ht="11.25">
      <c r="B88" s="17"/>
      <c r="D88" s="34"/>
      <c r="E88" s="34"/>
      <c r="F88" s="34"/>
      <c r="H88" s="6"/>
      <c r="I88" s="6"/>
      <c r="J88" s="6"/>
      <c r="K88" s="6"/>
      <c r="L88" s="6"/>
      <c r="M88" s="6"/>
      <c r="N88" s="6"/>
      <c r="O88" s="6"/>
      <c r="P88" s="6"/>
      <c r="Q88" s="6"/>
      <c r="R88" s="6"/>
      <c r="S88" s="6"/>
      <c r="T88" s="6"/>
      <c r="U88" s="6"/>
      <c r="V88" s="6"/>
      <c r="W88" s="6"/>
      <c r="X88" s="6"/>
      <c r="Y88" s="6"/>
      <c r="Z88" s="6"/>
      <c r="AA88" s="6"/>
      <c r="AB88" s="6"/>
      <c r="AC88" s="12"/>
      <c r="AD88" s="12"/>
      <c r="AE88" s="12"/>
      <c r="AJ88" s="21"/>
    </row>
    <row r="89" spans="2:36" s="2" customFormat="1" ht="11.25">
      <c r="B89" s="17"/>
      <c r="C89" s="14"/>
      <c r="D89" s="36"/>
      <c r="E89" s="36"/>
      <c r="F89" s="36"/>
      <c r="H89" s="6"/>
      <c r="I89" s="6"/>
      <c r="J89" s="6"/>
      <c r="K89" s="6"/>
      <c r="L89" s="6"/>
      <c r="M89" s="6"/>
      <c r="N89" s="6"/>
      <c r="O89" s="6"/>
      <c r="P89" s="6"/>
      <c r="Q89" s="6"/>
      <c r="R89" s="6"/>
      <c r="S89" s="6"/>
      <c r="T89" s="6"/>
      <c r="U89" s="6"/>
      <c r="V89" s="6"/>
      <c r="W89" s="6"/>
      <c r="X89" s="6"/>
      <c r="Y89" s="6"/>
      <c r="Z89" s="6"/>
      <c r="AA89" s="6"/>
      <c r="AB89" s="6"/>
      <c r="AC89" s="12"/>
      <c r="AD89" s="12"/>
      <c r="AE89" s="12"/>
      <c r="AJ89" s="21"/>
    </row>
    <row r="90" spans="2:36" s="2" customFormat="1" ht="11.25">
      <c r="B90" s="17"/>
      <c r="D90" s="34"/>
      <c r="E90" s="34"/>
      <c r="F90" s="34"/>
      <c r="H90" s="6"/>
      <c r="I90" s="6"/>
      <c r="J90" s="6"/>
      <c r="K90" s="6"/>
      <c r="L90" s="6"/>
      <c r="M90" s="6"/>
      <c r="N90" s="6"/>
      <c r="O90" s="6"/>
      <c r="P90" s="6"/>
      <c r="Q90" s="6"/>
      <c r="R90" s="6"/>
      <c r="S90" s="6"/>
      <c r="T90" s="6"/>
      <c r="U90" s="6"/>
      <c r="V90" s="6"/>
      <c r="W90" s="6"/>
      <c r="X90" s="6"/>
      <c r="Y90" s="6"/>
      <c r="Z90" s="6"/>
      <c r="AA90" s="6"/>
      <c r="AB90" s="6"/>
      <c r="AC90" s="6"/>
      <c r="AD90" s="6"/>
      <c r="AE90" s="6"/>
      <c r="AJ90" s="21"/>
    </row>
    <row r="91" spans="2:36" s="2" customFormat="1" ht="11.25">
      <c r="B91" s="17"/>
      <c r="D91" s="34"/>
      <c r="E91" s="34"/>
      <c r="F91" s="34"/>
      <c r="H91" s="6"/>
      <c r="I91" s="6"/>
      <c r="J91" s="6"/>
      <c r="K91" s="6"/>
      <c r="L91" s="6"/>
      <c r="M91" s="6"/>
      <c r="N91" s="6"/>
      <c r="O91" s="6"/>
      <c r="P91" s="6"/>
      <c r="Q91" s="6"/>
      <c r="R91" s="6"/>
      <c r="S91" s="6"/>
      <c r="T91" s="6"/>
      <c r="U91" s="6"/>
      <c r="V91" s="6"/>
      <c r="W91" s="6"/>
      <c r="X91" s="6"/>
      <c r="Y91" s="6"/>
      <c r="Z91" s="6"/>
      <c r="AA91" s="6"/>
      <c r="AB91" s="6"/>
      <c r="AC91" s="12"/>
      <c r="AD91" s="12"/>
      <c r="AE91" s="12"/>
      <c r="AJ91" s="21"/>
    </row>
    <row r="92" spans="2:36" s="2" customFormat="1" ht="11.25">
      <c r="B92" s="17"/>
      <c r="D92" s="34"/>
      <c r="E92" s="34"/>
      <c r="F92" s="34"/>
      <c r="H92" s="6"/>
      <c r="I92" s="6"/>
      <c r="J92" s="6"/>
      <c r="K92" s="6"/>
      <c r="L92" s="6"/>
      <c r="M92" s="6"/>
      <c r="N92" s="6"/>
      <c r="O92" s="6"/>
      <c r="P92" s="6"/>
      <c r="Q92" s="6"/>
      <c r="R92" s="6"/>
      <c r="S92" s="6"/>
      <c r="T92" s="6"/>
      <c r="U92" s="6"/>
      <c r="V92" s="6"/>
      <c r="W92" s="6"/>
      <c r="X92" s="6"/>
      <c r="Y92" s="6"/>
      <c r="Z92" s="6"/>
      <c r="AA92" s="6"/>
      <c r="AB92" s="6"/>
      <c r="AC92" s="12"/>
      <c r="AD92" s="12"/>
      <c r="AE92" s="12"/>
      <c r="AJ92" s="21"/>
    </row>
    <row r="93" spans="2:36" s="2" customFormat="1" ht="11.25">
      <c r="B93" s="17"/>
      <c r="D93" s="34"/>
      <c r="E93" s="34"/>
      <c r="F93" s="34"/>
      <c r="H93" s="6"/>
      <c r="I93" s="6"/>
      <c r="J93" s="6"/>
      <c r="K93" s="6"/>
      <c r="L93" s="6"/>
      <c r="M93" s="6"/>
      <c r="N93" s="6"/>
      <c r="O93" s="6"/>
      <c r="P93" s="6"/>
      <c r="Q93" s="6"/>
      <c r="R93" s="6"/>
      <c r="S93" s="6"/>
      <c r="T93" s="6"/>
      <c r="U93" s="6"/>
      <c r="V93" s="6"/>
      <c r="W93" s="6"/>
      <c r="X93" s="6"/>
      <c r="Y93" s="6"/>
      <c r="Z93" s="6"/>
      <c r="AA93" s="6"/>
      <c r="AB93" s="6"/>
      <c r="AC93" s="12"/>
      <c r="AD93" s="12"/>
      <c r="AE93" s="12"/>
      <c r="AJ93" s="21"/>
    </row>
    <row r="94" spans="2:36" s="2" customFormat="1" ht="11.25">
      <c r="B94" s="17"/>
      <c r="D94" s="34"/>
      <c r="E94" s="34"/>
      <c r="F94" s="34"/>
      <c r="H94" s="6"/>
      <c r="I94" s="6"/>
      <c r="J94" s="6"/>
      <c r="K94" s="6"/>
      <c r="L94" s="6"/>
      <c r="M94" s="6"/>
      <c r="N94" s="6"/>
      <c r="O94" s="6"/>
      <c r="P94" s="6"/>
      <c r="Q94" s="6"/>
      <c r="R94" s="6"/>
      <c r="S94" s="6"/>
      <c r="T94" s="6"/>
      <c r="U94" s="6"/>
      <c r="V94" s="6"/>
      <c r="W94" s="6"/>
      <c r="X94" s="6"/>
      <c r="Y94" s="6"/>
      <c r="Z94" s="6"/>
      <c r="AA94" s="6"/>
      <c r="AB94" s="6"/>
      <c r="AC94" s="12"/>
      <c r="AD94" s="12"/>
      <c r="AE94" s="12"/>
      <c r="AJ94" s="21"/>
    </row>
    <row r="95" spans="2:36" s="2" customFormat="1" ht="11.25">
      <c r="B95" s="17"/>
      <c r="D95" s="34"/>
      <c r="E95" s="34"/>
      <c r="F95" s="34"/>
      <c r="H95" s="6"/>
      <c r="I95" s="6"/>
      <c r="J95" s="6"/>
      <c r="K95" s="6"/>
      <c r="L95" s="6"/>
      <c r="M95" s="6"/>
      <c r="N95" s="6"/>
      <c r="O95" s="6"/>
      <c r="P95" s="6"/>
      <c r="Q95" s="6"/>
      <c r="R95" s="6"/>
      <c r="S95" s="6"/>
      <c r="T95" s="6"/>
      <c r="U95" s="6"/>
      <c r="V95" s="6"/>
      <c r="W95" s="6"/>
      <c r="X95" s="6"/>
      <c r="Y95" s="6"/>
      <c r="Z95" s="6"/>
      <c r="AA95" s="6"/>
      <c r="AB95" s="6"/>
      <c r="AC95" s="12"/>
      <c r="AD95" s="12"/>
      <c r="AE95" s="12"/>
      <c r="AJ95" s="21"/>
    </row>
    <row r="96" spans="2:36" s="2" customFormat="1" ht="11.25">
      <c r="B96" s="17"/>
      <c r="D96" s="34"/>
      <c r="E96" s="34"/>
      <c r="F96" s="34"/>
      <c r="H96" s="6"/>
      <c r="I96" s="6"/>
      <c r="J96" s="6"/>
      <c r="K96" s="6"/>
      <c r="L96" s="6"/>
      <c r="M96" s="6"/>
      <c r="N96" s="6"/>
      <c r="O96" s="6"/>
      <c r="P96" s="6"/>
      <c r="Q96" s="6"/>
      <c r="R96" s="6"/>
      <c r="S96" s="6"/>
      <c r="T96" s="6"/>
      <c r="U96" s="6"/>
      <c r="V96" s="6"/>
      <c r="W96" s="6"/>
      <c r="X96" s="6"/>
      <c r="Y96" s="6"/>
      <c r="Z96" s="6"/>
      <c r="AA96" s="6"/>
      <c r="AB96" s="6"/>
      <c r="AC96" s="12"/>
      <c r="AD96" s="12"/>
      <c r="AE96" s="12"/>
      <c r="AJ96" s="21"/>
    </row>
    <row r="97" spans="2:36" s="2" customFormat="1" ht="11.25">
      <c r="B97" s="17"/>
      <c r="D97" s="34"/>
      <c r="E97" s="34"/>
      <c r="F97" s="34"/>
      <c r="H97" s="6"/>
      <c r="I97" s="6"/>
      <c r="J97" s="6"/>
      <c r="K97" s="6"/>
      <c r="L97" s="6"/>
      <c r="M97" s="6"/>
      <c r="N97" s="6"/>
      <c r="O97" s="6"/>
      <c r="P97" s="6"/>
      <c r="Q97" s="6"/>
      <c r="R97" s="6"/>
      <c r="S97" s="6"/>
      <c r="T97" s="6"/>
      <c r="U97" s="6"/>
      <c r="V97" s="6"/>
      <c r="W97" s="6"/>
      <c r="X97" s="6"/>
      <c r="Y97" s="6"/>
      <c r="Z97" s="6"/>
      <c r="AA97" s="6"/>
      <c r="AB97" s="6"/>
      <c r="AC97" s="12"/>
      <c r="AD97" s="12"/>
      <c r="AE97" s="12"/>
      <c r="AJ97" s="21"/>
    </row>
    <row r="98" spans="2:36" s="2" customFormat="1" ht="11.25">
      <c r="B98" s="17"/>
      <c r="D98" s="34"/>
      <c r="E98" s="34"/>
      <c r="F98" s="34"/>
      <c r="H98" s="6"/>
      <c r="I98" s="6"/>
      <c r="J98" s="6"/>
      <c r="K98" s="6"/>
      <c r="L98" s="6"/>
      <c r="M98" s="6"/>
      <c r="N98" s="6"/>
      <c r="O98" s="6"/>
      <c r="P98" s="6"/>
      <c r="Q98" s="6"/>
      <c r="R98" s="6"/>
      <c r="S98" s="6"/>
      <c r="T98" s="6"/>
      <c r="U98" s="6"/>
      <c r="V98" s="6"/>
      <c r="W98" s="6"/>
      <c r="X98" s="6"/>
      <c r="Y98" s="6"/>
      <c r="Z98" s="6"/>
      <c r="AA98" s="6"/>
      <c r="AB98" s="6"/>
      <c r="AC98" s="12"/>
      <c r="AD98" s="12"/>
      <c r="AE98" s="12"/>
      <c r="AJ98" s="21"/>
    </row>
    <row r="99" spans="2:36" s="2" customFormat="1" ht="11.25">
      <c r="B99" s="17"/>
      <c r="D99" s="34"/>
      <c r="E99" s="34"/>
      <c r="F99" s="34"/>
      <c r="H99" s="6"/>
      <c r="I99" s="6"/>
      <c r="J99" s="6"/>
      <c r="K99" s="6"/>
      <c r="L99" s="6"/>
      <c r="M99" s="6"/>
      <c r="N99" s="6"/>
      <c r="O99" s="6"/>
      <c r="P99" s="6"/>
      <c r="Q99" s="6"/>
      <c r="R99" s="6"/>
      <c r="S99" s="6"/>
      <c r="T99" s="6"/>
      <c r="U99" s="6"/>
      <c r="V99" s="6"/>
      <c r="W99" s="6"/>
      <c r="X99" s="6"/>
      <c r="Y99" s="6"/>
      <c r="Z99" s="6"/>
      <c r="AA99" s="6"/>
      <c r="AB99" s="6"/>
      <c r="AC99" s="12"/>
      <c r="AD99" s="12"/>
      <c r="AE99" s="12"/>
      <c r="AJ99" s="21"/>
    </row>
    <row r="100" spans="2:36" s="2" customFormat="1" ht="11.25">
      <c r="B100" s="17"/>
      <c r="D100" s="34"/>
      <c r="E100" s="34"/>
      <c r="F100" s="34"/>
      <c r="H100" s="6"/>
      <c r="I100" s="6"/>
      <c r="J100" s="6"/>
      <c r="K100" s="6"/>
      <c r="L100" s="6"/>
      <c r="M100" s="6"/>
      <c r="N100" s="6"/>
      <c r="O100" s="6"/>
      <c r="P100" s="6"/>
      <c r="Q100" s="6"/>
      <c r="R100" s="6"/>
      <c r="S100" s="6"/>
      <c r="T100" s="6"/>
      <c r="U100" s="6"/>
      <c r="V100" s="6"/>
      <c r="W100" s="6"/>
      <c r="X100" s="6"/>
      <c r="Y100" s="6"/>
      <c r="Z100" s="6"/>
      <c r="AA100" s="6"/>
      <c r="AB100" s="6"/>
      <c r="AC100" s="12"/>
      <c r="AD100" s="12"/>
      <c r="AE100" s="12"/>
      <c r="AJ100" s="21"/>
    </row>
    <row r="101" spans="2:36" s="2" customFormat="1" ht="11.25">
      <c r="B101" s="17"/>
      <c r="D101" s="34"/>
      <c r="E101" s="34"/>
      <c r="F101" s="34"/>
      <c r="H101" s="6"/>
      <c r="I101" s="6"/>
      <c r="J101" s="6"/>
      <c r="K101" s="6"/>
      <c r="L101" s="6"/>
      <c r="M101" s="6"/>
      <c r="N101" s="6"/>
      <c r="O101" s="6"/>
      <c r="P101" s="6"/>
      <c r="Q101" s="6"/>
      <c r="R101" s="6"/>
      <c r="S101" s="6"/>
      <c r="T101" s="6"/>
      <c r="U101" s="6"/>
      <c r="V101" s="6"/>
      <c r="W101" s="6"/>
      <c r="X101" s="6"/>
      <c r="Y101" s="6"/>
      <c r="Z101" s="6"/>
      <c r="AA101" s="6"/>
      <c r="AB101" s="6"/>
      <c r="AC101" s="12"/>
      <c r="AD101" s="12"/>
      <c r="AE101" s="12"/>
      <c r="AJ101" s="21"/>
    </row>
    <row r="102" spans="2:36" s="2" customFormat="1" ht="11.25">
      <c r="B102" s="17"/>
      <c r="D102" s="34"/>
      <c r="E102" s="34"/>
      <c r="F102" s="34"/>
      <c r="H102" s="6"/>
      <c r="I102" s="6"/>
      <c r="J102" s="6"/>
      <c r="K102" s="6"/>
      <c r="L102" s="6"/>
      <c r="M102" s="6"/>
      <c r="N102" s="6"/>
      <c r="O102" s="6"/>
      <c r="P102" s="6"/>
      <c r="Q102" s="6"/>
      <c r="R102" s="6"/>
      <c r="S102" s="6"/>
      <c r="T102" s="6"/>
      <c r="U102" s="6"/>
      <c r="V102" s="6"/>
      <c r="W102" s="6"/>
      <c r="X102" s="6"/>
      <c r="Y102" s="6"/>
      <c r="Z102" s="6"/>
      <c r="AA102" s="6"/>
      <c r="AB102" s="6"/>
      <c r="AC102" s="12"/>
      <c r="AD102" s="12"/>
      <c r="AE102" s="12"/>
      <c r="AJ102" s="21"/>
    </row>
    <row r="103" spans="2:36" s="2" customFormat="1" ht="11.25">
      <c r="B103" s="17"/>
      <c r="D103" s="34"/>
      <c r="E103" s="34"/>
      <c r="F103" s="34"/>
      <c r="H103" s="6"/>
      <c r="I103" s="6"/>
      <c r="J103" s="6"/>
      <c r="K103" s="6"/>
      <c r="L103" s="6"/>
      <c r="M103" s="6"/>
      <c r="N103" s="6"/>
      <c r="O103" s="6"/>
      <c r="P103" s="6"/>
      <c r="Q103" s="6"/>
      <c r="R103" s="6"/>
      <c r="S103" s="6"/>
      <c r="T103" s="6"/>
      <c r="U103" s="6"/>
      <c r="V103" s="6"/>
      <c r="W103" s="6"/>
      <c r="X103" s="6"/>
      <c r="Y103" s="6"/>
      <c r="Z103" s="6"/>
      <c r="AA103" s="6"/>
      <c r="AB103" s="6"/>
      <c r="AC103" s="12"/>
      <c r="AD103" s="12"/>
      <c r="AE103" s="12"/>
      <c r="AJ103" s="21"/>
    </row>
    <row r="104" spans="2:36" s="2" customFormat="1" ht="11.25">
      <c r="B104" s="17"/>
      <c r="D104" s="34"/>
      <c r="E104" s="34"/>
      <c r="F104" s="34"/>
      <c r="H104" s="6"/>
      <c r="I104" s="6"/>
      <c r="J104" s="6"/>
      <c r="K104" s="6"/>
      <c r="L104" s="6"/>
      <c r="M104" s="6"/>
      <c r="N104" s="6"/>
      <c r="O104" s="6"/>
      <c r="P104" s="6"/>
      <c r="Q104" s="6"/>
      <c r="R104" s="6"/>
      <c r="S104" s="6"/>
      <c r="T104" s="6"/>
      <c r="U104" s="6"/>
      <c r="V104" s="6"/>
      <c r="W104" s="6"/>
      <c r="X104" s="6"/>
      <c r="Y104" s="6"/>
      <c r="Z104" s="6"/>
      <c r="AA104" s="6"/>
      <c r="AB104" s="6"/>
      <c r="AC104" s="12"/>
      <c r="AD104" s="12"/>
      <c r="AE104" s="12"/>
      <c r="AJ104" s="21"/>
    </row>
    <row r="105" spans="2:36" s="2" customFormat="1" ht="11.25">
      <c r="B105" s="17"/>
      <c r="D105" s="34"/>
      <c r="E105" s="34"/>
      <c r="F105" s="34"/>
      <c r="H105" s="6"/>
      <c r="I105" s="6"/>
      <c r="J105" s="6"/>
      <c r="K105" s="6"/>
      <c r="L105" s="6"/>
      <c r="M105" s="6"/>
      <c r="N105" s="6"/>
      <c r="O105" s="6"/>
      <c r="P105" s="6"/>
      <c r="Q105" s="6"/>
      <c r="R105" s="6"/>
      <c r="S105" s="6"/>
      <c r="T105" s="6"/>
      <c r="U105" s="6"/>
      <c r="V105" s="6"/>
      <c r="W105" s="6"/>
      <c r="X105" s="6"/>
      <c r="Y105" s="6"/>
      <c r="Z105" s="6"/>
      <c r="AA105" s="6"/>
      <c r="AB105" s="6"/>
      <c r="AC105" s="12"/>
      <c r="AD105" s="12"/>
      <c r="AE105" s="12"/>
      <c r="AJ105" s="21"/>
    </row>
    <row r="106" spans="2:36" s="2" customFormat="1" ht="11.25" customHeight="1">
      <c r="B106" s="17"/>
      <c r="D106" s="34"/>
      <c r="E106" s="34"/>
      <c r="F106" s="34"/>
      <c r="H106" s="6"/>
      <c r="I106" s="6"/>
      <c r="J106" s="6"/>
      <c r="K106" s="6"/>
      <c r="L106" s="6"/>
      <c r="M106" s="6"/>
      <c r="N106" s="6"/>
      <c r="O106" s="6"/>
      <c r="P106" s="6"/>
      <c r="Q106" s="6"/>
      <c r="R106" s="6"/>
      <c r="S106" s="6"/>
      <c r="T106" s="6"/>
      <c r="U106" s="6"/>
      <c r="V106" s="6"/>
      <c r="W106" s="6"/>
      <c r="X106" s="6"/>
      <c r="Y106" s="6"/>
      <c r="Z106" s="6"/>
      <c r="AA106" s="6"/>
      <c r="AB106" s="6"/>
      <c r="AC106" s="12"/>
      <c r="AD106" s="12"/>
      <c r="AE106" s="12"/>
      <c r="AJ106" s="21"/>
    </row>
    <row r="107" spans="2:36" s="2" customFormat="1" ht="11.25" customHeight="1">
      <c r="B107" s="17"/>
      <c r="D107" s="34"/>
      <c r="E107" s="34"/>
      <c r="F107" s="34"/>
      <c r="H107" s="6"/>
      <c r="I107" s="6"/>
      <c r="J107" s="6"/>
      <c r="K107" s="6"/>
      <c r="L107" s="6"/>
      <c r="M107" s="6"/>
      <c r="N107" s="6"/>
      <c r="O107" s="6"/>
      <c r="P107" s="6"/>
      <c r="Q107" s="6"/>
      <c r="R107" s="6"/>
      <c r="S107" s="6"/>
      <c r="T107" s="6"/>
      <c r="U107" s="6"/>
      <c r="V107" s="6"/>
      <c r="W107" s="6"/>
      <c r="X107" s="6"/>
      <c r="Y107" s="6"/>
      <c r="Z107" s="6"/>
      <c r="AA107" s="6"/>
      <c r="AB107" s="6"/>
      <c r="AC107" s="12"/>
      <c r="AD107" s="12"/>
      <c r="AE107" s="12"/>
      <c r="AJ107" s="21"/>
    </row>
    <row r="108" spans="2:36" s="2" customFormat="1" ht="11.25">
      <c r="B108" s="17"/>
      <c r="D108" s="34"/>
      <c r="E108" s="34"/>
      <c r="F108" s="34"/>
      <c r="H108" s="6"/>
      <c r="I108" s="6"/>
      <c r="J108" s="6"/>
      <c r="K108" s="6"/>
      <c r="L108" s="6"/>
      <c r="M108" s="6"/>
      <c r="N108" s="6"/>
      <c r="O108" s="6"/>
      <c r="P108" s="6"/>
      <c r="Q108" s="6"/>
      <c r="R108" s="6"/>
      <c r="S108" s="6"/>
      <c r="T108" s="6"/>
      <c r="U108" s="6"/>
      <c r="V108" s="6"/>
      <c r="W108" s="6"/>
      <c r="X108" s="6"/>
      <c r="Y108" s="6"/>
      <c r="Z108" s="6"/>
      <c r="AA108" s="6"/>
      <c r="AB108" s="6"/>
      <c r="AC108" s="12"/>
      <c r="AD108" s="12"/>
      <c r="AE108" s="12"/>
      <c r="AJ108" s="21"/>
    </row>
    <row r="109" spans="2:36" s="2" customFormat="1" ht="11.25">
      <c r="B109" s="17"/>
      <c r="D109" s="34"/>
      <c r="E109" s="34"/>
      <c r="F109" s="34"/>
      <c r="H109" s="6"/>
      <c r="I109" s="6"/>
      <c r="J109" s="6"/>
      <c r="K109" s="6"/>
      <c r="L109" s="6"/>
      <c r="M109" s="6"/>
      <c r="N109" s="6"/>
      <c r="O109" s="6"/>
      <c r="P109" s="6"/>
      <c r="Q109" s="6"/>
      <c r="R109" s="6"/>
      <c r="S109" s="6"/>
      <c r="T109" s="6"/>
      <c r="U109" s="6"/>
      <c r="V109" s="6"/>
      <c r="W109" s="6"/>
      <c r="X109" s="6"/>
      <c r="Y109" s="6"/>
      <c r="Z109" s="6"/>
      <c r="AA109" s="6"/>
      <c r="AB109" s="6"/>
      <c r="AC109" s="12"/>
      <c r="AD109" s="12"/>
      <c r="AE109" s="12"/>
      <c r="AJ109" s="21"/>
    </row>
    <row r="110" spans="2:36" s="2" customFormat="1" ht="11.25">
      <c r="B110" s="17"/>
      <c r="D110" s="34"/>
      <c r="E110" s="34"/>
      <c r="F110" s="34"/>
      <c r="H110" s="6"/>
      <c r="I110" s="6"/>
      <c r="J110" s="6"/>
      <c r="K110" s="6"/>
      <c r="L110" s="6"/>
      <c r="M110" s="6"/>
      <c r="N110" s="6"/>
      <c r="O110" s="6"/>
      <c r="P110" s="6"/>
      <c r="Q110" s="6"/>
      <c r="R110" s="6"/>
      <c r="S110" s="6"/>
      <c r="T110" s="6"/>
      <c r="U110" s="6"/>
      <c r="V110" s="6"/>
      <c r="W110" s="6"/>
      <c r="X110" s="6"/>
      <c r="Y110" s="6"/>
      <c r="Z110" s="6"/>
      <c r="AA110" s="6"/>
      <c r="AB110" s="6"/>
      <c r="AC110" s="12"/>
      <c r="AD110" s="12"/>
      <c r="AE110" s="12"/>
      <c r="AJ110" s="21"/>
    </row>
    <row r="111" spans="2:36" s="2" customFormat="1" ht="11.25">
      <c r="B111" s="17"/>
      <c r="D111" s="34"/>
      <c r="E111" s="34"/>
      <c r="F111" s="34"/>
      <c r="H111" s="6"/>
      <c r="I111" s="6"/>
      <c r="J111" s="6"/>
      <c r="K111" s="6"/>
      <c r="L111" s="6"/>
      <c r="M111" s="6"/>
      <c r="N111" s="6"/>
      <c r="O111" s="6"/>
      <c r="P111" s="6"/>
      <c r="Q111" s="6"/>
      <c r="R111" s="6"/>
      <c r="S111" s="6"/>
      <c r="T111" s="6"/>
      <c r="U111" s="6"/>
      <c r="V111" s="6"/>
      <c r="W111" s="6"/>
      <c r="X111" s="6"/>
      <c r="Y111" s="6"/>
      <c r="Z111" s="6"/>
      <c r="AA111" s="6"/>
      <c r="AB111" s="6"/>
      <c r="AC111" s="12"/>
      <c r="AD111" s="12"/>
      <c r="AE111" s="12"/>
      <c r="AJ111" s="21"/>
    </row>
    <row r="112" spans="2:36" s="2" customFormat="1" ht="11.25">
      <c r="B112" s="17"/>
      <c r="D112" s="34"/>
      <c r="E112" s="34"/>
      <c r="F112" s="34"/>
      <c r="H112" s="6"/>
      <c r="I112" s="6"/>
      <c r="J112" s="6"/>
      <c r="K112" s="6"/>
      <c r="L112" s="6"/>
      <c r="M112" s="6"/>
      <c r="N112" s="6"/>
      <c r="O112" s="6"/>
      <c r="P112" s="6"/>
      <c r="Q112" s="6"/>
      <c r="R112" s="6"/>
      <c r="S112" s="6"/>
      <c r="T112" s="6"/>
      <c r="U112" s="6"/>
      <c r="V112" s="6"/>
      <c r="W112" s="6"/>
      <c r="X112" s="6"/>
      <c r="Y112" s="6"/>
      <c r="Z112" s="6"/>
      <c r="AA112" s="6"/>
      <c r="AB112" s="6"/>
      <c r="AC112" s="12"/>
      <c r="AD112" s="12"/>
      <c r="AE112" s="12"/>
      <c r="AJ112" s="21"/>
    </row>
    <row r="113" spans="2:36" s="2" customFormat="1" ht="11.25">
      <c r="B113" s="17"/>
      <c r="D113" s="34"/>
      <c r="E113" s="34"/>
      <c r="F113" s="34"/>
      <c r="H113" s="6"/>
      <c r="I113" s="6"/>
      <c r="J113" s="6"/>
      <c r="K113" s="6"/>
      <c r="L113" s="6"/>
      <c r="M113" s="6"/>
      <c r="N113" s="6"/>
      <c r="O113" s="6"/>
      <c r="P113" s="6"/>
      <c r="Q113" s="6"/>
      <c r="R113" s="6"/>
      <c r="S113" s="6"/>
      <c r="T113" s="6"/>
      <c r="U113" s="6"/>
      <c r="V113" s="6"/>
      <c r="W113" s="6"/>
      <c r="X113" s="6"/>
      <c r="Y113" s="6"/>
      <c r="Z113" s="6"/>
      <c r="AA113" s="6"/>
      <c r="AB113" s="6"/>
      <c r="AC113" s="12"/>
      <c r="AD113" s="12"/>
      <c r="AE113" s="12"/>
      <c r="AJ113" s="21"/>
    </row>
    <row r="114" spans="2:36" s="2" customFormat="1" ht="11.25">
      <c r="B114" s="17"/>
      <c r="D114" s="34"/>
      <c r="E114" s="34"/>
      <c r="F114" s="34"/>
      <c r="H114" s="6"/>
      <c r="I114" s="6"/>
      <c r="J114" s="6"/>
      <c r="K114" s="6"/>
      <c r="L114" s="6"/>
      <c r="M114" s="6"/>
      <c r="N114" s="6"/>
      <c r="O114" s="6"/>
      <c r="P114" s="6"/>
      <c r="Q114" s="6"/>
      <c r="R114" s="6"/>
      <c r="S114" s="6"/>
      <c r="T114" s="6"/>
      <c r="U114" s="6"/>
      <c r="V114" s="6"/>
      <c r="W114" s="6"/>
      <c r="X114" s="6"/>
      <c r="Y114" s="6"/>
      <c r="Z114" s="6"/>
      <c r="AA114" s="6"/>
      <c r="AB114" s="6"/>
      <c r="AC114" s="6"/>
      <c r="AD114" s="6"/>
      <c r="AE114" s="6"/>
      <c r="AJ114" s="21"/>
    </row>
    <row r="115" spans="2:36" s="2" customFormat="1" ht="11.25">
      <c r="B115" s="17"/>
      <c r="D115" s="34"/>
      <c r="E115" s="34"/>
      <c r="F115" s="34"/>
      <c r="H115" s="6"/>
      <c r="I115" s="6"/>
      <c r="J115" s="6"/>
      <c r="K115" s="6"/>
      <c r="L115" s="6"/>
      <c r="M115" s="6"/>
      <c r="N115" s="6"/>
      <c r="O115" s="6"/>
      <c r="P115" s="6"/>
      <c r="Q115" s="6"/>
      <c r="R115" s="6"/>
      <c r="S115" s="6"/>
      <c r="T115" s="6"/>
      <c r="U115" s="6"/>
      <c r="V115" s="6"/>
      <c r="W115" s="6"/>
      <c r="X115" s="6"/>
      <c r="Y115" s="6"/>
      <c r="Z115" s="6"/>
      <c r="AA115" s="6"/>
      <c r="AB115" s="6"/>
      <c r="AC115" s="12"/>
      <c r="AD115" s="12"/>
      <c r="AE115" s="12"/>
      <c r="AJ115" s="21"/>
    </row>
    <row r="116" spans="2:36" s="2" customFormat="1" ht="11.25">
      <c r="B116" s="17"/>
      <c r="D116" s="34"/>
      <c r="E116" s="34"/>
      <c r="F116" s="34"/>
      <c r="H116" s="6"/>
      <c r="I116" s="6"/>
      <c r="J116" s="6"/>
      <c r="K116" s="6"/>
      <c r="L116" s="6"/>
      <c r="M116" s="6"/>
      <c r="N116" s="6"/>
      <c r="O116" s="6"/>
      <c r="P116" s="6"/>
      <c r="Q116" s="6"/>
      <c r="R116" s="6"/>
      <c r="S116" s="6"/>
      <c r="T116" s="6"/>
      <c r="U116" s="6"/>
      <c r="V116" s="6"/>
      <c r="W116" s="6"/>
      <c r="X116" s="6"/>
      <c r="Y116" s="6"/>
      <c r="Z116" s="6"/>
      <c r="AA116" s="6"/>
      <c r="AB116" s="6"/>
      <c r="AC116" s="12"/>
      <c r="AD116" s="12"/>
      <c r="AE116" s="12"/>
      <c r="AJ116" s="21"/>
    </row>
    <row r="117" spans="2:36" s="2" customFormat="1" ht="11.25">
      <c r="B117" s="17"/>
      <c r="D117" s="34"/>
      <c r="E117" s="34"/>
      <c r="F117" s="34"/>
      <c r="H117" s="6"/>
      <c r="I117" s="6"/>
      <c r="J117" s="6"/>
      <c r="K117" s="6"/>
      <c r="L117" s="6"/>
      <c r="M117" s="6"/>
      <c r="N117" s="6"/>
      <c r="O117" s="6"/>
      <c r="P117" s="6"/>
      <c r="Q117" s="6"/>
      <c r="R117" s="6"/>
      <c r="S117" s="6"/>
      <c r="T117" s="6"/>
      <c r="U117" s="6"/>
      <c r="V117" s="6"/>
      <c r="W117" s="6"/>
      <c r="X117" s="6"/>
      <c r="Y117" s="6"/>
      <c r="Z117" s="6"/>
      <c r="AA117" s="6"/>
      <c r="AB117" s="6"/>
      <c r="AC117" s="12"/>
      <c r="AD117" s="12"/>
      <c r="AE117" s="12"/>
      <c r="AJ117" s="21"/>
    </row>
    <row r="118" spans="2:36" s="2" customFormat="1" ht="11.25">
      <c r="B118" s="17"/>
      <c r="D118" s="34"/>
      <c r="E118" s="34"/>
      <c r="F118" s="34"/>
      <c r="H118" s="6"/>
      <c r="I118" s="6"/>
      <c r="J118" s="6"/>
      <c r="K118" s="6"/>
      <c r="L118" s="6"/>
      <c r="M118" s="6"/>
      <c r="N118" s="6"/>
      <c r="O118" s="6"/>
      <c r="P118" s="6"/>
      <c r="Q118" s="6"/>
      <c r="R118" s="6"/>
      <c r="S118" s="6"/>
      <c r="T118" s="6"/>
      <c r="U118" s="6"/>
      <c r="V118" s="6"/>
      <c r="W118" s="6"/>
      <c r="X118" s="6"/>
      <c r="Y118" s="6"/>
      <c r="Z118" s="6"/>
      <c r="AA118" s="6"/>
      <c r="AB118" s="6"/>
      <c r="AC118" s="12"/>
      <c r="AD118" s="12"/>
      <c r="AE118" s="12"/>
      <c r="AJ118" s="21"/>
    </row>
    <row r="119" spans="2:36" s="2" customFormat="1" ht="11.25">
      <c r="B119" s="17"/>
      <c r="D119" s="34"/>
      <c r="E119" s="34"/>
      <c r="F119" s="34"/>
      <c r="H119" s="6"/>
      <c r="I119" s="6"/>
      <c r="J119" s="6"/>
      <c r="K119" s="6"/>
      <c r="L119" s="6"/>
      <c r="M119" s="6"/>
      <c r="N119" s="6"/>
      <c r="O119" s="6"/>
      <c r="P119" s="6"/>
      <c r="Q119" s="6"/>
      <c r="R119" s="6"/>
      <c r="S119" s="6"/>
      <c r="T119" s="6"/>
      <c r="U119" s="6"/>
      <c r="V119" s="6"/>
      <c r="W119" s="6"/>
      <c r="X119" s="6"/>
      <c r="Y119" s="6"/>
      <c r="Z119" s="6"/>
      <c r="AA119" s="6"/>
      <c r="AB119" s="6"/>
      <c r="AC119" s="12"/>
      <c r="AD119" s="12"/>
      <c r="AE119" s="12"/>
      <c r="AJ119" s="21"/>
    </row>
    <row r="120" spans="2:36" s="2" customFormat="1" ht="11.25">
      <c r="B120" s="17"/>
      <c r="D120" s="34"/>
      <c r="E120" s="34"/>
      <c r="F120" s="34"/>
      <c r="H120" s="6"/>
      <c r="I120" s="6"/>
      <c r="J120" s="6"/>
      <c r="K120" s="6"/>
      <c r="L120" s="6"/>
      <c r="M120" s="6"/>
      <c r="N120" s="6"/>
      <c r="O120" s="6"/>
      <c r="P120" s="6"/>
      <c r="Q120" s="6"/>
      <c r="R120" s="6"/>
      <c r="S120" s="6"/>
      <c r="T120" s="6"/>
      <c r="U120" s="6"/>
      <c r="V120" s="6"/>
      <c r="W120" s="6"/>
      <c r="X120" s="6"/>
      <c r="Y120" s="6"/>
      <c r="Z120" s="6"/>
      <c r="AA120" s="6"/>
      <c r="AB120" s="6"/>
      <c r="AC120" s="12"/>
      <c r="AD120" s="12"/>
      <c r="AE120" s="12"/>
      <c r="AJ120" s="21"/>
    </row>
    <row r="121" spans="2:36" s="2" customFormat="1" ht="11.25">
      <c r="B121" s="17"/>
      <c r="C121" s="14"/>
      <c r="D121" s="36"/>
      <c r="E121" s="36"/>
      <c r="F121" s="36"/>
      <c r="H121" s="6"/>
      <c r="I121" s="6"/>
      <c r="J121" s="6"/>
      <c r="K121" s="6"/>
      <c r="L121" s="6"/>
      <c r="M121" s="6"/>
      <c r="N121" s="6"/>
      <c r="O121" s="6"/>
      <c r="P121" s="6"/>
      <c r="Q121" s="6"/>
      <c r="R121" s="6"/>
      <c r="S121" s="6"/>
      <c r="T121" s="6"/>
      <c r="U121" s="6"/>
      <c r="V121" s="6"/>
      <c r="W121" s="6"/>
      <c r="X121" s="6"/>
      <c r="Y121" s="6"/>
      <c r="Z121" s="6"/>
      <c r="AA121" s="6"/>
      <c r="AB121" s="6"/>
      <c r="AC121" s="12"/>
      <c r="AD121" s="12"/>
      <c r="AE121" s="12"/>
      <c r="AJ121" s="21"/>
    </row>
    <row r="122" spans="2:36" s="2" customFormat="1" ht="11.25">
      <c r="B122" s="17"/>
      <c r="C122" s="14"/>
      <c r="D122" s="36"/>
      <c r="E122" s="36"/>
      <c r="F122" s="36"/>
      <c r="H122" s="6"/>
      <c r="I122" s="6"/>
      <c r="J122" s="6"/>
      <c r="K122" s="6"/>
      <c r="L122" s="6"/>
      <c r="M122" s="6"/>
      <c r="N122" s="6"/>
      <c r="O122" s="6"/>
      <c r="P122" s="6"/>
      <c r="Q122" s="6"/>
      <c r="R122" s="6"/>
      <c r="S122" s="6"/>
      <c r="T122" s="6"/>
      <c r="U122" s="6"/>
      <c r="V122" s="6"/>
      <c r="W122" s="6"/>
      <c r="X122" s="6"/>
      <c r="Y122" s="6"/>
      <c r="Z122" s="6"/>
      <c r="AA122" s="6"/>
      <c r="AB122" s="6"/>
      <c r="AC122" s="12"/>
      <c r="AD122" s="12"/>
      <c r="AE122" s="12"/>
      <c r="AJ122" s="21"/>
    </row>
    <row r="123" spans="2:36" s="2" customFormat="1" ht="11.25">
      <c r="B123" s="17"/>
      <c r="C123" s="3"/>
      <c r="D123" s="13"/>
      <c r="E123" s="13"/>
      <c r="F123" s="13"/>
      <c r="H123" s="6"/>
      <c r="I123" s="6"/>
      <c r="J123" s="6"/>
      <c r="K123" s="6"/>
      <c r="L123" s="6"/>
      <c r="M123" s="6"/>
      <c r="N123" s="6"/>
      <c r="O123" s="6"/>
      <c r="P123" s="6"/>
      <c r="Q123" s="6"/>
      <c r="R123" s="6"/>
      <c r="S123" s="6"/>
      <c r="T123" s="6"/>
      <c r="U123" s="6"/>
      <c r="V123" s="6"/>
      <c r="W123" s="6"/>
      <c r="X123" s="6"/>
      <c r="Y123" s="6"/>
      <c r="Z123" s="6"/>
      <c r="AA123" s="6"/>
      <c r="AB123" s="6"/>
      <c r="AC123" s="12"/>
      <c r="AD123" s="12"/>
      <c r="AE123" s="12"/>
      <c r="AG123" s="17"/>
      <c r="AJ123" s="21"/>
    </row>
    <row r="124" spans="2:36" s="2" customFormat="1" ht="11.25">
      <c r="B124" s="17"/>
      <c r="D124" s="34"/>
      <c r="E124" s="34"/>
      <c r="F124" s="34"/>
      <c r="H124" s="6"/>
      <c r="I124" s="6"/>
      <c r="J124" s="6"/>
      <c r="K124" s="6"/>
      <c r="L124" s="6"/>
      <c r="M124" s="6"/>
      <c r="N124" s="6"/>
      <c r="O124" s="6"/>
      <c r="P124" s="6"/>
      <c r="Q124" s="6"/>
      <c r="R124" s="6"/>
      <c r="S124" s="6"/>
      <c r="T124" s="6"/>
      <c r="U124" s="6"/>
      <c r="V124" s="6"/>
      <c r="W124" s="6"/>
      <c r="X124" s="6"/>
      <c r="Y124" s="6"/>
      <c r="Z124" s="6"/>
      <c r="AA124" s="6"/>
      <c r="AB124" s="6"/>
      <c r="AC124" s="12"/>
      <c r="AD124" s="12"/>
      <c r="AE124" s="12"/>
      <c r="AG124" s="17"/>
      <c r="AJ124" s="21"/>
    </row>
    <row r="125" spans="2:36" s="2" customFormat="1" ht="11.25">
      <c r="B125" s="17"/>
      <c r="D125" s="34"/>
      <c r="E125" s="34"/>
      <c r="F125" s="34"/>
      <c r="H125" s="6"/>
      <c r="I125" s="6"/>
      <c r="J125" s="6"/>
      <c r="K125" s="6"/>
      <c r="L125" s="6"/>
      <c r="M125" s="6"/>
      <c r="N125" s="6"/>
      <c r="O125" s="6"/>
      <c r="P125" s="6"/>
      <c r="Q125" s="6"/>
      <c r="R125" s="6"/>
      <c r="S125" s="6"/>
      <c r="T125" s="6"/>
      <c r="U125" s="6"/>
      <c r="V125" s="6"/>
      <c r="W125" s="6"/>
      <c r="X125" s="6"/>
      <c r="Y125" s="6"/>
      <c r="Z125" s="6"/>
      <c r="AA125" s="6"/>
      <c r="AB125" s="6"/>
      <c r="AC125" s="12"/>
      <c r="AD125" s="12"/>
      <c r="AE125" s="12"/>
      <c r="AG125" s="17"/>
      <c r="AJ125" s="21"/>
    </row>
    <row r="126" spans="2:36" s="2" customFormat="1" ht="11.25">
      <c r="B126" s="17"/>
      <c r="D126" s="34"/>
      <c r="E126" s="34"/>
      <c r="F126" s="34"/>
      <c r="H126" s="6"/>
      <c r="I126" s="6"/>
      <c r="J126" s="6"/>
      <c r="K126" s="6"/>
      <c r="L126" s="6"/>
      <c r="M126" s="6"/>
      <c r="N126" s="6"/>
      <c r="O126" s="6"/>
      <c r="P126" s="6"/>
      <c r="Q126" s="6"/>
      <c r="R126" s="6"/>
      <c r="S126" s="6"/>
      <c r="T126" s="6"/>
      <c r="U126" s="6"/>
      <c r="V126" s="6"/>
      <c r="W126" s="6"/>
      <c r="X126" s="6"/>
      <c r="Y126" s="6"/>
      <c r="Z126" s="6"/>
      <c r="AA126" s="6"/>
      <c r="AB126" s="6"/>
      <c r="AC126" s="12"/>
      <c r="AD126" s="12"/>
      <c r="AE126" s="12"/>
      <c r="AG126" s="17"/>
      <c r="AJ126" s="21"/>
    </row>
    <row r="127" spans="2:36" s="2" customFormat="1" ht="11.25">
      <c r="B127" s="17"/>
      <c r="D127" s="34"/>
      <c r="E127" s="34"/>
      <c r="F127" s="34"/>
      <c r="H127" s="6"/>
      <c r="I127" s="6"/>
      <c r="J127" s="6"/>
      <c r="K127" s="6"/>
      <c r="L127" s="6"/>
      <c r="M127" s="6"/>
      <c r="N127" s="6"/>
      <c r="O127" s="6"/>
      <c r="P127" s="6"/>
      <c r="Q127" s="6"/>
      <c r="R127" s="6"/>
      <c r="S127" s="6"/>
      <c r="T127" s="6"/>
      <c r="U127" s="6"/>
      <c r="V127" s="6"/>
      <c r="W127" s="6"/>
      <c r="X127" s="6"/>
      <c r="Y127" s="6"/>
      <c r="Z127" s="6"/>
      <c r="AA127" s="6"/>
      <c r="AB127" s="6"/>
      <c r="AC127" s="12"/>
      <c r="AD127" s="12"/>
      <c r="AE127" s="12"/>
      <c r="AG127" s="17"/>
      <c r="AJ127" s="21"/>
    </row>
    <row r="128" spans="2:36" s="2" customFormat="1" ht="11.25">
      <c r="B128" s="17"/>
      <c r="D128" s="34"/>
      <c r="E128" s="34"/>
      <c r="F128" s="34"/>
      <c r="H128" s="6"/>
      <c r="I128" s="6"/>
      <c r="J128" s="6"/>
      <c r="K128" s="6"/>
      <c r="L128" s="6"/>
      <c r="M128" s="6"/>
      <c r="N128" s="6"/>
      <c r="O128" s="6"/>
      <c r="P128" s="6"/>
      <c r="Q128" s="6"/>
      <c r="R128" s="6"/>
      <c r="S128" s="6"/>
      <c r="T128" s="6"/>
      <c r="U128" s="6"/>
      <c r="V128" s="6"/>
      <c r="W128" s="6"/>
      <c r="X128" s="6"/>
      <c r="Y128" s="6"/>
      <c r="Z128" s="6"/>
      <c r="AA128" s="6"/>
      <c r="AB128" s="6"/>
      <c r="AC128" s="12"/>
      <c r="AD128" s="12"/>
      <c r="AE128" s="12"/>
      <c r="AG128" s="17"/>
      <c r="AJ128" s="21"/>
    </row>
    <row r="129" spans="2:36" s="2" customFormat="1" ht="11.25">
      <c r="B129" s="17"/>
      <c r="D129" s="34"/>
      <c r="E129" s="34"/>
      <c r="F129" s="34"/>
      <c r="H129" s="6"/>
      <c r="I129" s="6"/>
      <c r="J129" s="6"/>
      <c r="K129" s="6"/>
      <c r="L129" s="6"/>
      <c r="M129" s="6"/>
      <c r="N129" s="6"/>
      <c r="O129" s="6"/>
      <c r="P129" s="6"/>
      <c r="Q129" s="6"/>
      <c r="R129" s="6"/>
      <c r="S129" s="6"/>
      <c r="T129" s="6"/>
      <c r="U129" s="6"/>
      <c r="V129" s="6"/>
      <c r="W129" s="6"/>
      <c r="X129" s="6"/>
      <c r="Y129" s="6"/>
      <c r="Z129" s="6"/>
      <c r="AA129" s="6"/>
      <c r="AB129" s="6"/>
      <c r="AC129" s="12"/>
      <c r="AD129" s="12"/>
      <c r="AJ129" s="21"/>
    </row>
    <row r="130" spans="2:36" s="2" customFormat="1" ht="11.25">
      <c r="B130" s="17"/>
      <c r="D130" s="34"/>
      <c r="E130" s="34"/>
      <c r="F130" s="34"/>
      <c r="H130" s="6"/>
      <c r="I130" s="6"/>
      <c r="J130" s="6"/>
      <c r="K130" s="6"/>
      <c r="L130" s="6"/>
      <c r="M130" s="6"/>
      <c r="N130" s="6"/>
      <c r="O130" s="6"/>
      <c r="P130" s="6"/>
      <c r="Q130" s="6"/>
      <c r="R130" s="6"/>
      <c r="S130" s="6"/>
      <c r="T130" s="6"/>
      <c r="U130" s="6"/>
      <c r="V130" s="6"/>
      <c r="W130" s="6"/>
      <c r="X130" s="6"/>
      <c r="Y130" s="6"/>
      <c r="Z130" s="6"/>
      <c r="AA130" s="6"/>
      <c r="AB130" s="6"/>
      <c r="AC130" s="12"/>
      <c r="AD130" s="12"/>
      <c r="AJ130" s="21"/>
    </row>
    <row r="131" spans="2:36" s="2" customFormat="1" ht="11.25">
      <c r="B131" s="17"/>
      <c r="D131" s="34"/>
      <c r="E131" s="34"/>
      <c r="F131" s="34"/>
      <c r="H131" s="6"/>
      <c r="I131" s="6"/>
      <c r="J131" s="6"/>
      <c r="K131" s="6"/>
      <c r="L131" s="6"/>
      <c r="M131" s="6"/>
      <c r="N131" s="6"/>
      <c r="O131" s="6"/>
      <c r="P131" s="6"/>
      <c r="Q131" s="6"/>
      <c r="R131" s="6"/>
      <c r="S131" s="6"/>
      <c r="T131" s="6"/>
      <c r="U131" s="6"/>
      <c r="V131" s="6"/>
      <c r="W131" s="6"/>
      <c r="X131" s="6"/>
      <c r="Y131" s="6"/>
      <c r="Z131" s="6"/>
      <c r="AA131" s="6"/>
      <c r="AB131" s="6"/>
      <c r="AC131" s="12"/>
      <c r="AD131" s="12"/>
      <c r="AJ131" s="21"/>
    </row>
    <row r="132" spans="2:36" s="2" customFormat="1" ht="11.25">
      <c r="B132" s="17"/>
      <c r="D132" s="34"/>
      <c r="E132" s="34"/>
      <c r="F132" s="34"/>
      <c r="H132" s="6"/>
      <c r="I132" s="6"/>
      <c r="J132" s="6"/>
      <c r="K132" s="6"/>
      <c r="L132" s="6"/>
      <c r="M132" s="6"/>
      <c r="N132" s="6"/>
      <c r="O132" s="6"/>
      <c r="P132" s="6"/>
      <c r="Q132" s="6"/>
      <c r="R132" s="6"/>
      <c r="S132" s="6"/>
      <c r="T132" s="6"/>
      <c r="U132" s="6"/>
      <c r="V132" s="6"/>
      <c r="W132" s="6"/>
      <c r="X132" s="6"/>
      <c r="Y132" s="6"/>
      <c r="Z132" s="6"/>
      <c r="AA132" s="6"/>
      <c r="AB132" s="6"/>
      <c r="AC132" s="10"/>
      <c r="AD132" s="10"/>
      <c r="AJ132" s="21"/>
    </row>
    <row r="133" spans="2:36" s="2" customFormat="1" ht="11.25">
      <c r="B133" s="17"/>
      <c r="D133" s="34"/>
      <c r="E133" s="34"/>
      <c r="F133" s="34"/>
      <c r="H133" s="6"/>
      <c r="I133" s="6"/>
      <c r="J133" s="6"/>
      <c r="K133" s="6"/>
      <c r="L133" s="6"/>
      <c r="M133" s="6"/>
      <c r="N133" s="6"/>
      <c r="O133" s="6"/>
      <c r="P133" s="6"/>
      <c r="Q133" s="6"/>
      <c r="R133" s="6"/>
      <c r="S133" s="6"/>
      <c r="T133" s="6"/>
      <c r="U133" s="6"/>
      <c r="V133" s="6"/>
      <c r="W133" s="6"/>
      <c r="X133" s="6"/>
      <c r="Y133" s="6"/>
      <c r="Z133" s="6"/>
      <c r="AA133" s="6"/>
      <c r="AB133" s="6"/>
      <c r="AC133" s="6"/>
      <c r="AD133" s="6"/>
      <c r="AJ133" s="21"/>
    </row>
    <row r="134" spans="2:36" s="2" customFormat="1" ht="11.25">
      <c r="B134" s="17"/>
      <c r="D134" s="34"/>
      <c r="E134" s="34"/>
      <c r="F134" s="34"/>
      <c r="H134" s="6"/>
      <c r="I134" s="6"/>
      <c r="J134" s="6"/>
      <c r="K134" s="6"/>
      <c r="L134" s="6"/>
      <c r="M134" s="6"/>
      <c r="N134" s="6"/>
      <c r="O134" s="6"/>
      <c r="P134" s="6"/>
      <c r="Q134" s="6"/>
      <c r="R134" s="6"/>
      <c r="S134" s="6"/>
      <c r="T134" s="6"/>
      <c r="U134" s="6"/>
      <c r="V134" s="6"/>
      <c r="W134" s="6"/>
      <c r="X134" s="6"/>
      <c r="Y134" s="6"/>
      <c r="Z134" s="6"/>
      <c r="AA134" s="6"/>
      <c r="AB134" s="6"/>
      <c r="AC134" s="6"/>
      <c r="AD134" s="6"/>
      <c r="AJ134" s="21"/>
    </row>
    <row r="135" spans="2:36" s="2" customFormat="1" ht="11.25">
      <c r="B135" s="17"/>
      <c r="D135" s="34"/>
      <c r="E135" s="34"/>
      <c r="F135" s="34"/>
      <c r="H135" s="6"/>
      <c r="I135" s="6"/>
      <c r="J135" s="6"/>
      <c r="K135" s="6"/>
      <c r="L135" s="6"/>
      <c r="M135" s="6"/>
      <c r="N135" s="6"/>
      <c r="O135" s="6"/>
      <c r="P135" s="6"/>
      <c r="Q135" s="6"/>
      <c r="R135" s="6"/>
      <c r="S135" s="6"/>
      <c r="T135" s="6"/>
      <c r="U135" s="6"/>
      <c r="V135" s="6"/>
      <c r="W135" s="6"/>
      <c r="X135" s="6"/>
      <c r="Y135" s="6"/>
      <c r="Z135" s="6"/>
      <c r="AA135" s="6"/>
      <c r="AB135" s="6"/>
      <c r="AC135" s="11"/>
      <c r="AD135" s="11"/>
      <c r="AJ135" s="21"/>
    </row>
    <row r="136" spans="2:36" s="2" customFormat="1" ht="11.25">
      <c r="B136" s="17"/>
      <c r="D136" s="34"/>
      <c r="E136" s="34"/>
      <c r="F136" s="34"/>
      <c r="H136" s="6"/>
      <c r="I136" s="6"/>
      <c r="J136" s="6"/>
      <c r="K136" s="6"/>
      <c r="L136" s="6"/>
      <c r="M136" s="6"/>
      <c r="N136" s="6"/>
      <c r="O136" s="6"/>
      <c r="P136" s="6"/>
      <c r="Q136" s="6"/>
      <c r="R136" s="6"/>
      <c r="S136" s="6"/>
      <c r="T136" s="6"/>
      <c r="U136" s="6"/>
      <c r="V136" s="6"/>
      <c r="W136" s="6"/>
      <c r="X136" s="6"/>
      <c r="Y136" s="6"/>
      <c r="Z136" s="6"/>
      <c r="AA136" s="6"/>
      <c r="AB136" s="6"/>
      <c r="AC136" s="6"/>
      <c r="AD136" s="6"/>
      <c r="AJ136" s="21"/>
    </row>
    <row r="137" spans="2:36" s="2" customFormat="1" ht="11.25">
      <c r="B137" s="17"/>
      <c r="D137" s="34"/>
      <c r="E137" s="34"/>
      <c r="F137" s="34"/>
      <c r="H137" s="6"/>
      <c r="I137" s="6"/>
      <c r="J137" s="6"/>
      <c r="K137" s="6"/>
      <c r="L137" s="6"/>
      <c r="M137" s="6"/>
      <c r="N137" s="6"/>
      <c r="O137" s="6"/>
      <c r="P137" s="6"/>
      <c r="Q137" s="6"/>
      <c r="R137" s="6"/>
      <c r="S137" s="6"/>
      <c r="T137" s="6"/>
      <c r="U137" s="6"/>
      <c r="V137" s="6"/>
      <c r="W137" s="6"/>
      <c r="X137" s="6"/>
      <c r="Y137" s="6"/>
      <c r="Z137" s="6"/>
      <c r="AA137" s="6"/>
      <c r="AB137" s="6"/>
      <c r="AC137" s="6"/>
      <c r="AD137" s="6"/>
      <c r="AJ137" s="21"/>
    </row>
    <row r="138" spans="2:36" s="2" customFormat="1" ht="11.25">
      <c r="B138" s="17"/>
      <c r="D138" s="34"/>
      <c r="E138" s="34"/>
      <c r="F138" s="34"/>
      <c r="H138" s="6"/>
      <c r="I138" s="6"/>
      <c r="J138" s="6"/>
      <c r="K138" s="6"/>
      <c r="L138" s="6"/>
      <c r="M138" s="6"/>
      <c r="N138" s="6"/>
      <c r="O138" s="6"/>
      <c r="P138" s="6"/>
      <c r="Q138" s="6"/>
      <c r="R138" s="6"/>
      <c r="S138" s="6"/>
      <c r="T138" s="6"/>
      <c r="U138" s="6"/>
      <c r="V138" s="6"/>
      <c r="W138" s="6"/>
      <c r="X138" s="6"/>
      <c r="Y138" s="6"/>
      <c r="Z138" s="6"/>
      <c r="AA138" s="6"/>
      <c r="AB138" s="6"/>
      <c r="AC138" s="6"/>
      <c r="AD138" s="6"/>
      <c r="AJ138" s="21"/>
    </row>
    <row r="139" spans="2:36" s="2" customFormat="1" ht="11.25">
      <c r="B139" s="17"/>
      <c r="D139" s="34"/>
      <c r="E139" s="34"/>
      <c r="F139" s="34"/>
      <c r="H139" s="6"/>
      <c r="I139" s="6"/>
      <c r="J139" s="6"/>
      <c r="K139" s="6"/>
      <c r="L139" s="6"/>
      <c r="M139" s="6"/>
      <c r="N139" s="6"/>
      <c r="O139" s="6"/>
      <c r="P139" s="6"/>
      <c r="Q139" s="6"/>
      <c r="R139" s="6"/>
      <c r="S139" s="6"/>
      <c r="T139" s="6"/>
      <c r="U139" s="6"/>
      <c r="V139" s="6"/>
      <c r="W139" s="6"/>
      <c r="X139" s="6"/>
      <c r="Y139" s="6"/>
      <c r="Z139" s="6"/>
      <c r="AA139" s="6"/>
      <c r="AB139" s="6"/>
      <c r="AC139" s="6"/>
      <c r="AD139" s="6"/>
      <c r="AJ139" s="21"/>
    </row>
    <row r="140" spans="2:36" s="2" customFormat="1" ht="11.25">
      <c r="B140" s="17"/>
      <c r="D140" s="34"/>
      <c r="E140" s="34"/>
      <c r="F140" s="34"/>
      <c r="H140" s="6"/>
      <c r="I140" s="6"/>
      <c r="J140" s="6"/>
      <c r="K140" s="6"/>
      <c r="L140" s="6"/>
      <c r="M140" s="6"/>
      <c r="N140" s="6"/>
      <c r="O140" s="6"/>
      <c r="P140" s="6"/>
      <c r="Q140" s="6"/>
      <c r="R140" s="6"/>
      <c r="S140" s="6"/>
      <c r="T140" s="6"/>
      <c r="U140" s="6"/>
      <c r="V140" s="6"/>
      <c r="W140" s="6"/>
      <c r="X140" s="6"/>
      <c r="Y140" s="6"/>
      <c r="Z140" s="6"/>
      <c r="AA140" s="6"/>
      <c r="AB140" s="6"/>
      <c r="AC140" s="6"/>
      <c r="AD140" s="6"/>
      <c r="AJ140" s="21"/>
    </row>
    <row r="141" spans="2:36" s="2" customFormat="1" ht="11.25">
      <c r="B141" s="17"/>
      <c r="D141" s="34"/>
      <c r="E141" s="34"/>
      <c r="F141" s="34"/>
      <c r="H141" s="6"/>
      <c r="I141" s="6"/>
      <c r="J141" s="6"/>
      <c r="K141" s="6"/>
      <c r="L141" s="6"/>
      <c r="M141" s="6"/>
      <c r="N141" s="6"/>
      <c r="O141" s="6"/>
      <c r="P141" s="6"/>
      <c r="Q141" s="6"/>
      <c r="R141" s="6"/>
      <c r="S141" s="6"/>
      <c r="T141" s="6"/>
      <c r="U141" s="6"/>
      <c r="V141" s="6"/>
      <c r="W141" s="6"/>
      <c r="X141" s="6"/>
      <c r="Y141" s="6"/>
      <c r="Z141" s="6"/>
      <c r="AA141" s="6"/>
      <c r="AB141" s="6"/>
      <c r="AC141" s="6"/>
      <c r="AD141" s="6"/>
      <c r="AJ141" s="21"/>
    </row>
    <row r="142" spans="2:36" s="2" customFormat="1" ht="11.25">
      <c r="B142" s="17"/>
      <c r="D142" s="34"/>
      <c r="E142" s="34"/>
      <c r="F142" s="34"/>
      <c r="H142" s="6"/>
      <c r="I142" s="6"/>
      <c r="J142" s="6"/>
      <c r="K142" s="6"/>
      <c r="L142" s="6"/>
      <c r="M142" s="6"/>
      <c r="N142" s="6"/>
      <c r="O142" s="6"/>
      <c r="P142" s="6"/>
      <c r="Q142" s="6"/>
      <c r="R142" s="6"/>
      <c r="S142" s="6"/>
      <c r="T142" s="6"/>
      <c r="U142" s="6"/>
      <c r="V142" s="6"/>
      <c r="W142" s="6"/>
      <c r="X142" s="6"/>
      <c r="Y142" s="6"/>
      <c r="Z142" s="6"/>
      <c r="AA142" s="6"/>
      <c r="AB142" s="6"/>
      <c r="AC142" s="6"/>
      <c r="AD142" s="6"/>
      <c r="AJ142" s="21"/>
    </row>
    <row r="143" spans="2:36" s="2" customFormat="1" ht="11.25">
      <c r="B143" s="17"/>
      <c r="D143" s="34"/>
      <c r="E143" s="34"/>
      <c r="F143" s="34"/>
      <c r="H143" s="6"/>
      <c r="I143" s="6"/>
      <c r="J143" s="6"/>
      <c r="K143" s="6"/>
      <c r="L143" s="6"/>
      <c r="M143" s="6"/>
      <c r="N143" s="6"/>
      <c r="O143" s="6"/>
      <c r="P143" s="6"/>
      <c r="Q143" s="6"/>
      <c r="R143" s="6"/>
      <c r="S143" s="6"/>
      <c r="T143" s="6"/>
      <c r="U143" s="6"/>
      <c r="V143" s="6"/>
      <c r="W143" s="6"/>
      <c r="X143" s="6"/>
      <c r="Y143" s="6"/>
      <c r="Z143" s="6"/>
      <c r="AA143" s="6"/>
      <c r="AB143" s="6"/>
      <c r="AC143" s="6"/>
      <c r="AD143" s="6"/>
      <c r="AJ143" s="21"/>
    </row>
    <row r="144" spans="2:36" s="2" customFormat="1" ht="11.25">
      <c r="B144" s="17"/>
      <c r="D144" s="34"/>
      <c r="E144" s="34"/>
      <c r="F144" s="34"/>
      <c r="H144" s="6"/>
      <c r="I144" s="6"/>
      <c r="J144" s="6"/>
      <c r="K144" s="6"/>
      <c r="L144" s="6"/>
      <c r="M144" s="6"/>
      <c r="N144" s="6"/>
      <c r="O144" s="6"/>
      <c r="P144" s="6"/>
      <c r="Q144" s="6"/>
      <c r="R144" s="6"/>
      <c r="S144" s="6"/>
      <c r="T144" s="6"/>
      <c r="U144" s="6"/>
      <c r="V144" s="6"/>
      <c r="W144" s="6"/>
      <c r="X144" s="6"/>
      <c r="Y144" s="6"/>
      <c r="Z144" s="6"/>
      <c r="AA144" s="6"/>
      <c r="AB144" s="6"/>
      <c r="AC144" s="6"/>
      <c r="AD144" s="6"/>
      <c r="AJ144" s="21"/>
    </row>
    <row r="145" spans="2:36" s="2" customFormat="1" ht="11.25">
      <c r="B145" s="17"/>
      <c r="D145" s="34"/>
      <c r="E145" s="34"/>
      <c r="F145" s="34"/>
      <c r="H145" s="6"/>
      <c r="I145" s="6"/>
      <c r="J145" s="6"/>
      <c r="K145" s="6"/>
      <c r="L145" s="6"/>
      <c r="M145" s="6"/>
      <c r="N145" s="6"/>
      <c r="O145" s="6"/>
      <c r="P145" s="6"/>
      <c r="Q145" s="6"/>
      <c r="R145" s="6"/>
      <c r="S145" s="6"/>
      <c r="T145" s="6"/>
      <c r="U145" s="6"/>
      <c r="V145" s="6"/>
      <c r="W145" s="6"/>
      <c r="X145" s="6"/>
      <c r="Y145" s="6"/>
      <c r="Z145" s="6"/>
      <c r="AA145" s="6"/>
      <c r="AB145" s="6"/>
      <c r="AC145" s="6"/>
      <c r="AD145" s="6"/>
      <c r="AJ145" s="21"/>
    </row>
    <row r="146" spans="2:36" s="2" customFormat="1" ht="11.25">
      <c r="B146" s="17"/>
      <c r="D146" s="34"/>
      <c r="E146" s="34"/>
      <c r="F146" s="34"/>
      <c r="H146" s="6"/>
      <c r="I146" s="6"/>
      <c r="J146" s="6"/>
      <c r="K146" s="6"/>
      <c r="L146" s="6"/>
      <c r="M146" s="6"/>
      <c r="N146" s="6"/>
      <c r="O146" s="6"/>
      <c r="P146" s="6"/>
      <c r="Q146" s="6"/>
      <c r="R146" s="6"/>
      <c r="S146" s="6"/>
      <c r="T146" s="6"/>
      <c r="U146" s="6"/>
      <c r="V146" s="6"/>
      <c r="W146" s="6"/>
      <c r="X146" s="6"/>
      <c r="Y146" s="6"/>
      <c r="Z146" s="6"/>
      <c r="AA146" s="6"/>
      <c r="AB146" s="6"/>
      <c r="AC146" s="6"/>
      <c r="AD146" s="6"/>
      <c r="AJ146" s="21"/>
    </row>
    <row r="147" spans="2:36" s="2" customFormat="1" ht="11.25">
      <c r="B147" s="17"/>
      <c r="C147" s="3"/>
      <c r="D147" s="13"/>
      <c r="E147" s="13"/>
      <c r="F147" s="13"/>
      <c r="H147" s="6"/>
      <c r="I147" s="6"/>
      <c r="J147" s="6"/>
      <c r="K147" s="6"/>
      <c r="L147" s="6"/>
      <c r="M147" s="6"/>
      <c r="N147" s="6"/>
      <c r="O147" s="6"/>
      <c r="P147" s="6"/>
      <c r="Q147" s="6"/>
      <c r="R147" s="6"/>
      <c r="S147" s="6"/>
      <c r="T147" s="6"/>
      <c r="U147" s="6"/>
      <c r="V147" s="6"/>
      <c r="W147" s="6"/>
      <c r="X147" s="6"/>
      <c r="Y147" s="6"/>
      <c r="Z147" s="6"/>
      <c r="AA147" s="6"/>
      <c r="AB147" s="6"/>
      <c r="AC147" s="12"/>
      <c r="AD147" s="12"/>
      <c r="AJ147" s="21"/>
    </row>
    <row r="148" spans="2:36" s="2" customFormat="1" ht="11.25">
      <c r="B148" s="17"/>
      <c r="D148" s="34"/>
      <c r="E148" s="34"/>
      <c r="F148" s="34"/>
      <c r="H148" s="6"/>
      <c r="I148" s="6"/>
      <c r="J148" s="6"/>
      <c r="K148" s="6"/>
      <c r="L148" s="6"/>
      <c r="M148" s="6"/>
      <c r="N148" s="6"/>
      <c r="O148" s="6"/>
      <c r="P148" s="6"/>
      <c r="Q148" s="6"/>
      <c r="R148" s="6"/>
      <c r="S148" s="6"/>
      <c r="T148" s="6"/>
      <c r="U148" s="6"/>
      <c r="V148" s="6"/>
      <c r="W148" s="6"/>
      <c r="X148" s="6"/>
      <c r="Y148" s="6"/>
      <c r="Z148" s="6"/>
      <c r="AA148" s="6"/>
      <c r="AB148" s="6"/>
      <c r="AC148" s="6"/>
      <c r="AD148" s="6"/>
      <c r="AJ148" s="21"/>
    </row>
    <row r="149" spans="2:36" s="2" customFormat="1" ht="11.25">
      <c r="B149" s="17"/>
      <c r="D149" s="34"/>
      <c r="E149" s="34"/>
      <c r="F149" s="34"/>
      <c r="H149" s="6"/>
      <c r="I149" s="6"/>
      <c r="J149" s="6"/>
      <c r="K149" s="6"/>
      <c r="L149" s="6"/>
      <c r="M149" s="6"/>
      <c r="N149" s="6"/>
      <c r="O149" s="6"/>
      <c r="P149" s="6"/>
      <c r="Q149" s="6"/>
      <c r="R149" s="6"/>
      <c r="S149" s="6"/>
      <c r="T149" s="6"/>
      <c r="U149" s="6"/>
      <c r="V149" s="6"/>
      <c r="W149" s="6"/>
      <c r="X149" s="6"/>
      <c r="Y149" s="6"/>
      <c r="Z149" s="6"/>
      <c r="AA149" s="6"/>
      <c r="AB149" s="6"/>
      <c r="AC149" s="12"/>
      <c r="AD149" s="12"/>
      <c r="AJ149" s="21"/>
    </row>
    <row r="150" spans="2:36" s="2" customFormat="1" ht="11.25">
      <c r="B150" s="17"/>
      <c r="D150" s="34"/>
      <c r="E150" s="34"/>
      <c r="F150" s="34"/>
      <c r="H150" s="6"/>
      <c r="I150" s="6"/>
      <c r="J150" s="6"/>
      <c r="K150" s="6"/>
      <c r="L150" s="6"/>
      <c r="M150" s="6"/>
      <c r="N150" s="6"/>
      <c r="O150" s="6"/>
      <c r="P150" s="6"/>
      <c r="Q150" s="6"/>
      <c r="R150" s="6"/>
      <c r="S150" s="6"/>
      <c r="T150" s="6"/>
      <c r="U150" s="6"/>
      <c r="V150" s="6"/>
      <c r="W150" s="6"/>
      <c r="X150" s="6"/>
      <c r="Y150" s="6"/>
      <c r="Z150" s="6"/>
      <c r="AA150" s="6"/>
      <c r="AB150" s="6"/>
      <c r="AC150" s="12"/>
      <c r="AD150" s="12"/>
      <c r="AJ150" s="21"/>
    </row>
    <row r="151" spans="2:36" s="2" customFormat="1" ht="11.25">
      <c r="B151" s="17"/>
      <c r="D151" s="34"/>
      <c r="E151" s="34"/>
      <c r="F151" s="34"/>
      <c r="H151" s="6"/>
      <c r="I151" s="6"/>
      <c r="J151" s="6"/>
      <c r="K151" s="6"/>
      <c r="L151" s="6"/>
      <c r="M151" s="6"/>
      <c r="N151" s="6"/>
      <c r="O151" s="6"/>
      <c r="P151" s="6"/>
      <c r="Q151" s="6"/>
      <c r="R151" s="6"/>
      <c r="S151" s="6"/>
      <c r="T151" s="6"/>
      <c r="U151" s="6"/>
      <c r="V151" s="6"/>
      <c r="W151" s="6"/>
      <c r="X151" s="6"/>
      <c r="Y151" s="6"/>
      <c r="Z151" s="6"/>
      <c r="AA151" s="6"/>
      <c r="AB151" s="6"/>
      <c r="AC151" s="6"/>
      <c r="AD151" s="6"/>
      <c r="AJ151" s="21"/>
    </row>
    <row r="152" spans="2:36" s="2" customFormat="1" ht="11.25">
      <c r="B152" s="17"/>
      <c r="D152" s="34"/>
      <c r="E152" s="34"/>
      <c r="F152" s="34"/>
      <c r="H152" s="6"/>
      <c r="I152" s="6"/>
      <c r="J152" s="6"/>
      <c r="K152" s="6"/>
      <c r="L152" s="6"/>
      <c r="M152" s="6"/>
      <c r="N152" s="6"/>
      <c r="O152" s="6"/>
      <c r="P152" s="6"/>
      <c r="Q152" s="6"/>
      <c r="R152" s="6"/>
      <c r="S152" s="6"/>
      <c r="T152" s="6"/>
      <c r="U152" s="6"/>
      <c r="V152" s="6"/>
      <c r="W152" s="6"/>
      <c r="X152" s="6"/>
      <c r="Y152" s="6"/>
      <c r="Z152" s="6"/>
      <c r="AA152" s="6"/>
      <c r="AB152" s="6"/>
      <c r="AC152" s="12"/>
      <c r="AD152" s="12"/>
      <c r="AJ152" s="21"/>
    </row>
    <row r="153" spans="2:36" s="2" customFormat="1" ht="11.25">
      <c r="B153" s="17"/>
      <c r="D153" s="34"/>
      <c r="E153" s="34"/>
      <c r="F153" s="34"/>
      <c r="H153" s="6"/>
      <c r="I153" s="6"/>
      <c r="J153" s="6"/>
      <c r="K153" s="6"/>
      <c r="L153" s="6"/>
      <c r="M153" s="6"/>
      <c r="N153" s="6"/>
      <c r="O153" s="6"/>
      <c r="P153" s="6"/>
      <c r="Q153" s="6"/>
      <c r="R153" s="6"/>
      <c r="S153" s="6"/>
      <c r="T153" s="6"/>
      <c r="U153" s="6"/>
      <c r="V153" s="6"/>
      <c r="W153" s="6"/>
      <c r="X153" s="6"/>
      <c r="Y153" s="6"/>
      <c r="Z153" s="6"/>
      <c r="AA153" s="6"/>
      <c r="AB153" s="6"/>
      <c r="AC153" s="12"/>
      <c r="AD153" s="12"/>
      <c r="AJ153" s="21"/>
    </row>
    <row r="154" spans="2:36" s="2" customFormat="1" ht="11.25">
      <c r="B154" s="17"/>
      <c r="D154" s="34"/>
      <c r="E154" s="34"/>
      <c r="F154" s="34"/>
      <c r="H154" s="6"/>
      <c r="I154" s="6"/>
      <c r="J154" s="6"/>
      <c r="K154" s="6"/>
      <c r="L154" s="6"/>
      <c r="M154" s="6"/>
      <c r="N154" s="6"/>
      <c r="O154" s="6"/>
      <c r="P154" s="6"/>
      <c r="Q154" s="6"/>
      <c r="R154" s="6"/>
      <c r="S154" s="6"/>
      <c r="T154" s="6"/>
      <c r="U154" s="6"/>
      <c r="V154" s="6"/>
      <c r="W154" s="6"/>
      <c r="X154" s="6"/>
      <c r="Y154" s="6"/>
      <c r="Z154" s="6"/>
      <c r="AA154" s="6"/>
      <c r="AB154" s="6"/>
      <c r="AC154" s="6"/>
      <c r="AD154" s="6"/>
      <c r="AJ154" s="21"/>
    </row>
    <row r="155" spans="2:36" s="2" customFormat="1" ht="11.25">
      <c r="B155" s="17"/>
      <c r="D155" s="34"/>
      <c r="E155" s="34"/>
      <c r="F155" s="34"/>
      <c r="H155" s="6"/>
      <c r="I155" s="6"/>
      <c r="J155" s="6"/>
      <c r="K155" s="6"/>
      <c r="L155" s="6"/>
      <c r="M155" s="6"/>
      <c r="N155" s="6"/>
      <c r="O155" s="6"/>
      <c r="P155" s="6"/>
      <c r="Q155" s="6"/>
      <c r="R155" s="6"/>
      <c r="S155" s="6"/>
      <c r="T155" s="6"/>
      <c r="U155" s="6"/>
      <c r="V155" s="6"/>
      <c r="W155" s="6"/>
      <c r="X155" s="6"/>
      <c r="Y155" s="6"/>
      <c r="Z155" s="6"/>
      <c r="AA155" s="6"/>
      <c r="AB155" s="6"/>
      <c r="AC155" s="12"/>
      <c r="AD155" s="12"/>
      <c r="AJ155" s="21"/>
    </row>
    <row r="156" spans="2:36" s="2" customFormat="1" ht="11.25">
      <c r="B156" s="17"/>
      <c r="D156" s="34"/>
      <c r="E156" s="34"/>
      <c r="F156" s="34"/>
      <c r="H156" s="6"/>
      <c r="I156" s="6"/>
      <c r="J156" s="6"/>
      <c r="K156" s="6"/>
      <c r="L156" s="6"/>
      <c r="M156" s="6"/>
      <c r="N156" s="6"/>
      <c r="O156" s="6"/>
      <c r="P156" s="6"/>
      <c r="Q156" s="6"/>
      <c r="R156" s="6"/>
      <c r="S156" s="6"/>
      <c r="T156" s="6"/>
      <c r="U156" s="6"/>
      <c r="V156" s="6"/>
      <c r="W156" s="6"/>
      <c r="X156" s="6"/>
      <c r="Y156" s="6"/>
      <c r="Z156" s="6"/>
      <c r="AA156" s="6"/>
      <c r="AB156" s="6"/>
      <c r="AC156" s="12"/>
      <c r="AD156" s="12"/>
      <c r="AJ156" s="21"/>
    </row>
    <row r="157" spans="2:36" s="2" customFormat="1" ht="11.25">
      <c r="B157" s="17"/>
      <c r="D157" s="34"/>
      <c r="E157" s="34"/>
      <c r="F157" s="34"/>
      <c r="H157" s="6"/>
      <c r="I157" s="6"/>
      <c r="J157" s="6"/>
      <c r="K157" s="6"/>
      <c r="L157" s="6"/>
      <c r="M157" s="6"/>
      <c r="N157" s="6"/>
      <c r="O157" s="6"/>
      <c r="P157" s="6"/>
      <c r="Q157" s="6"/>
      <c r="R157" s="6"/>
      <c r="S157" s="6"/>
      <c r="T157" s="6"/>
      <c r="U157" s="6"/>
      <c r="V157" s="6"/>
      <c r="W157" s="6"/>
      <c r="X157" s="6"/>
      <c r="Y157" s="6"/>
      <c r="Z157" s="6"/>
      <c r="AA157" s="6"/>
      <c r="AB157" s="6"/>
      <c r="AC157" s="6"/>
      <c r="AD157" s="6"/>
      <c r="AJ157" s="21"/>
    </row>
    <row r="158" spans="2:36" s="2" customFormat="1" ht="11.25">
      <c r="B158" s="17"/>
      <c r="D158" s="34"/>
      <c r="E158" s="34"/>
      <c r="F158" s="34"/>
      <c r="H158" s="6"/>
      <c r="I158" s="6"/>
      <c r="J158" s="6"/>
      <c r="K158" s="6"/>
      <c r="L158" s="6"/>
      <c r="M158" s="6"/>
      <c r="N158" s="6"/>
      <c r="O158" s="6"/>
      <c r="P158" s="6"/>
      <c r="Q158" s="6"/>
      <c r="R158" s="6"/>
      <c r="S158" s="6"/>
      <c r="T158" s="6"/>
      <c r="U158" s="6"/>
      <c r="V158" s="6"/>
      <c r="W158" s="6"/>
      <c r="X158" s="6"/>
      <c r="Y158" s="6"/>
      <c r="Z158" s="6"/>
      <c r="AA158" s="6"/>
      <c r="AB158" s="6"/>
      <c r="AC158" s="12"/>
      <c r="AD158" s="12"/>
      <c r="AJ158" s="21"/>
    </row>
    <row r="159" spans="2:36" s="2" customFormat="1" ht="11.25">
      <c r="B159" s="17"/>
      <c r="D159" s="34"/>
      <c r="E159" s="34"/>
      <c r="F159" s="34"/>
      <c r="H159" s="6"/>
      <c r="I159" s="6"/>
      <c r="J159" s="6"/>
      <c r="K159" s="6"/>
      <c r="L159" s="6"/>
      <c r="M159" s="6"/>
      <c r="N159" s="6"/>
      <c r="O159" s="6"/>
      <c r="P159" s="6"/>
      <c r="Q159" s="6"/>
      <c r="R159" s="6"/>
      <c r="S159" s="6"/>
      <c r="T159" s="6"/>
      <c r="U159" s="6"/>
      <c r="V159" s="6"/>
      <c r="W159" s="6"/>
      <c r="X159" s="6"/>
      <c r="Y159" s="6"/>
      <c r="Z159" s="6"/>
      <c r="AA159" s="6"/>
      <c r="AB159" s="6"/>
      <c r="AC159" s="6"/>
      <c r="AD159" s="6"/>
      <c r="AJ159" s="21"/>
    </row>
    <row r="160" spans="2:36" s="2" customFormat="1" ht="11.25">
      <c r="B160" s="17"/>
      <c r="D160" s="34"/>
      <c r="E160" s="34"/>
      <c r="F160" s="34"/>
      <c r="H160" s="6"/>
      <c r="I160" s="6"/>
      <c r="J160" s="6"/>
      <c r="K160" s="6"/>
      <c r="L160" s="6"/>
      <c r="M160" s="6"/>
      <c r="N160" s="6"/>
      <c r="O160" s="6"/>
      <c r="P160" s="6"/>
      <c r="Q160" s="6"/>
      <c r="R160" s="6"/>
      <c r="S160" s="6"/>
      <c r="T160" s="6"/>
      <c r="U160" s="6"/>
      <c r="V160" s="6"/>
      <c r="W160" s="6"/>
      <c r="X160" s="6"/>
      <c r="Y160" s="6"/>
      <c r="Z160" s="6"/>
      <c r="AA160" s="6"/>
      <c r="AB160" s="6"/>
      <c r="AC160" s="6"/>
      <c r="AD160" s="6"/>
      <c r="AJ160" s="21"/>
    </row>
    <row r="161" spans="2:36" s="2" customFormat="1" ht="11.25">
      <c r="B161" s="17"/>
      <c r="D161" s="34"/>
      <c r="E161" s="34"/>
      <c r="F161" s="34"/>
      <c r="H161" s="6"/>
      <c r="I161" s="6"/>
      <c r="J161" s="6"/>
      <c r="K161" s="6"/>
      <c r="L161" s="6"/>
      <c r="M161" s="6"/>
      <c r="N161" s="6"/>
      <c r="O161" s="6"/>
      <c r="P161" s="6"/>
      <c r="Q161" s="6"/>
      <c r="R161" s="6"/>
      <c r="S161" s="6"/>
      <c r="T161" s="6"/>
      <c r="U161" s="6"/>
      <c r="V161" s="6"/>
      <c r="W161" s="6"/>
      <c r="X161" s="6"/>
      <c r="Y161" s="6"/>
      <c r="Z161" s="6"/>
      <c r="AA161" s="6"/>
      <c r="AB161" s="6"/>
      <c r="AC161" s="12"/>
      <c r="AD161" s="12"/>
      <c r="AJ161" s="21"/>
    </row>
    <row r="162" spans="2:36" s="2" customFormat="1" ht="11.25">
      <c r="B162" s="17"/>
      <c r="D162" s="34"/>
      <c r="E162" s="34"/>
      <c r="F162" s="34"/>
      <c r="H162" s="6"/>
      <c r="I162" s="6"/>
      <c r="J162" s="6"/>
      <c r="K162" s="6"/>
      <c r="L162" s="6"/>
      <c r="M162" s="6"/>
      <c r="N162" s="6"/>
      <c r="O162" s="6"/>
      <c r="P162" s="6"/>
      <c r="Q162" s="6"/>
      <c r="R162" s="6"/>
      <c r="S162" s="6"/>
      <c r="T162" s="6"/>
      <c r="U162" s="6"/>
      <c r="V162" s="6"/>
      <c r="W162" s="6"/>
      <c r="X162" s="6"/>
      <c r="Y162" s="6"/>
      <c r="Z162" s="6"/>
      <c r="AA162" s="6"/>
      <c r="AB162" s="6"/>
      <c r="AC162" s="12"/>
      <c r="AD162" s="12"/>
      <c r="AJ162" s="21"/>
    </row>
    <row r="163" spans="2:36" s="2" customFormat="1" ht="11.25">
      <c r="B163" s="17"/>
      <c r="D163" s="34"/>
      <c r="E163" s="34"/>
      <c r="F163" s="34"/>
      <c r="H163" s="6"/>
      <c r="I163" s="6"/>
      <c r="J163" s="6"/>
      <c r="K163" s="6"/>
      <c r="L163" s="6"/>
      <c r="M163" s="6"/>
      <c r="N163" s="6"/>
      <c r="O163" s="6"/>
      <c r="P163" s="6"/>
      <c r="Q163" s="6"/>
      <c r="R163" s="6"/>
      <c r="S163" s="6"/>
      <c r="T163" s="6"/>
      <c r="U163" s="6"/>
      <c r="V163" s="6"/>
      <c r="W163" s="6"/>
      <c r="X163" s="6"/>
      <c r="Y163" s="6"/>
      <c r="Z163" s="6"/>
      <c r="AA163" s="6"/>
      <c r="AB163" s="6"/>
      <c r="AC163" s="12"/>
      <c r="AD163" s="12"/>
      <c r="AJ163" s="21"/>
    </row>
    <row r="164" spans="2:36" s="2" customFormat="1" ht="11.25">
      <c r="B164" s="17"/>
      <c r="D164" s="34"/>
      <c r="E164" s="34"/>
      <c r="F164" s="34"/>
      <c r="H164" s="6"/>
      <c r="I164" s="6"/>
      <c r="J164" s="6"/>
      <c r="K164" s="6"/>
      <c r="L164" s="6"/>
      <c r="M164" s="6"/>
      <c r="N164" s="6"/>
      <c r="O164" s="6"/>
      <c r="P164" s="6"/>
      <c r="Q164" s="6"/>
      <c r="R164" s="6"/>
      <c r="S164" s="6"/>
      <c r="T164" s="6"/>
      <c r="U164" s="6"/>
      <c r="V164" s="6"/>
      <c r="W164" s="6"/>
      <c r="X164" s="6"/>
      <c r="Y164" s="6"/>
      <c r="Z164" s="6"/>
      <c r="AA164" s="6"/>
      <c r="AB164" s="6"/>
      <c r="AC164" s="12"/>
      <c r="AD164" s="12"/>
      <c r="AJ164" s="21"/>
    </row>
    <row r="165" spans="2:36" s="2" customFormat="1" ht="11.25">
      <c r="B165" s="17"/>
      <c r="D165" s="34"/>
      <c r="E165" s="34"/>
      <c r="F165" s="34"/>
      <c r="H165" s="6"/>
      <c r="I165" s="6"/>
      <c r="J165" s="6"/>
      <c r="K165" s="6"/>
      <c r="L165" s="6"/>
      <c r="M165" s="6"/>
      <c r="N165" s="6"/>
      <c r="O165" s="6"/>
      <c r="P165" s="6"/>
      <c r="Q165" s="6"/>
      <c r="R165" s="6"/>
      <c r="S165" s="6"/>
      <c r="T165" s="6"/>
      <c r="U165" s="6"/>
      <c r="V165" s="6"/>
      <c r="W165" s="6"/>
      <c r="X165" s="6"/>
      <c r="Y165" s="6"/>
      <c r="Z165" s="6"/>
      <c r="AA165" s="6"/>
      <c r="AB165" s="6"/>
      <c r="AC165" s="6"/>
      <c r="AD165" s="6"/>
      <c r="AJ165" s="21"/>
    </row>
    <row r="166" spans="2:36" s="2" customFormat="1" ht="11.25">
      <c r="B166" s="17"/>
      <c r="D166" s="34"/>
      <c r="E166" s="34"/>
      <c r="F166" s="34"/>
      <c r="H166" s="6"/>
      <c r="I166" s="6"/>
      <c r="J166" s="6"/>
      <c r="K166" s="6"/>
      <c r="L166" s="6"/>
      <c r="M166" s="6"/>
      <c r="N166" s="6"/>
      <c r="O166" s="6"/>
      <c r="P166" s="6"/>
      <c r="Q166" s="6"/>
      <c r="R166" s="6"/>
      <c r="S166" s="6"/>
      <c r="T166" s="6"/>
      <c r="U166" s="6"/>
      <c r="V166" s="6"/>
      <c r="W166" s="6"/>
      <c r="X166" s="6"/>
      <c r="Y166" s="6"/>
      <c r="Z166" s="6"/>
      <c r="AA166" s="6"/>
      <c r="AB166" s="6"/>
      <c r="AC166" s="6"/>
      <c r="AD166" s="6"/>
      <c r="AJ166" s="21"/>
    </row>
    <row r="167" spans="2:36" s="2" customFormat="1" ht="11.25">
      <c r="B167" s="17"/>
      <c r="D167" s="34"/>
      <c r="E167" s="34"/>
      <c r="F167" s="34"/>
      <c r="H167" s="6"/>
      <c r="I167" s="6"/>
      <c r="J167" s="6"/>
      <c r="K167" s="6"/>
      <c r="L167" s="6"/>
      <c r="M167" s="6"/>
      <c r="N167" s="6"/>
      <c r="O167" s="6"/>
      <c r="P167" s="6"/>
      <c r="Q167" s="6"/>
      <c r="R167" s="6"/>
      <c r="S167" s="6"/>
      <c r="T167" s="6"/>
      <c r="U167" s="6"/>
      <c r="V167" s="6"/>
      <c r="W167" s="6"/>
      <c r="X167" s="6"/>
      <c r="Y167" s="6"/>
      <c r="Z167" s="6"/>
      <c r="AA167" s="6"/>
      <c r="AB167" s="6"/>
      <c r="AC167" s="6"/>
      <c r="AD167" s="6"/>
      <c r="AJ167" s="21"/>
    </row>
    <row r="168" spans="2:36" s="2" customFormat="1" ht="11.25">
      <c r="B168" s="17"/>
      <c r="D168" s="34"/>
      <c r="E168" s="34"/>
      <c r="F168" s="34"/>
      <c r="H168" s="6"/>
      <c r="I168" s="6"/>
      <c r="J168" s="6"/>
      <c r="K168" s="6"/>
      <c r="L168" s="6"/>
      <c r="M168" s="6"/>
      <c r="N168" s="6"/>
      <c r="O168" s="6"/>
      <c r="P168" s="6"/>
      <c r="Q168" s="6"/>
      <c r="R168" s="6"/>
      <c r="S168" s="6"/>
      <c r="T168" s="6"/>
      <c r="U168" s="6"/>
      <c r="V168" s="6"/>
      <c r="W168" s="6"/>
      <c r="X168" s="6"/>
      <c r="Y168" s="6"/>
      <c r="Z168" s="6"/>
      <c r="AA168" s="6"/>
      <c r="AB168" s="6"/>
      <c r="AC168" s="12"/>
      <c r="AD168" s="12"/>
      <c r="AJ168" s="21"/>
    </row>
    <row r="169" spans="2:36" s="2" customFormat="1" ht="11.25">
      <c r="B169" s="17"/>
      <c r="D169" s="34"/>
      <c r="E169" s="34"/>
      <c r="F169" s="34"/>
      <c r="H169" s="6"/>
      <c r="I169" s="6"/>
      <c r="J169" s="6"/>
      <c r="K169" s="6"/>
      <c r="L169" s="6"/>
      <c r="M169" s="6"/>
      <c r="N169" s="6"/>
      <c r="O169" s="6"/>
      <c r="P169" s="6"/>
      <c r="Q169" s="6"/>
      <c r="R169" s="6"/>
      <c r="S169" s="6"/>
      <c r="T169" s="6"/>
      <c r="U169" s="6"/>
      <c r="V169" s="6"/>
      <c r="W169" s="6"/>
      <c r="X169" s="6"/>
      <c r="Y169" s="6"/>
      <c r="Z169" s="6"/>
      <c r="AA169" s="6"/>
      <c r="AB169" s="6"/>
      <c r="AC169" s="12"/>
      <c r="AD169" s="12"/>
      <c r="AJ169" s="21"/>
    </row>
    <row r="170" spans="2:36" s="2" customFormat="1" ht="11.25">
      <c r="B170" s="17"/>
      <c r="D170" s="34"/>
      <c r="E170" s="34"/>
      <c r="F170" s="34"/>
      <c r="H170" s="6"/>
      <c r="I170" s="6"/>
      <c r="J170" s="6"/>
      <c r="K170" s="6"/>
      <c r="L170" s="6"/>
      <c r="M170" s="6"/>
      <c r="N170" s="6"/>
      <c r="O170" s="6"/>
      <c r="P170" s="6"/>
      <c r="Q170" s="6"/>
      <c r="R170" s="6"/>
      <c r="S170" s="6"/>
      <c r="T170" s="6"/>
      <c r="U170" s="6"/>
      <c r="V170" s="6"/>
      <c r="W170" s="6"/>
      <c r="X170" s="6"/>
      <c r="Y170" s="6"/>
      <c r="Z170" s="6"/>
      <c r="AA170" s="6"/>
      <c r="AB170" s="6"/>
      <c r="AC170" s="12"/>
      <c r="AD170" s="12"/>
      <c r="AJ170" s="21"/>
    </row>
    <row r="171" spans="2:36" s="2" customFormat="1" ht="11.25">
      <c r="B171" s="17"/>
      <c r="D171" s="34"/>
      <c r="E171" s="34"/>
      <c r="F171" s="34"/>
      <c r="H171" s="6"/>
      <c r="I171" s="6"/>
      <c r="J171" s="6"/>
      <c r="K171" s="6"/>
      <c r="L171" s="6"/>
      <c r="M171" s="6"/>
      <c r="N171" s="6"/>
      <c r="O171" s="6"/>
      <c r="P171" s="6"/>
      <c r="Q171" s="6"/>
      <c r="R171" s="6"/>
      <c r="S171" s="6"/>
      <c r="T171" s="6"/>
      <c r="U171" s="6"/>
      <c r="V171" s="6"/>
      <c r="W171" s="6"/>
      <c r="X171" s="6"/>
      <c r="Y171" s="6"/>
      <c r="Z171" s="6"/>
      <c r="AA171" s="6"/>
      <c r="AB171" s="6"/>
      <c r="AC171" s="12"/>
      <c r="AD171" s="12"/>
      <c r="AJ171" s="21"/>
    </row>
    <row r="172" spans="2:36" s="2" customFormat="1" ht="11.25">
      <c r="B172" s="17"/>
      <c r="D172" s="34"/>
      <c r="E172" s="34"/>
      <c r="F172" s="34"/>
      <c r="H172" s="6"/>
      <c r="I172" s="6"/>
      <c r="J172" s="6"/>
      <c r="K172" s="6"/>
      <c r="L172" s="6"/>
      <c r="M172" s="6"/>
      <c r="N172" s="6"/>
      <c r="O172" s="6"/>
      <c r="P172" s="6"/>
      <c r="Q172" s="6"/>
      <c r="R172" s="6"/>
      <c r="S172" s="6"/>
      <c r="T172" s="6"/>
      <c r="U172" s="6"/>
      <c r="V172" s="6"/>
      <c r="W172" s="6"/>
      <c r="X172" s="6"/>
      <c r="Y172" s="6"/>
      <c r="Z172" s="6"/>
      <c r="AA172" s="6"/>
      <c r="AB172" s="6"/>
      <c r="AC172" s="12"/>
      <c r="AD172" s="12"/>
      <c r="AJ172" s="21"/>
    </row>
    <row r="173" spans="2:36" s="2" customFormat="1" ht="11.25">
      <c r="B173" s="17"/>
      <c r="D173" s="34"/>
      <c r="E173" s="34"/>
      <c r="F173" s="34"/>
      <c r="H173" s="6"/>
      <c r="I173" s="6"/>
      <c r="J173" s="6"/>
      <c r="K173" s="6"/>
      <c r="L173" s="6"/>
      <c r="M173" s="6"/>
      <c r="N173" s="6"/>
      <c r="O173" s="6"/>
      <c r="P173" s="6"/>
      <c r="Q173" s="6"/>
      <c r="R173" s="6"/>
      <c r="S173" s="6"/>
      <c r="T173" s="6"/>
      <c r="U173" s="6"/>
      <c r="V173" s="6"/>
      <c r="W173" s="6"/>
      <c r="X173" s="6"/>
      <c r="Y173" s="6"/>
      <c r="Z173" s="6"/>
      <c r="AA173" s="6"/>
      <c r="AB173" s="6"/>
      <c r="AC173" s="12"/>
      <c r="AD173" s="12"/>
      <c r="AJ173" s="21"/>
    </row>
    <row r="174" spans="2:36" s="2" customFormat="1" ht="11.25">
      <c r="B174" s="17"/>
      <c r="D174" s="34"/>
      <c r="E174" s="34"/>
      <c r="F174" s="34"/>
      <c r="H174" s="6"/>
      <c r="I174" s="6"/>
      <c r="J174" s="6"/>
      <c r="K174" s="6"/>
      <c r="L174" s="6"/>
      <c r="M174" s="6"/>
      <c r="N174" s="6"/>
      <c r="O174" s="6"/>
      <c r="P174" s="6"/>
      <c r="Q174" s="6"/>
      <c r="R174" s="6"/>
      <c r="S174" s="6"/>
      <c r="T174" s="6"/>
      <c r="U174" s="6"/>
      <c r="V174" s="6"/>
      <c r="W174" s="6"/>
      <c r="X174" s="6"/>
      <c r="Y174" s="6"/>
      <c r="Z174" s="6"/>
      <c r="AA174" s="6"/>
      <c r="AB174" s="6"/>
      <c r="AC174" s="12"/>
      <c r="AD174" s="12"/>
      <c r="AJ174" s="21"/>
    </row>
    <row r="175" spans="2:36" s="2" customFormat="1" ht="11.25">
      <c r="B175" s="17"/>
      <c r="C175" s="3"/>
      <c r="D175" s="13"/>
      <c r="E175" s="13"/>
      <c r="F175" s="13"/>
      <c r="H175" s="6"/>
      <c r="I175" s="6"/>
      <c r="J175" s="6"/>
      <c r="K175" s="6"/>
      <c r="L175" s="6"/>
      <c r="M175" s="6"/>
      <c r="N175" s="6"/>
      <c r="O175" s="6"/>
      <c r="P175" s="6"/>
      <c r="Q175" s="6"/>
      <c r="R175" s="6"/>
      <c r="S175" s="6"/>
      <c r="T175" s="6"/>
      <c r="U175" s="6"/>
      <c r="V175" s="6"/>
      <c r="W175" s="6"/>
      <c r="X175" s="6"/>
      <c r="Y175" s="6"/>
      <c r="Z175" s="6"/>
      <c r="AA175" s="6"/>
      <c r="AB175" s="6"/>
      <c r="AC175" s="12"/>
      <c r="AD175" s="12"/>
      <c r="AJ175" s="21"/>
    </row>
    <row r="176" spans="2:36" s="2" customFormat="1" ht="11.25">
      <c r="B176" s="18"/>
      <c r="C176" s="3"/>
      <c r="D176" s="13"/>
      <c r="E176" s="13"/>
      <c r="F176" s="13"/>
      <c r="H176" s="6"/>
      <c r="I176" s="6"/>
      <c r="J176" s="6"/>
      <c r="K176" s="6"/>
      <c r="L176" s="6"/>
      <c r="M176" s="6"/>
      <c r="N176" s="6"/>
      <c r="O176" s="6"/>
      <c r="P176" s="6"/>
      <c r="Q176" s="6"/>
      <c r="R176" s="6"/>
      <c r="S176" s="6"/>
      <c r="T176" s="6"/>
      <c r="U176" s="6"/>
      <c r="V176" s="6"/>
      <c r="W176" s="6"/>
      <c r="X176" s="6"/>
      <c r="Y176" s="6"/>
      <c r="Z176" s="6"/>
      <c r="AA176" s="6"/>
      <c r="AB176" s="6"/>
      <c r="AC176" s="12"/>
      <c r="AD176" s="12"/>
      <c r="AJ176" s="21"/>
    </row>
    <row r="177" spans="2:36" s="2" customFormat="1" ht="11.25">
      <c r="B177" s="17"/>
      <c r="D177" s="34"/>
      <c r="E177" s="34"/>
      <c r="F177" s="34"/>
      <c r="H177" s="6"/>
      <c r="I177" s="6"/>
      <c r="J177" s="6"/>
      <c r="K177" s="6"/>
      <c r="L177" s="6"/>
      <c r="M177" s="6"/>
      <c r="N177" s="6"/>
      <c r="O177" s="6"/>
      <c r="P177" s="6"/>
      <c r="Q177" s="6"/>
      <c r="R177" s="6"/>
      <c r="S177" s="6"/>
      <c r="T177" s="6"/>
      <c r="U177" s="6"/>
      <c r="V177" s="6"/>
      <c r="W177" s="6"/>
      <c r="X177" s="6"/>
      <c r="Y177" s="6"/>
      <c r="Z177" s="6"/>
      <c r="AA177" s="6"/>
      <c r="AB177" s="6"/>
      <c r="AC177" s="12"/>
      <c r="AD177" s="12"/>
      <c r="AJ177" s="21"/>
    </row>
    <row r="178" spans="2:36" s="2" customFormat="1" ht="11.25">
      <c r="B178" s="17"/>
      <c r="D178" s="34"/>
      <c r="E178" s="34"/>
      <c r="F178" s="34"/>
      <c r="H178" s="6"/>
      <c r="I178" s="6"/>
      <c r="J178" s="6"/>
      <c r="K178" s="6"/>
      <c r="L178" s="6"/>
      <c r="M178" s="6"/>
      <c r="N178" s="6"/>
      <c r="O178" s="6"/>
      <c r="P178" s="6"/>
      <c r="Q178" s="6"/>
      <c r="R178" s="6"/>
      <c r="S178" s="6"/>
      <c r="T178" s="6"/>
      <c r="U178" s="6"/>
      <c r="V178" s="6"/>
      <c r="W178" s="6"/>
      <c r="X178" s="6"/>
      <c r="Y178" s="6"/>
      <c r="Z178" s="6"/>
      <c r="AA178" s="6"/>
      <c r="AB178" s="6"/>
      <c r="AC178" s="12"/>
      <c r="AD178" s="12"/>
      <c r="AJ178" s="21"/>
    </row>
    <row r="179" spans="2:36" s="2" customFormat="1" ht="11.25">
      <c r="B179" s="17"/>
      <c r="D179" s="34"/>
      <c r="E179" s="34"/>
      <c r="F179" s="34"/>
      <c r="H179" s="6"/>
      <c r="I179" s="6"/>
      <c r="J179" s="6"/>
      <c r="K179" s="6"/>
      <c r="L179" s="6"/>
      <c r="M179" s="6"/>
      <c r="N179" s="6"/>
      <c r="O179" s="6"/>
      <c r="P179" s="6"/>
      <c r="Q179" s="6"/>
      <c r="R179" s="6"/>
      <c r="S179" s="6"/>
      <c r="T179" s="6"/>
      <c r="U179" s="6"/>
      <c r="V179" s="6"/>
      <c r="W179" s="6"/>
      <c r="X179" s="6"/>
      <c r="Y179" s="6"/>
      <c r="Z179" s="6"/>
      <c r="AA179" s="6"/>
      <c r="AB179" s="6"/>
      <c r="AC179" s="12"/>
      <c r="AD179" s="12"/>
      <c r="AJ179" s="21"/>
    </row>
    <row r="180" spans="2:36" s="2" customFormat="1" ht="11.25">
      <c r="B180" s="17"/>
      <c r="D180" s="34"/>
      <c r="E180" s="34"/>
      <c r="F180" s="34"/>
      <c r="H180" s="6"/>
      <c r="I180" s="6"/>
      <c r="J180" s="6"/>
      <c r="K180" s="6"/>
      <c r="L180" s="6"/>
      <c r="M180" s="6"/>
      <c r="N180" s="6"/>
      <c r="O180" s="6"/>
      <c r="P180" s="6"/>
      <c r="Q180" s="6"/>
      <c r="R180" s="6"/>
      <c r="S180" s="6"/>
      <c r="T180" s="6"/>
      <c r="U180" s="6"/>
      <c r="V180" s="6"/>
      <c r="W180" s="6"/>
      <c r="X180" s="6"/>
      <c r="Y180" s="6"/>
      <c r="Z180" s="6"/>
      <c r="AA180" s="6"/>
      <c r="AB180" s="6"/>
      <c r="AC180" s="12"/>
      <c r="AD180" s="12"/>
      <c r="AJ180" s="21"/>
    </row>
    <row r="181" spans="2:36" s="2" customFormat="1" ht="11.25">
      <c r="B181" s="17"/>
      <c r="D181" s="34"/>
      <c r="E181" s="34"/>
      <c r="F181" s="34"/>
      <c r="H181" s="6"/>
      <c r="I181" s="6"/>
      <c r="J181" s="6"/>
      <c r="K181" s="6"/>
      <c r="L181" s="6"/>
      <c r="M181" s="6"/>
      <c r="N181" s="6"/>
      <c r="O181" s="6"/>
      <c r="P181" s="6"/>
      <c r="Q181" s="6"/>
      <c r="R181" s="6"/>
      <c r="S181" s="6"/>
      <c r="T181" s="6"/>
      <c r="U181" s="6"/>
      <c r="V181" s="6"/>
      <c r="W181" s="6"/>
      <c r="X181" s="6"/>
      <c r="Y181" s="6"/>
      <c r="Z181" s="6"/>
      <c r="AA181" s="6"/>
      <c r="AB181" s="6"/>
      <c r="AC181" s="12"/>
      <c r="AD181" s="12"/>
      <c r="AJ181" s="21"/>
    </row>
    <row r="182" spans="2:36" s="2" customFormat="1" ht="11.25">
      <c r="B182" s="17"/>
      <c r="D182" s="34"/>
      <c r="E182" s="34"/>
      <c r="F182" s="34"/>
      <c r="H182" s="6"/>
      <c r="I182" s="6"/>
      <c r="J182" s="6"/>
      <c r="K182" s="6"/>
      <c r="L182" s="6"/>
      <c r="M182" s="6"/>
      <c r="N182" s="6"/>
      <c r="O182" s="6"/>
      <c r="P182" s="6"/>
      <c r="Q182" s="6"/>
      <c r="R182" s="6"/>
      <c r="S182" s="6"/>
      <c r="T182" s="6"/>
      <c r="U182" s="6"/>
      <c r="V182" s="6"/>
      <c r="W182" s="6"/>
      <c r="X182" s="6"/>
      <c r="Y182" s="6"/>
      <c r="Z182" s="6"/>
      <c r="AA182" s="6"/>
      <c r="AB182" s="6"/>
      <c r="AC182" s="12"/>
      <c r="AD182" s="12"/>
      <c r="AJ182" s="21"/>
    </row>
    <row r="183" spans="2:36" s="2" customFormat="1" ht="11.25">
      <c r="B183" s="17"/>
      <c r="D183" s="34"/>
      <c r="E183" s="34"/>
      <c r="F183" s="34"/>
      <c r="H183" s="6"/>
      <c r="I183" s="6"/>
      <c r="J183" s="6"/>
      <c r="K183" s="6"/>
      <c r="L183" s="6"/>
      <c r="M183" s="6"/>
      <c r="N183" s="6"/>
      <c r="O183" s="6"/>
      <c r="P183" s="6"/>
      <c r="Q183" s="6"/>
      <c r="R183" s="6"/>
      <c r="S183" s="6"/>
      <c r="T183" s="6"/>
      <c r="U183" s="6"/>
      <c r="V183" s="6"/>
      <c r="W183" s="6"/>
      <c r="X183" s="6"/>
      <c r="Y183" s="6"/>
      <c r="Z183" s="6"/>
      <c r="AA183" s="6"/>
      <c r="AB183" s="6"/>
      <c r="AC183" s="6"/>
      <c r="AD183" s="6"/>
      <c r="AJ183" s="21"/>
    </row>
    <row r="184" spans="2:36" s="2" customFormat="1" ht="11.25">
      <c r="B184" s="17"/>
      <c r="D184" s="34"/>
      <c r="E184" s="34"/>
      <c r="F184" s="34"/>
      <c r="H184" s="6"/>
      <c r="I184" s="6"/>
      <c r="J184" s="6"/>
      <c r="K184" s="6"/>
      <c r="L184" s="6"/>
      <c r="M184" s="6"/>
      <c r="N184" s="6"/>
      <c r="O184" s="6"/>
      <c r="P184" s="6"/>
      <c r="Q184" s="6"/>
      <c r="R184" s="6"/>
      <c r="S184" s="6"/>
      <c r="T184" s="6"/>
      <c r="U184" s="6"/>
      <c r="V184" s="6"/>
      <c r="W184" s="6"/>
      <c r="X184" s="6"/>
      <c r="Y184" s="6"/>
      <c r="Z184" s="6"/>
      <c r="AA184" s="6"/>
      <c r="AB184" s="6"/>
      <c r="AC184" s="12"/>
      <c r="AD184" s="12"/>
      <c r="AJ184" s="21"/>
    </row>
    <row r="185" spans="2:36" s="2" customFormat="1" ht="11.25">
      <c r="B185" s="17"/>
      <c r="D185" s="34"/>
      <c r="E185" s="34"/>
      <c r="F185" s="34"/>
      <c r="H185" s="6"/>
      <c r="I185" s="6"/>
      <c r="J185" s="6"/>
      <c r="K185" s="6"/>
      <c r="L185" s="6"/>
      <c r="M185" s="6"/>
      <c r="N185" s="6"/>
      <c r="O185" s="6"/>
      <c r="P185" s="6"/>
      <c r="Q185" s="6"/>
      <c r="R185" s="6"/>
      <c r="S185" s="6"/>
      <c r="T185" s="6"/>
      <c r="U185" s="6"/>
      <c r="V185" s="6"/>
      <c r="W185" s="6"/>
      <c r="X185" s="6"/>
      <c r="Y185" s="6"/>
      <c r="Z185" s="6"/>
      <c r="AA185" s="6"/>
      <c r="AB185" s="6"/>
      <c r="AC185" s="12"/>
      <c r="AD185" s="12"/>
      <c r="AJ185" s="21"/>
    </row>
    <row r="186" spans="2:36" s="2" customFormat="1" ht="11.25">
      <c r="B186" s="17"/>
      <c r="D186" s="34"/>
      <c r="E186" s="34"/>
      <c r="F186" s="34"/>
      <c r="H186" s="6"/>
      <c r="I186" s="6"/>
      <c r="J186" s="6"/>
      <c r="K186" s="6"/>
      <c r="L186" s="6"/>
      <c r="M186" s="6"/>
      <c r="N186" s="6"/>
      <c r="O186" s="6"/>
      <c r="P186" s="6"/>
      <c r="Q186" s="6"/>
      <c r="R186" s="6"/>
      <c r="S186" s="6"/>
      <c r="T186" s="6"/>
      <c r="U186" s="6"/>
      <c r="V186" s="6"/>
      <c r="W186" s="6"/>
      <c r="X186" s="6"/>
      <c r="Y186" s="6"/>
      <c r="Z186" s="6"/>
      <c r="AA186" s="6"/>
      <c r="AB186" s="6"/>
      <c r="AC186" s="12"/>
      <c r="AD186" s="12"/>
      <c r="AJ186" s="21"/>
    </row>
    <row r="187" spans="2:36" s="2" customFormat="1" ht="11.25">
      <c r="B187" s="18"/>
      <c r="C187" s="3"/>
      <c r="D187" s="13"/>
      <c r="E187" s="13"/>
      <c r="F187" s="13"/>
      <c r="H187" s="6"/>
      <c r="I187" s="6"/>
      <c r="J187" s="6"/>
      <c r="K187" s="6"/>
      <c r="L187" s="6"/>
      <c r="M187" s="6"/>
      <c r="N187" s="6"/>
      <c r="O187" s="6"/>
      <c r="P187" s="6"/>
      <c r="Q187" s="6"/>
      <c r="R187" s="6"/>
      <c r="S187" s="6"/>
      <c r="T187" s="6"/>
      <c r="U187" s="6"/>
      <c r="V187" s="6"/>
      <c r="W187" s="6"/>
      <c r="X187" s="6"/>
      <c r="Y187" s="6"/>
      <c r="Z187" s="6"/>
      <c r="AA187" s="6"/>
      <c r="AB187" s="6"/>
      <c r="AC187" s="12"/>
      <c r="AD187" s="12"/>
      <c r="AJ187" s="21"/>
    </row>
    <row r="188" spans="2:36" s="2" customFormat="1" ht="11.25">
      <c r="B188" s="17"/>
      <c r="D188" s="34"/>
      <c r="E188" s="34"/>
      <c r="F188" s="34"/>
      <c r="H188" s="6"/>
      <c r="I188" s="6"/>
      <c r="J188" s="6"/>
      <c r="K188" s="6"/>
      <c r="L188" s="6"/>
      <c r="M188" s="6"/>
      <c r="N188" s="6"/>
      <c r="O188" s="6"/>
      <c r="P188" s="6"/>
      <c r="Q188" s="6"/>
      <c r="R188" s="6"/>
      <c r="S188" s="6"/>
      <c r="T188" s="6"/>
      <c r="U188" s="6"/>
      <c r="V188" s="6"/>
      <c r="W188" s="6"/>
      <c r="X188" s="6"/>
      <c r="Y188" s="6"/>
      <c r="Z188" s="6"/>
      <c r="AA188" s="6"/>
      <c r="AB188" s="6"/>
      <c r="AC188" s="6"/>
      <c r="AD188" s="6"/>
      <c r="AJ188" s="21"/>
    </row>
    <row r="189" spans="2:36" s="2" customFormat="1" ht="11.25">
      <c r="B189" s="17"/>
      <c r="D189" s="34"/>
      <c r="E189" s="34"/>
      <c r="F189" s="34"/>
      <c r="H189" s="6"/>
      <c r="I189" s="6"/>
      <c r="J189" s="6"/>
      <c r="K189" s="6"/>
      <c r="L189" s="6"/>
      <c r="M189" s="6"/>
      <c r="N189" s="6"/>
      <c r="O189" s="6"/>
      <c r="P189" s="6"/>
      <c r="Q189" s="6"/>
      <c r="R189" s="6"/>
      <c r="S189" s="6"/>
      <c r="T189" s="6"/>
      <c r="U189" s="6"/>
      <c r="V189" s="6"/>
      <c r="W189" s="6"/>
      <c r="X189" s="6"/>
      <c r="Y189" s="6"/>
      <c r="Z189" s="6"/>
      <c r="AA189" s="6"/>
      <c r="AB189" s="6"/>
      <c r="AC189" s="12"/>
      <c r="AD189" s="12"/>
      <c r="AJ189" s="21"/>
    </row>
    <row r="190" spans="2:36" s="2" customFormat="1" ht="11.25">
      <c r="B190" s="17"/>
      <c r="D190" s="34"/>
      <c r="E190" s="34"/>
      <c r="F190" s="34"/>
      <c r="H190" s="6"/>
      <c r="I190" s="6"/>
      <c r="J190" s="6"/>
      <c r="K190" s="6"/>
      <c r="L190" s="6"/>
      <c r="M190" s="6"/>
      <c r="N190" s="6"/>
      <c r="O190" s="6"/>
      <c r="P190" s="6"/>
      <c r="Q190" s="6"/>
      <c r="R190" s="6"/>
      <c r="S190" s="6"/>
      <c r="T190" s="6"/>
      <c r="U190" s="6"/>
      <c r="V190" s="6"/>
      <c r="W190" s="6"/>
      <c r="X190" s="6"/>
      <c r="Y190" s="6"/>
      <c r="Z190" s="6"/>
      <c r="AA190" s="6"/>
      <c r="AB190" s="6"/>
      <c r="AC190" s="6"/>
      <c r="AD190" s="6"/>
      <c r="AE190" s="6"/>
      <c r="AJ190" s="21"/>
    </row>
    <row r="191" spans="2:36" s="2" customFormat="1" ht="11.25">
      <c r="B191" s="17"/>
      <c r="D191" s="34"/>
      <c r="E191" s="34"/>
      <c r="F191" s="34"/>
      <c r="H191" s="6"/>
      <c r="I191" s="6"/>
      <c r="J191" s="6"/>
      <c r="K191" s="6"/>
      <c r="L191" s="6"/>
      <c r="M191" s="6"/>
      <c r="N191" s="6"/>
      <c r="O191" s="6"/>
      <c r="P191" s="6"/>
      <c r="Q191" s="6"/>
      <c r="R191" s="6"/>
      <c r="S191" s="6"/>
      <c r="T191" s="6"/>
      <c r="U191" s="6"/>
      <c r="V191" s="6"/>
      <c r="W191" s="6"/>
      <c r="X191" s="6"/>
      <c r="Y191" s="6"/>
      <c r="Z191" s="6"/>
      <c r="AA191" s="6"/>
      <c r="AB191" s="6"/>
      <c r="AC191" s="6"/>
      <c r="AD191" s="6"/>
      <c r="AE191" s="6"/>
      <c r="AJ191" s="21"/>
    </row>
    <row r="192" spans="2:36" s="2" customFormat="1" ht="11.25">
      <c r="B192" s="17"/>
      <c r="D192" s="34"/>
      <c r="E192" s="34"/>
      <c r="F192" s="34"/>
      <c r="H192" s="6"/>
      <c r="I192" s="6"/>
      <c r="J192" s="6"/>
      <c r="K192" s="6"/>
      <c r="L192" s="6"/>
      <c r="M192" s="6"/>
      <c r="N192" s="6"/>
      <c r="O192" s="6"/>
      <c r="P192" s="6"/>
      <c r="Q192" s="6"/>
      <c r="R192" s="6"/>
      <c r="S192" s="6"/>
      <c r="T192" s="6"/>
      <c r="U192" s="6"/>
      <c r="V192" s="6"/>
      <c r="W192" s="6"/>
      <c r="X192" s="6"/>
      <c r="Y192" s="6"/>
      <c r="Z192" s="6"/>
      <c r="AA192" s="6"/>
      <c r="AB192" s="6"/>
      <c r="AC192" s="6"/>
      <c r="AD192" s="6"/>
      <c r="AE192" s="6"/>
      <c r="AJ192" s="21"/>
    </row>
    <row r="193" spans="2:37" s="2" customFormat="1" ht="11.25">
      <c r="B193" s="17"/>
      <c r="D193" s="34"/>
      <c r="E193" s="34"/>
      <c r="F193" s="34"/>
      <c r="H193" s="6"/>
      <c r="I193" s="6"/>
      <c r="J193" s="6"/>
      <c r="K193" s="6"/>
      <c r="L193" s="6"/>
      <c r="M193" s="6"/>
      <c r="N193" s="6"/>
      <c r="O193" s="6"/>
      <c r="P193" s="6"/>
      <c r="Q193" s="6"/>
      <c r="R193" s="6"/>
      <c r="S193" s="6"/>
      <c r="T193" s="6"/>
      <c r="U193" s="6"/>
      <c r="V193" s="6"/>
      <c r="W193" s="6"/>
      <c r="X193" s="6"/>
      <c r="Y193" s="6"/>
      <c r="Z193" s="6"/>
      <c r="AA193" s="6"/>
      <c r="AB193" s="6"/>
      <c r="AC193" s="12"/>
      <c r="AD193" s="12"/>
      <c r="AE193" s="12"/>
      <c r="AJ193" s="21"/>
    </row>
    <row r="194" spans="2:37" s="2" customFormat="1" ht="11.25">
      <c r="B194" s="18"/>
      <c r="D194" s="34"/>
      <c r="E194" s="34"/>
      <c r="F194" s="34"/>
      <c r="H194" s="6"/>
      <c r="I194" s="6"/>
      <c r="J194" s="6"/>
      <c r="K194" s="6"/>
      <c r="L194" s="6"/>
      <c r="M194" s="6"/>
      <c r="N194" s="6"/>
      <c r="O194" s="6"/>
      <c r="P194" s="6"/>
      <c r="Q194" s="6"/>
      <c r="R194" s="6"/>
      <c r="S194" s="6"/>
      <c r="T194" s="6"/>
      <c r="U194" s="6"/>
      <c r="V194" s="6"/>
      <c r="W194" s="6"/>
      <c r="X194" s="6"/>
      <c r="Y194" s="6"/>
      <c r="Z194" s="6"/>
      <c r="AA194" s="6"/>
      <c r="AB194" s="6"/>
      <c r="AC194" s="12"/>
      <c r="AD194" s="12"/>
      <c r="AE194" s="12"/>
      <c r="AJ194" s="21"/>
    </row>
    <row r="195" spans="2:37" s="2" customFormat="1" ht="11.25">
      <c r="B195" s="17"/>
      <c r="D195" s="34"/>
      <c r="E195" s="34"/>
      <c r="F195" s="34"/>
      <c r="H195" s="6"/>
      <c r="I195" s="6"/>
      <c r="J195" s="6"/>
      <c r="K195" s="6"/>
      <c r="L195" s="6"/>
      <c r="M195" s="6"/>
      <c r="N195" s="6"/>
      <c r="O195" s="6"/>
      <c r="P195" s="6"/>
      <c r="Q195" s="6"/>
      <c r="R195" s="6"/>
      <c r="S195" s="6"/>
      <c r="T195" s="6"/>
      <c r="U195" s="6"/>
      <c r="V195" s="6"/>
      <c r="W195" s="6"/>
      <c r="X195" s="6"/>
      <c r="Y195" s="6"/>
      <c r="Z195" s="6"/>
      <c r="AA195" s="6"/>
      <c r="AB195" s="6"/>
      <c r="AC195" s="6"/>
      <c r="AD195" s="6"/>
      <c r="AE195" s="6"/>
      <c r="AJ195" s="21"/>
    </row>
    <row r="196" spans="2:37" s="2" customFormat="1" ht="11.25">
      <c r="B196" s="17"/>
      <c r="D196" s="34"/>
      <c r="E196" s="34"/>
      <c r="F196" s="34"/>
      <c r="H196" s="6"/>
      <c r="I196" s="6"/>
      <c r="J196" s="6"/>
      <c r="K196" s="6"/>
      <c r="L196" s="6"/>
      <c r="M196" s="6"/>
      <c r="N196" s="6"/>
      <c r="O196" s="6"/>
      <c r="P196" s="6"/>
      <c r="Q196" s="6"/>
      <c r="R196" s="6"/>
      <c r="S196" s="6"/>
      <c r="T196" s="6"/>
      <c r="U196" s="6"/>
      <c r="V196" s="6"/>
      <c r="W196" s="6"/>
      <c r="X196" s="6"/>
      <c r="Y196" s="6"/>
      <c r="Z196" s="6"/>
      <c r="AA196" s="6"/>
      <c r="AB196" s="6"/>
      <c r="AC196" s="12"/>
      <c r="AD196" s="12"/>
      <c r="AE196" s="12"/>
      <c r="AJ196" s="21"/>
    </row>
    <row r="197" spans="2:37" s="2" customFormat="1" ht="11.25">
      <c r="B197" s="17"/>
      <c r="D197" s="34"/>
      <c r="E197" s="34"/>
      <c r="F197" s="34"/>
      <c r="H197" s="6"/>
      <c r="I197" s="6"/>
      <c r="J197" s="6"/>
      <c r="K197" s="6"/>
      <c r="L197" s="6"/>
      <c r="M197" s="6"/>
      <c r="N197" s="6"/>
      <c r="O197" s="6"/>
      <c r="P197" s="6"/>
      <c r="Q197" s="6"/>
      <c r="R197" s="6"/>
      <c r="S197" s="6"/>
      <c r="T197" s="6"/>
      <c r="U197" s="6"/>
      <c r="V197" s="6"/>
      <c r="W197" s="6"/>
      <c r="X197" s="6"/>
      <c r="Y197" s="6"/>
      <c r="Z197" s="6"/>
      <c r="AA197" s="6"/>
      <c r="AB197" s="6"/>
      <c r="AC197" s="12"/>
      <c r="AD197" s="12"/>
      <c r="AE197" s="12"/>
      <c r="AJ197" s="21"/>
    </row>
    <row r="198" spans="2:37" s="2" customFormat="1" ht="11.25">
      <c r="B198" s="17"/>
      <c r="D198" s="34"/>
      <c r="E198" s="34"/>
      <c r="F198" s="34"/>
      <c r="H198" s="6"/>
      <c r="I198" s="6"/>
      <c r="J198" s="6"/>
      <c r="K198" s="6"/>
      <c r="L198" s="6"/>
      <c r="M198" s="6"/>
      <c r="N198" s="6"/>
      <c r="O198" s="6"/>
      <c r="P198" s="6"/>
      <c r="Q198" s="6"/>
      <c r="R198" s="6"/>
      <c r="S198" s="6"/>
      <c r="T198" s="6"/>
      <c r="U198" s="6"/>
      <c r="V198" s="6"/>
      <c r="W198" s="6"/>
      <c r="X198" s="6"/>
      <c r="Y198" s="6"/>
      <c r="Z198" s="6"/>
      <c r="AA198" s="6"/>
      <c r="AB198" s="6"/>
      <c r="AC198" s="12"/>
      <c r="AD198" s="12"/>
      <c r="AE198" s="12"/>
      <c r="AJ198" s="21"/>
    </row>
    <row r="199" spans="2:37" s="2" customFormat="1" ht="11.25">
      <c r="B199" s="17"/>
      <c r="D199" s="34"/>
      <c r="E199" s="34"/>
      <c r="F199" s="34"/>
      <c r="H199" s="6"/>
      <c r="I199" s="6"/>
      <c r="J199" s="6"/>
      <c r="K199" s="6"/>
      <c r="L199" s="6"/>
      <c r="M199" s="6"/>
      <c r="N199" s="6"/>
      <c r="O199" s="6"/>
      <c r="P199" s="6"/>
      <c r="Q199" s="6"/>
      <c r="R199" s="6"/>
      <c r="S199" s="6"/>
      <c r="T199" s="6"/>
      <c r="U199" s="6"/>
      <c r="V199" s="6"/>
      <c r="W199" s="6"/>
      <c r="X199" s="6"/>
      <c r="Y199" s="6"/>
      <c r="Z199" s="6"/>
      <c r="AA199" s="6"/>
      <c r="AB199" s="6"/>
      <c r="AC199" s="12"/>
      <c r="AD199" s="12"/>
      <c r="AE199" s="12"/>
      <c r="AJ199" s="21"/>
    </row>
    <row r="200" spans="2:37" s="2" customFormat="1" ht="11.25">
      <c r="B200" s="17"/>
      <c r="D200" s="34"/>
      <c r="E200" s="34"/>
      <c r="F200" s="34"/>
      <c r="H200" s="6"/>
      <c r="I200" s="6"/>
      <c r="J200" s="6"/>
      <c r="K200" s="6"/>
      <c r="L200" s="6"/>
      <c r="M200" s="6"/>
      <c r="N200" s="6"/>
      <c r="O200" s="6"/>
      <c r="P200" s="6"/>
      <c r="Q200" s="6"/>
      <c r="R200" s="6"/>
      <c r="S200" s="6"/>
      <c r="T200" s="6"/>
      <c r="U200" s="6"/>
      <c r="V200" s="6"/>
      <c r="W200" s="6"/>
      <c r="X200" s="6"/>
      <c r="Y200" s="6"/>
      <c r="Z200" s="6"/>
      <c r="AA200" s="6"/>
      <c r="AB200" s="6"/>
      <c r="AC200" s="6"/>
      <c r="AD200" s="6"/>
      <c r="AE200" s="6"/>
      <c r="AJ200" s="21"/>
    </row>
    <row r="201" spans="2:37" s="2" customFormat="1" ht="11.25">
      <c r="B201" s="17"/>
      <c r="D201" s="34"/>
      <c r="E201" s="34"/>
      <c r="F201" s="34"/>
      <c r="H201" s="6"/>
      <c r="I201" s="6"/>
      <c r="J201" s="6"/>
      <c r="K201" s="6"/>
      <c r="L201" s="6"/>
      <c r="M201" s="6"/>
      <c r="N201" s="6"/>
      <c r="O201" s="6"/>
      <c r="P201" s="6"/>
      <c r="Q201" s="6"/>
      <c r="R201" s="6"/>
      <c r="S201" s="6"/>
      <c r="T201" s="6"/>
      <c r="U201" s="6"/>
      <c r="V201" s="6"/>
      <c r="W201" s="6"/>
      <c r="X201" s="6"/>
      <c r="Y201" s="6"/>
      <c r="Z201" s="6"/>
      <c r="AA201" s="6"/>
      <c r="AB201" s="6"/>
      <c r="AC201" s="11"/>
      <c r="AD201" s="11"/>
      <c r="AE201" s="11"/>
      <c r="AJ201" s="21"/>
    </row>
    <row r="202" spans="2:37" s="2" customFormat="1" ht="11.25">
      <c r="B202" s="17"/>
      <c r="C202" s="3"/>
      <c r="D202" s="13"/>
      <c r="E202" s="13"/>
      <c r="F202" s="13"/>
      <c r="H202" s="6"/>
      <c r="I202" s="6"/>
      <c r="J202" s="6"/>
      <c r="K202" s="6"/>
      <c r="L202" s="6"/>
      <c r="M202" s="6"/>
      <c r="N202" s="6"/>
      <c r="O202" s="6"/>
      <c r="P202" s="6"/>
      <c r="Q202" s="6"/>
      <c r="R202" s="6"/>
      <c r="S202" s="6"/>
      <c r="T202" s="6"/>
      <c r="U202" s="6"/>
      <c r="V202" s="6"/>
      <c r="W202" s="6"/>
      <c r="X202" s="6"/>
      <c r="Y202" s="6"/>
      <c r="Z202" s="6"/>
      <c r="AA202" s="6"/>
      <c r="AB202" s="6"/>
      <c r="AC202" s="12"/>
      <c r="AD202" s="12"/>
      <c r="AE202" s="12"/>
      <c r="AJ202" s="21"/>
    </row>
    <row r="203" spans="2:37" s="2" customFormat="1" ht="11.25">
      <c r="B203" s="17"/>
      <c r="C203" s="3"/>
      <c r="D203" s="13"/>
      <c r="E203" s="13"/>
      <c r="F203" s="13"/>
      <c r="H203" s="6"/>
      <c r="I203" s="6"/>
      <c r="J203" s="6"/>
      <c r="K203" s="6"/>
      <c r="L203" s="6"/>
      <c r="M203" s="6"/>
      <c r="N203" s="6"/>
      <c r="O203" s="6"/>
      <c r="P203" s="6"/>
      <c r="Q203" s="6"/>
      <c r="R203" s="6"/>
      <c r="S203" s="6"/>
      <c r="T203" s="6"/>
      <c r="U203" s="6"/>
      <c r="V203" s="6"/>
      <c r="W203" s="6"/>
      <c r="X203" s="6"/>
      <c r="Y203" s="6"/>
      <c r="Z203" s="6"/>
      <c r="AA203" s="6"/>
      <c r="AB203" s="6"/>
      <c r="AC203" s="12"/>
      <c r="AD203" s="12"/>
      <c r="AE203" s="12"/>
      <c r="AJ203" s="21"/>
    </row>
    <row r="204" spans="2:37" s="2" customFormat="1" ht="11.25">
      <c r="B204" s="17"/>
      <c r="D204" s="34"/>
      <c r="E204" s="34"/>
      <c r="F204" s="34"/>
      <c r="H204" s="6"/>
      <c r="I204" s="6"/>
      <c r="J204" s="6"/>
      <c r="K204" s="6"/>
      <c r="L204" s="6"/>
      <c r="M204" s="6"/>
      <c r="N204" s="6"/>
      <c r="O204" s="6"/>
      <c r="P204" s="6"/>
      <c r="Q204" s="6"/>
      <c r="R204" s="6"/>
      <c r="S204" s="6"/>
      <c r="T204" s="6"/>
      <c r="U204" s="6"/>
      <c r="V204" s="6"/>
      <c r="W204" s="6"/>
      <c r="X204" s="6"/>
      <c r="Y204" s="6"/>
      <c r="Z204" s="6"/>
      <c r="AA204" s="6"/>
      <c r="AB204" s="6"/>
      <c r="AC204" s="6"/>
      <c r="AD204" s="6"/>
      <c r="AE204" s="6"/>
      <c r="AJ204" s="21"/>
    </row>
    <row r="205" spans="2:37" s="2" customFormat="1" ht="11.25">
      <c r="B205" s="18"/>
      <c r="C205" s="13"/>
      <c r="D205" s="13"/>
      <c r="E205" s="13"/>
      <c r="F205" s="13"/>
      <c r="H205" s="6"/>
      <c r="I205" s="6"/>
      <c r="J205" s="6"/>
      <c r="K205" s="6"/>
      <c r="L205" s="6"/>
      <c r="M205" s="6"/>
      <c r="N205" s="6"/>
      <c r="O205" s="6"/>
      <c r="P205" s="6"/>
      <c r="Q205" s="6"/>
      <c r="R205" s="6"/>
      <c r="S205" s="6"/>
      <c r="T205" s="6"/>
      <c r="U205" s="6"/>
      <c r="V205" s="6"/>
      <c r="W205" s="6"/>
      <c r="X205" s="6"/>
      <c r="Y205" s="6"/>
      <c r="Z205" s="6"/>
      <c r="AA205" s="6"/>
      <c r="AB205" s="6"/>
      <c r="AC205" s="12"/>
      <c r="AD205" s="12"/>
      <c r="AE205" s="12"/>
      <c r="AJ205" s="21"/>
    </row>
    <row r="206" spans="2:37" ht="11.25">
      <c r="B206" s="16"/>
      <c r="D206" s="4"/>
      <c r="E206" s="4"/>
      <c r="F206" s="4"/>
      <c r="AB206" s="5"/>
      <c r="AC206" s="8"/>
      <c r="AD206" s="8"/>
      <c r="AE206" s="8"/>
      <c r="AH206" s="2"/>
      <c r="AI206" s="2"/>
      <c r="AJ206" s="20"/>
      <c r="AK206" s="2"/>
    </row>
    <row r="207" spans="2:37" ht="11.25">
      <c r="B207" s="16"/>
      <c r="C207" s="2"/>
      <c r="D207" s="34"/>
      <c r="E207" s="34"/>
      <c r="F207" s="34"/>
      <c r="AB207" s="5"/>
      <c r="AC207" s="8"/>
      <c r="AD207" s="8"/>
      <c r="AE207" s="8"/>
      <c r="AI207" s="1"/>
      <c r="AJ207" s="20"/>
      <c r="AK207" s="2"/>
    </row>
    <row r="208" spans="2:37" ht="11.25">
      <c r="B208" s="17"/>
      <c r="C208" s="2"/>
      <c r="D208" s="34"/>
      <c r="E208" s="34"/>
      <c r="F208" s="34"/>
      <c r="G208" s="2"/>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2"/>
      <c r="AG208" s="2"/>
      <c r="AH208" s="2"/>
      <c r="AI208" s="2"/>
      <c r="AJ208" s="21"/>
      <c r="AK208" s="2"/>
    </row>
    <row r="209" spans="2:37" ht="11.25">
      <c r="B209" s="17"/>
      <c r="C209" s="2"/>
      <c r="D209" s="34"/>
      <c r="E209" s="34"/>
      <c r="F209" s="34"/>
      <c r="G209" s="2"/>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2"/>
      <c r="AG209" s="2"/>
      <c r="AH209" s="2"/>
      <c r="AI209" s="2"/>
      <c r="AJ209" s="21"/>
      <c r="AK209" s="2"/>
    </row>
    <row r="210" spans="2:37" ht="11.25">
      <c r="B210" s="18"/>
      <c r="C210" s="2"/>
      <c r="D210" s="34"/>
      <c r="E210" s="34"/>
      <c r="F210" s="34"/>
      <c r="AB210" s="5"/>
      <c r="AC210" s="8"/>
      <c r="AD210" s="8"/>
      <c r="AE210" s="8"/>
      <c r="AI210" s="1"/>
      <c r="AJ210" s="20"/>
      <c r="AK210" s="2"/>
    </row>
    <row r="211" spans="2:37" ht="11.25">
      <c r="B211" s="17"/>
      <c r="C211" s="2"/>
      <c r="D211" s="34"/>
      <c r="E211" s="34"/>
      <c r="F211" s="34"/>
      <c r="G211" s="2"/>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2"/>
      <c r="AG211" s="2"/>
      <c r="AH211" s="2"/>
      <c r="AI211" s="2"/>
      <c r="AJ211" s="21"/>
      <c r="AK211" s="2"/>
    </row>
    <row r="212" spans="2:37" ht="11.25">
      <c r="B212" s="17"/>
      <c r="C212" s="2"/>
      <c r="D212" s="34"/>
      <c r="E212" s="34"/>
      <c r="F212" s="34"/>
      <c r="G212" s="2"/>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2"/>
      <c r="AG212" s="2"/>
      <c r="AH212" s="2"/>
      <c r="AI212" s="2"/>
      <c r="AJ212" s="21"/>
      <c r="AK212" s="2"/>
    </row>
    <row r="213" spans="2:37" ht="11.25">
      <c r="B213" s="17"/>
      <c r="C213" s="2"/>
      <c r="D213" s="34"/>
      <c r="E213" s="34"/>
      <c r="F213" s="34"/>
      <c r="G213" s="2"/>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2"/>
      <c r="AG213" s="2"/>
      <c r="AH213" s="2"/>
      <c r="AI213" s="2"/>
      <c r="AJ213" s="21"/>
      <c r="AK213" s="2"/>
    </row>
    <row r="214" spans="2:37" ht="11.25">
      <c r="B214" s="17"/>
      <c r="C214" s="2"/>
      <c r="D214" s="34"/>
      <c r="E214" s="34"/>
      <c r="F214" s="34"/>
      <c r="G214" s="2"/>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2"/>
      <c r="AG214" s="2"/>
      <c r="AH214" s="2"/>
      <c r="AI214" s="2"/>
      <c r="AJ214" s="21"/>
      <c r="AK214" s="2"/>
    </row>
    <row r="215" spans="2:37" ht="11.25">
      <c r="B215" s="16"/>
      <c r="D215" s="4"/>
      <c r="E215" s="4"/>
      <c r="F215" s="4"/>
      <c r="AB215" s="5"/>
      <c r="AC215" s="8"/>
      <c r="AD215" s="8"/>
      <c r="AE215" s="8"/>
      <c r="AI215" s="1"/>
      <c r="AJ215" s="20"/>
      <c r="AK215" s="2"/>
    </row>
    <row r="216" spans="2:37" ht="11.25">
      <c r="B216" s="16"/>
      <c r="D216" s="4"/>
      <c r="E216" s="4"/>
      <c r="F216" s="4"/>
      <c r="AB216" s="5"/>
      <c r="AC216" s="8"/>
      <c r="AD216" s="8"/>
      <c r="AE216" s="8"/>
      <c r="AI216" s="1"/>
      <c r="AJ216" s="20"/>
      <c r="AK216" s="2"/>
    </row>
    <row r="217" spans="2:37" ht="11.25">
      <c r="B217" s="16"/>
      <c r="D217" s="4"/>
      <c r="E217" s="4"/>
      <c r="F217" s="4"/>
      <c r="AB217" s="5"/>
      <c r="AC217" s="8"/>
      <c r="AD217" s="8"/>
      <c r="AE217" s="8"/>
      <c r="AI217" s="1"/>
      <c r="AJ217" s="20"/>
      <c r="AK217" s="2"/>
    </row>
    <row r="218" spans="2:37" ht="11.25">
      <c r="B218" s="16"/>
      <c r="D218" s="4"/>
      <c r="E218" s="4"/>
      <c r="F218" s="4"/>
      <c r="AB218" s="5"/>
      <c r="AC218" s="8"/>
      <c r="AD218" s="8"/>
      <c r="AE218" s="8"/>
      <c r="AI218" s="1"/>
      <c r="AJ218" s="20"/>
      <c r="AK218" s="2"/>
    </row>
    <row r="219" spans="2:37" ht="11.25">
      <c r="B219" s="16"/>
      <c r="D219" s="4"/>
      <c r="E219" s="4"/>
      <c r="F219" s="4"/>
      <c r="AB219" s="5"/>
      <c r="AC219" s="8"/>
      <c r="AD219" s="8"/>
      <c r="AE219" s="8"/>
      <c r="AI219" s="1"/>
      <c r="AJ219" s="20"/>
      <c r="AK219" s="2"/>
    </row>
    <row r="220" spans="2:37" ht="11.25">
      <c r="B220" s="18"/>
      <c r="C220" s="3"/>
      <c r="D220" s="13"/>
      <c r="E220" s="13"/>
      <c r="F220" s="13"/>
      <c r="AB220" s="5"/>
      <c r="AC220" s="8"/>
      <c r="AD220" s="8"/>
      <c r="AE220" s="8"/>
      <c r="AI220" s="1"/>
      <c r="AJ220" s="20"/>
      <c r="AK220" s="2"/>
    </row>
    <row r="221" spans="2:37" ht="11.25">
      <c r="B221" s="17"/>
      <c r="D221" s="4"/>
      <c r="E221" s="4"/>
      <c r="F221" s="4"/>
      <c r="AB221" s="5"/>
      <c r="AC221" s="8"/>
      <c r="AD221" s="8"/>
      <c r="AE221" s="8"/>
      <c r="AI221" s="1"/>
      <c r="AJ221" s="20"/>
      <c r="AK221" s="2"/>
    </row>
    <row r="222" spans="2:37" ht="11.25">
      <c r="B222" s="16"/>
      <c r="D222" s="4"/>
      <c r="E222" s="4"/>
      <c r="F222" s="4"/>
      <c r="AB222" s="5"/>
      <c r="AC222" s="8"/>
      <c r="AD222" s="8"/>
      <c r="AE222" s="8"/>
      <c r="AI222" s="1"/>
      <c r="AJ222" s="20"/>
      <c r="AK222" s="2"/>
    </row>
    <row r="223" spans="2:37" ht="11.25">
      <c r="B223" s="17"/>
      <c r="D223" s="4"/>
      <c r="E223" s="4"/>
      <c r="F223" s="4"/>
      <c r="AB223" s="5"/>
      <c r="AC223" s="8"/>
      <c r="AD223" s="8"/>
      <c r="AE223" s="8"/>
      <c r="AI223" s="1"/>
      <c r="AJ223" s="20"/>
      <c r="AK223" s="2"/>
    </row>
    <row r="224" spans="2:37" ht="11.25">
      <c r="B224" s="16"/>
      <c r="D224" s="4"/>
      <c r="E224" s="4"/>
      <c r="F224" s="4"/>
      <c r="AB224" s="5"/>
      <c r="AC224" s="8"/>
      <c r="AD224" s="8"/>
      <c r="AE224" s="8"/>
      <c r="AI224" s="1"/>
      <c r="AJ224" s="20"/>
      <c r="AK224" s="2"/>
    </row>
    <row r="225" spans="2:37" ht="11.25">
      <c r="B225" s="16"/>
      <c r="D225" s="4"/>
      <c r="E225" s="4"/>
      <c r="F225" s="4"/>
      <c r="AB225" s="5"/>
      <c r="AC225" s="8"/>
      <c r="AD225" s="8"/>
      <c r="AE225" s="8"/>
      <c r="AI225" s="1"/>
      <c r="AJ225" s="20"/>
      <c r="AK225" s="2"/>
    </row>
    <row r="226" spans="2:37" ht="11.25">
      <c r="B226" s="16"/>
      <c r="D226" s="4"/>
      <c r="E226" s="4"/>
      <c r="F226" s="4"/>
      <c r="AB226" s="5"/>
      <c r="AC226" s="8"/>
      <c r="AD226" s="8"/>
      <c r="AE226" s="8"/>
      <c r="AI226" s="1"/>
      <c r="AJ226" s="20"/>
      <c r="AK226" s="2"/>
    </row>
    <row r="227" spans="2:37" ht="11.25">
      <c r="B227" s="16"/>
      <c r="D227" s="4"/>
      <c r="E227" s="4"/>
      <c r="F227" s="4"/>
      <c r="AB227" s="5"/>
      <c r="AC227" s="8"/>
      <c r="AD227" s="8"/>
      <c r="AE227" s="8"/>
      <c r="AI227" s="1"/>
      <c r="AJ227" s="20"/>
      <c r="AK227" s="2"/>
    </row>
    <row r="228" spans="2:37" ht="12" customHeight="1">
      <c r="B228" s="16"/>
      <c r="D228" s="4"/>
      <c r="E228" s="4"/>
      <c r="F228" s="4"/>
      <c r="AB228" s="5"/>
      <c r="AC228" s="8"/>
      <c r="AD228" s="8"/>
      <c r="AE228" s="8"/>
      <c r="AI228" s="1"/>
      <c r="AJ228" s="20"/>
      <c r="AK228" s="2"/>
    </row>
    <row r="229" spans="2:37" ht="11.25">
      <c r="B229" s="16"/>
      <c r="D229" s="4"/>
      <c r="E229" s="4"/>
      <c r="F229" s="4"/>
      <c r="AB229" s="5"/>
      <c r="AC229" s="8"/>
      <c r="AD229" s="8"/>
      <c r="AE229" s="8"/>
      <c r="AI229" s="1"/>
      <c r="AJ229" s="20"/>
      <c r="AK229" s="2"/>
    </row>
    <row r="230" spans="2:37" ht="11.25">
      <c r="B230" s="16"/>
      <c r="D230" s="4"/>
      <c r="E230" s="4"/>
      <c r="F230" s="4"/>
      <c r="AB230" s="5"/>
      <c r="AC230" s="8"/>
      <c r="AD230" s="8"/>
      <c r="AE230" s="8"/>
      <c r="AI230" s="1"/>
      <c r="AJ230" s="20"/>
      <c r="AK230" s="2"/>
    </row>
    <row r="231" spans="2:37" ht="11.25">
      <c r="B231" s="18"/>
      <c r="C231" s="3"/>
      <c r="D231" s="13"/>
      <c r="E231" s="13"/>
      <c r="F231" s="13"/>
      <c r="AB231" s="5"/>
      <c r="AC231" s="8"/>
      <c r="AD231" s="8"/>
      <c r="AE231" s="8"/>
      <c r="AI231" s="1"/>
      <c r="AJ231" s="20"/>
      <c r="AK231" s="2"/>
    </row>
    <row r="232" spans="2:37" ht="11.25">
      <c r="B232" s="17"/>
      <c r="D232" s="4"/>
      <c r="E232" s="4"/>
      <c r="F232" s="4"/>
      <c r="AB232" s="5"/>
      <c r="AC232" s="8"/>
      <c r="AD232" s="8"/>
      <c r="AE232" s="8"/>
      <c r="AI232" s="1"/>
      <c r="AJ232" s="20"/>
      <c r="AK232" s="2"/>
    </row>
    <row r="233" spans="2:37" ht="11.25">
      <c r="B233" s="17"/>
      <c r="D233" s="4"/>
      <c r="E233" s="4"/>
      <c r="F233" s="4"/>
      <c r="AB233" s="5"/>
      <c r="AC233" s="8"/>
      <c r="AD233" s="8"/>
      <c r="AE233" s="8"/>
      <c r="AI233" s="1"/>
      <c r="AJ233" s="20"/>
      <c r="AK233" s="2"/>
    </row>
    <row r="234" spans="2:37" ht="11.25">
      <c r="B234" s="16"/>
      <c r="D234" s="4"/>
      <c r="E234" s="4"/>
      <c r="F234" s="4"/>
      <c r="AB234" s="5"/>
      <c r="AC234" s="8"/>
      <c r="AD234" s="8"/>
      <c r="AE234" s="8"/>
      <c r="AI234" s="1"/>
      <c r="AJ234" s="20"/>
      <c r="AK234" s="2"/>
    </row>
    <row r="235" spans="2:37" ht="11.25">
      <c r="B235" s="17"/>
      <c r="C235" s="2"/>
      <c r="D235" s="34"/>
      <c r="E235" s="34"/>
      <c r="F235" s="34"/>
      <c r="AB235" s="5"/>
      <c r="AC235" s="8"/>
      <c r="AD235" s="8"/>
      <c r="AE235" s="8"/>
      <c r="AI235" s="1"/>
      <c r="AJ235" s="20"/>
      <c r="AK235" s="2"/>
    </row>
    <row r="236" spans="2:37" ht="11.25">
      <c r="B236" s="16"/>
      <c r="D236" s="4"/>
      <c r="E236" s="4"/>
      <c r="F236" s="4"/>
      <c r="AB236" s="5"/>
      <c r="AC236" s="8"/>
      <c r="AD236" s="8"/>
      <c r="AE236" s="8"/>
      <c r="AI236" s="1"/>
      <c r="AJ236" s="20"/>
      <c r="AK236" s="2"/>
    </row>
    <row r="237" spans="2:37" ht="11.25">
      <c r="B237" s="17"/>
      <c r="C237" s="3"/>
      <c r="D237" s="13"/>
      <c r="E237" s="13"/>
      <c r="F237" s="13"/>
      <c r="AB237" s="5"/>
      <c r="AC237" s="8"/>
      <c r="AD237" s="8"/>
      <c r="AE237" s="8"/>
      <c r="AI237" s="1"/>
      <c r="AJ237" s="20"/>
      <c r="AK237" s="2"/>
    </row>
    <row r="238" spans="2:37" ht="11.25">
      <c r="B238" s="16"/>
      <c r="D238" s="4"/>
      <c r="E238" s="4"/>
      <c r="F238" s="4"/>
      <c r="AB238" s="5"/>
      <c r="AC238" s="8"/>
      <c r="AD238" s="8"/>
      <c r="AE238" s="8"/>
      <c r="AI238" s="1"/>
      <c r="AJ238" s="20"/>
      <c r="AK238" s="2"/>
    </row>
    <row r="239" spans="2:37" ht="11.25">
      <c r="B239" s="17"/>
      <c r="C239" s="2"/>
      <c r="D239" s="34"/>
      <c r="E239" s="34"/>
      <c r="F239" s="34"/>
      <c r="AB239" s="5"/>
      <c r="AC239" s="8"/>
      <c r="AD239" s="8"/>
      <c r="AE239" s="8"/>
      <c r="AI239" s="1"/>
      <c r="AJ239" s="20"/>
      <c r="AK239" s="2"/>
    </row>
    <row r="240" spans="2:37" ht="11.25">
      <c r="B240" s="16"/>
      <c r="D240" s="4"/>
      <c r="E240" s="4"/>
      <c r="F240" s="4"/>
      <c r="AB240" s="5"/>
      <c r="AC240" s="8"/>
      <c r="AD240" s="8"/>
      <c r="AE240" s="8"/>
      <c r="AI240" s="1"/>
      <c r="AJ240" s="20"/>
      <c r="AK240" s="2"/>
    </row>
    <row r="241" spans="2:37" ht="11.25">
      <c r="B241" s="16"/>
      <c r="D241" s="4"/>
      <c r="E241" s="4"/>
      <c r="F241" s="4"/>
      <c r="AB241" s="5"/>
      <c r="AC241" s="8"/>
      <c r="AD241" s="8"/>
      <c r="AE241" s="8"/>
      <c r="AI241" s="1"/>
      <c r="AJ241" s="20"/>
      <c r="AK241" s="2"/>
    </row>
    <row r="242" spans="2:37" ht="11.25">
      <c r="B242" s="16"/>
      <c r="D242" s="4"/>
      <c r="E242" s="4"/>
      <c r="F242" s="4"/>
      <c r="AB242" s="5"/>
      <c r="AC242" s="5"/>
      <c r="AD242" s="5"/>
      <c r="AE242" s="5"/>
      <c r="AI242" s="1"/>
      <c r="AJ242" s="20"/>
      <c r="AK242" s="2"/>
    </row>
    <row r="243" spans="2:37" ht="11.25">
      <c r="B243" s="16"/>
      <c r="D243" s="4"/>
      <c r="E243" s="4"/>
      <c r="F243" s="4"/>
      <c r="AB243" s="5"/>
      <c r="AC243" s="5"/>
      <c r="AD243" s="5"/>
      <c r="AE243" s="5"/>
      <c r="AI243" s="1"/>
      <c r="AJ243" s="20"/>
      <c r="AK243" s="2"/>
    </row>
    <row r="244" spans="2:37" ht="11.25">
      <c r="B244" s="17"/>
      <c r="C244" s="3"/>
      <c r="D244" s="13"/>
      <c r="E244" s="13"/>
      <c r="F244" s="13"/>
      <c r="AB244" s="5"/>
      <c r="AC244" s="8"/>
      <c r="AD244" s="8"/>
      <c r="AE244" s="8"/>
      <c r="AI244" s="1"/>
      <c r="AJ244" s="20"/>
      <c r="AK244" s="2"/>
    </row>
    <row r="245" spans="2:37" ht="11.25">
      <c r="B245" s="16"/>
      <c r="D245" s="4"/>
      <c r="E245" s="4"/>
      <c r="F245" s="4"/>
      <c r="AB245" s="5"/>
      <c r="AC245" s="8"/>
      <c r="AD245" s="8"/>
      <c r="AE245" s="8"/>
      <c r="AI245" s="1"/>
      <c r="AJ245" s="20"/>
      <c r="AK245" s="2"/>
    </row>
    <row r="246" spans="2:37" ht="11.25">
      <c r="B246" s="16"/>
      <c r="D246" s="4"/>
      <c r="E246" s="4"/>
      <c r="F246" s="4"/>
      <c r="AB246" s="5"/>
      <c r="AC246" s="8"/>
      <c r="AD246" s="8"/>
      <c r="AE246" s="8"/>
      <c r="AI246" s="1"/>
      <c r="AJ246" s="20"/>
      <c r="AK246" s="2"/>
    </row>
    <row r="247" spans="2:37" ht="11.25">
      <c r="B247" s="16"/>
      <c r="C247" s="2"/>
      <c r="D247" s="34"/>
      <c r="E247" s="34"/>
      <c r="F247" s="34"/>
      <c r="AB247" s="5"/>
      <c r="AC247" s="8"/>
      <c r="AD247" s="8"/>
      <c r="AE247" s="8"/>
      <c r="AI247" s="1"/>
      <c r="AJ247" s="20"/>
      <c r="AK247" s="2"/>
    </row>
    <row r="248" spans="2:37" ht="11.25">
      <c r="B248" s="16"/>
      <c r="C248" s="2"/>
      <c r="D248" s="34"/>
      <c r="E248" s="34"/>
      <c r="F248" s="34"/>
      <c r="AB248" s="5"/>
      <c r="AC248" s="8"/>
      <c r="AD248" s="8"/>
      <c r="AE248" s="8"/>
      <c r="AI248" s="1"/>
      <c r="AJ248" s="20"/>
      <c r="AK248" s="2"/>
    </row>
    <row r="249" spans="2:37" ht="11.25">
      <c r="B249" s="17"/>
      <c r="D249" s="4"/>
      <c r="E249" s="4"/>
      <c r="F249" s="4"/>
      <c r="G249" s="2"/>
      <c r="AB249" s="5"/>
      <c r="AC249" s="8"/>
      <c r="AD249" s="8"/>
      <c r="AE249" s="8"/>
      <c r="AG249" s="2"/>
      <c r="AI249" s="1"/>
      <c r="AJ249" s="20"/>
      <c r="AK249" s="2"/>
    </row>
    <row r="250" spans="2:37" ht="11.25">
      <c r="B250" s="17"/>
      <c r="D250" s="4"/>
      <c r="E250" s="4"/>
      <c r="F250" s="4"/>
      <c r="G250" s="2"/>
      <c r="AB250" s="5"/>
      <c r="AC250" s="8"/>
      <c r="AD250" s="8"/>
      <c r="AE250" s="8"/>
      <c r="AG250" s="2"/>
      <c r="AI250" s="1"/>
      <c r="AJ250" s="20"/>
      <c r="AK250" s="2"/>
    </row>
    <row r="251" spans="2:37" ht="11.25">
      <c r="B251" s="16"/>
      <c r="D251" s="4"/>
      <c r="E251" s="4"/>
      <c r="F251" s="4"/>
      <c r="AB251" s="5"/>
      <c r="AC251" s="8"/>
      <c r="AD251" s="8"/>
      <c r="AE251" s="8"/>
      <c r="AI251" s="1"/>
      <c r="AJ251" s="20"/>
      <c r="AK251" s="2"/>
    </row>
    <row r="252" spans="2:37" ht="11.25">
      <c r="B252" s="17"/>
      <c r="C252" s="2"/>
      <c r="D252" s="34"/>
      <c r="E252" s="34"/>
      <c r="F252" s="34"/>
      <c r="AB252" s="5"/>
      <c r="AC252" s="8"/>
      <c r="AD252" s="8"/>
      <c r="AE252" s="8"/>
      <c r="AI252" s="1"/>
      <c r="AJ252" s="20"/>
      <c r="AK252" s="2"/>
    </row>
    <row r="253" spans="2:37" ht="11.25">
      <c r="B253" s="17"/>
      <c r="C253" s="9"/>
      <c r="D253" s="35"/>
      <c r="E253" s="35"/>
      <c r="F253" s="35"/>
      <c r="AB253" s="5"/>
      <c r="AC253" s="8"/>
      <c r="AD253" s="8"/>
      <c r="AE253" s="8"/>
      <c r="AI253" s="1"/>
      <c r="AJ253" s="20"/>
      <c r="AK253" s="2"/>
    </row>
    <row r="254" spans="2:37" ht="11.25">
      <c r="B254" s="17"/>
      <c r="C254" s="9"/>
      <c r="D254" s="35"/>
      <c r="E254" s="35"/>
      <c r="F254" s="35"/>
      <c r="AB254" s="5"/>
      <c r="AC254" s="8"/>
      <c r="AD254" s="8"/>
      <c r="AE254" s="8"/>
      <c r="AI254" s="1"/>
      <c r="AJ254" s="20"/>
      <c r="AK254" s="2"/>
    </row>
    <row r="255" spans="2:37" ht="11.25">
      <c r="B255" s="17"/>
      <c r="D255" s="4"/>
      <c r="E255" s="4"/>
      <c r="F255" s="4"/>
      <c r="AB255" s="5"/>
      <c r="AC255" s="8"/>
      <c r="AD255" s="8"/>
      <c r="AE255" s="8"/>
      <c r="AI255" s="1"/>
      <c r="AJ255" s="20"/>
      <c r="AK255" s="2"/>
    </row>
    <row r="256" spans="2:37" ht="11.25">
      <c r="B256" s="16"/>
      <c r="D256" s="4"/>
      <c r="E256" s="4"/>
      <c r="F256" s="4"/>
      <c r="AB256" s="5"/>
      <c r="AC256" s="8"/>
      <c r="AD256" s="8"/>
      <c r="AE256" s="8"/>
      <c r="AI256" s="1"/>
      <c r="AJ256" s="20"/>
      <c r="AK256" s="2"/>
    </row>
    <row r="257" spans="2:37" ht="11.25">
      <c r="B257" s="16"/>
      <c r="D257" s="4"/>
      <c r="E257" s="4"/>
      <c r="F257" s="4"/>
      <c r="AB257" s="5"/>
      <c r="AC257" s="8"/>
      <c r="AD257" s="8"/>
      <c r="AE257" s="8"/>
      <c r="AI257" s="1"/>
      <c r="AJ257" s="20"/>
      <c r="AK257" s="2"/>
    </row>
    <row r="258" spans="2:37" ht="11.25">
      <c r="B258" s="16"/>
      <c r="D258" s="4"/>
      <c r="E258" s="4"/>
      <c r="F258" s="4"/>
      <c r="AB258" s="5"/>
      <c r="AC258" s="8"/>
      <c r="AD258" s="8"/>
      <c r="AE258" s="8"/>
      <c r="AI258" s="1"/>
      <c r="AJ258" s="20"/>
      <c r="AK258" s="2"/>
    </row>
    <row r="259" spans="2:37" ht="11.25">
      <c r="B259" s="16"/>
      <c r="D259" s="4"/>
      <c r="E259" s="4"/>
      <c r="F259" s="4"/>
      <c r="AB259" s="5"/>
      <c r="AC259" s="8"/>
      <c r="AD259" s="8"/>
      <c r="AE259" s="8"/>
      <c r="AI259" s="1"/>
      <c r="AJ259" s="20"/>
      <c r="AK259" s="2"/>
    </row>
    <row r="260" spans="2:37" ht="11.25">
      <c r="B260" s="17"/>
      <c r="D260" s="4"/>
      <c r="E260" s="4"/>
      <c r="F260" s="4"/>
      <c r="AB260" s="5"/>
      <c r="AC260" s="8"/>
      <c r="AD260" s="8"/>
      <c r="AE260" s="8"/>
      <c r="AH260" s="2"/>
      <c r="AI260" s="2"/>
      <c r="AJ260" s="20"/>
      <c r="AK260" s="2"/>
    </row>
    <row r="261" spans="2:37" ht="11.25">
      <c r="B261" s="16"/>
      <c r="D261" s="4"/>
      <c r="E261" s="4"/>
      <c r="F261" s="4"/>
      <c r="AB261" s="5"/>
      <c r="AC261" s="8"/>
      <c r="AD261" s="8"/>
      <c r="AE261" s="8"/>
      <c r="AI261" s="1"/>
      <c r="AJ261" s="20"/>
      <c r="AK261" s="2"/>
    </row>
    <row r="262" spans="2:37" ht="11.25">
      <c r="B262" s="16"/>
      <c r="D262" s="4"/>
      <c r="E262" s="4"/>
      <c r="F262" s="4"/>
      <c r="AB262" s="5"/>
      <c r="AC262" s="8"/>
      <c r="AD262" s="8"/>
      <c r="AE262" s="8"/>
      <c r="AI262" s="1"/>
      <c r="AJ262" s="20"/>
      <c r="AK262" s="2"/>
    </row>
    <row r="263" spans="2:37" ht="11.25">
      <c r="B263" s="17"/>
      <c r="D263" s="4"/>
      <c r="E263" s="4"/>
      <c r="F263" s="4"/>
      <c r="AB263" s="5"/>
      <c r="AC263" s="8"/>
      <c r="AD263" s="8"/>
      <c r="AE263" s="8"/>
      <c r="AI263" s="1"/>
      <c r="AJ263" s="20"/>
      <c r="AK263" s="2"/>
    </row>
    <row r="264" spans="2:37" ht="11.25">
      <c r="B264" s="17"/>
      <c r="D264" s="4"/>
      <c r="E264" s="4"/>
      <c r="F264" s="4"/>
      <c r="AB264" s="5"/>
      <c r="AC264" s="8"/>
      <c r="AD264" s="8"/>
      <c r="AE264" s="8"/>
      <c r="AI264" s="1"/>
      <c r="AJ264" s="20"/>
      <c r="AK264" s="2"/>
    </row>
    <row r="265" spans="2:37" ht="11.25">
      <c r="B265" s="17"/>
      <c r="C265" s="3"/>
      <c r="D265" s="13"/>
      <c r="E265" s="13"/>
      <c r="F265" s="13"/>
      <c r="AB265" s="5"/>
      <c r="AC265" s="8"/>
      <c r="AD265" s="8"/>
      <c r="AE265" s="8"/>
      <c r="AI265" s="1"/>
      <c r="AJ265" s="20"/>
      <c r="AK265" s="2"/>
    </row>
    <row r="266" spans="2:37" ht="11.25">
      <c r="B266" s="16"/>
      <c r="D266" s="4"/>
      <c r="E266" s="4"/>
      <c r="F266" s="4"/>
      <c r="AB266" s="5"/>
      <c r="AC266" s="8"/>
      <c r="AD266" s="8"/>
      <c r="AE266" s="8"/>
      <c r="AI266" s="1"/>
      <c r="AJ266" s="20"/>
      <c r="AK266" s="2"/>
    </row>
    <row r="267" spans="2:37" ht="11.25">
      <c r="B267" s="19"/>
      <c r="C267" s="14"/>
      <c r="D267" s="36"/>
      <c r="E267" s="36"/>
      <c r="F267" s="36"/>
      <c r="AB267" s="5"/>
      <c r="AC267" s="8"/>
      <c r="AD267" s="8"/>
      <c r="AE267" s="8"/>
      <c r="AI267" s="1"/>
      <c r="AJ267" s="22"/>
      <c r="AK267" s="2"/>
    </row>
    <row r="268" spans="2:37" ht="11.25">
      <c r="B268" s="17"/>
      <c r="D268" s="4"/>
      <c r="E268" s="4"/>
      <c r="F268" s="4"/>
      <c r="AB268" s="5"/>
      <c r="AC268" s="8"/>
      <c r="AD268" s="8"/>
      <c r="AE268" s="8"/>
      <c r="AI268" s="1"/>
      <c r="AJ268" s="20"/>
      <c r="AK268" s="2"/>
    </row>
    <row r="269" spans="2:37" ht="11.25">
      <c r="B269" s="17"/>
      <c r="D269" s="4"/>
      <c r="E269" s="4"/>
      <c r="F269" s="4"/>
      <c r="AB269" s="5"/>
      <c r="AC269" s="8"/>
      <c r="AD269" s="8"/>
      <c r="AE269" s="8"/>
      <c r="AI269" s="1"/>
      <c r="AJ269" s="20"/>
      <c r="AK269" s="2"/>
    </row>
    <row r="270" spans="2:37" ht="11.25">
      <c r="B270" s="17"/>
      <c r="D270" s="4"/>
      <c r="E270" s="4"/>
      <c r="F270" s="4"/>
      <c r="AB270" s="5"/>
      <c r="AC270" s="8"/>
      <c r="AD270" s="8"/>
      <c r="AE270" s="8"/>
      <c r="AI270" s="1"/>
      <c r="AJ270" s="20"/>
      <c r="AK270" s="2"/>
    </row>
    <row r="271" spans="2:37" ht="11.25">
      <c r="B271" s="17"/>
      <c r="C271" s="3"/>
      <c r="D271" s="13"/>
      <c r="E271" s="13"/>
      <c r="F271" s="13"/>
      <c r="AB271" s="5"/>
      <c r="AC271" s="8"/>
      <c r="AD271" s="8"/>
      <c r="AE271" s="8"/>
      <c r="AI271" s="1"/>
      <c r="AJ271" s="20"/>
      <c r="AK271" s="2"/>
    </row>
    <row r="272" spans="2:37" ht="11.25">
      <c r="B272" s="17"/>
      <c r="D272" s="4"/>
      <c r="E272" s="4"/>
      <c r="F272" s="4"/>
      <c r="AB272" s="5"/>
      <c r="AC272" s="8"/>
      <c r="AD272" s="8"/>
      <c r="AE272" s="8"/>
      <c r="AI272" s="1"/>
      <c r="AJ272" s="20"/>
      <c r="AK272" s="2"/>
    </row>
    <row r="273" spans="2:37" ht="11.25">
      <c r="B273" s="17"/>
      <c r="D273" s="4"/>
      <c r="E273" s="4"/>
      <c r="F273" s="4"/>
      <c r="AB273" s="5"/>
      <c r="AC273" s="8"/>
      <c r="AD273" s="8"/>
      <c r="AE273" s="8"/>
      <c r="AI273" s="1"/>
      <c r="AJ273" s="20"/>
      <c r="AK273" s="2"/>
    </row>
    <row r="274" spans="2:37" ht="11.25">
      <c r="B274" s="17"/>
      <c r="C274" s="3"/>
      <c r="D274" s="13"/>
      <c r="E274" s="13"/>
      <c r="F274" s="13"/>
      <c r="AB274" s="5"/>
      <c r="AC274" s="8"/>
      <c r="AD274" s="8"/>
      <c r="AE274" s="8"/>
      <c r="AI274" s="1"/>
      <c r="AJ274" s="20"/>
      <c r="AK274" s="2"/>
    </row>
    <row r="275" spans="2:37" ht="11.25">
      <c r="B275" s="17"/>
      <c r="C275" s="2"/>
      <c r="D275" s="34"/>
      <c r="E275" s="34"/>
      <c r="F275" s="34"/>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2"/>
      <c r="AH275" s="2"/>
      <c r="AI275" s="2"/>
      <c r="AJ275" s="21"/>
      <c r="AK275" s="2"/>
    </row>
    <row r="276" spans="2:37" ht="11.25">
      <c r="B276" s="28"/>
      <c r="C276" s="29"/>
      <c r="D276" s="37"/>
      <c r="E276" s="37"/>
      <c r="F276" s="37"/>
      <c r="G276" s="32"/>
      <c r="H276" s="30"/>
      <c r="I276" s="30"/>
      <c r="J276" s="30"/>
      <c r="K276" s="30"/>
      <c r="L276" s="30"/>
      <c r="M276" s="30"/>
      <c r="N276" s="30"/>
      <c r="O276" s="30"/>
      <c r="P276" s="30"/>
      <c r="Q276" s="30"/>
      <c r="R276" s="30"/>
      <c r="S276" s="30"/>
      <c r="T276" s="30"/>
      <c r="U276" s="30"/>
      <c r="V276" s="30"/>
      <c r="W276" s="30"/>
      <c r="X276" s="30"/>
      <c r="Y276" s="30"/>
      <c r="Z276" s="30"/>
      <c r="AA276" s="30"/>
      <c r="AB276" s="30"/>
      <c r="AC276" s="31"/>
      <c r="AD276" s="31"/>
      <c r="AE276" s="31"/>
      <c r="AF276" s="32"/>
      <c r="AG276" s="32"/>
      <c r="AH276" s="32"/>
      <c r="AI276" s="32"/>
      <c r="AJ276" s="33"/>
      <c r="AK276" s="39"/>
    </row>
    <row r="277" spans="2:37">
      <c r="B277"/>
      <c r="C277"/>
      <c r="D277"/>
      <c r="E277"/>
      <c r="F277"/>
      <c r="G277"/>
      <c r="H277"/>
      <c r="I277"/>
      <c r="J277"/>
      <c r="K277"/>
      <c r="L277"/>
      <c r="M277"/>
      <c r="N277"/>
      <c r="O277"/>
      <c r="P277"/>
      <c r="Q277"/>
      <c r="R277"/>
      <c r="S277"/>
      <c r="T277"/>
      <c r="U277"/>
      <c r="V277"/>
      <c r="W277"/>
      <c r="X277"/>
      <c r="Y277"/>
      <c r="Z277"/>
      <c r="AA277"/>
      <c r="AB277"/>
      <c r="AC277"/>
      <c r="AD277"/>
      <c r="AF277"/>
      <c r="AG277"/>
      <c r="AH277"/>
      <c r="AJ277"/>
      <c r="AK277"/>
    </row>
  </sheetData>
  <pageMargins left="0.25" right="0.25" top="0.25" bottom="0.25" header="0.3" footer="0.3"/>
  <pageSetup paperSize="5" scale="42" fitToHeight="6" orientation="landscape"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sheetPr>
    <pageSetUpPr fitToPage="1"/>
  </sheetPr>
  <dimension ref="A1:AK79"/>
  <sheetViews>
    <sheetView zoomScale="120" zoomScaleNormal="120" workbookViewId="0">
      <pane xSplit="3" ySplit="2" topLeftCell="D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5.5703125" style="1" customWidth="1"/>
    <col min="5" max="6" width="4.7109375" style="1" customWidth="1"/>
    <col min="7" max="7" width="11.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1.25">
      <c r="A3" s="1" t="s">
        <v>1547</v>
      </c>
      <c r="B3" s="17" t="s">
        <v>1548</v>
      </c>
      <c r="C3" s="1" t="s">
        <v>1549</v>
      </c>
      <c r="D3" s="4" t="s">
        <v>387</v>
      </c>
      <c r="E3" s="4"/>
      <c r="F3" s="4"/>
      <c r="G3" s="1" t="s">
        <v>743</v>
      </c>
      <c r="H3" s="5" t="s">
        <v>388</v>
      </c>
      <c r="M3" s="5" t="s">
        <v>388</v>
      </c>
      <c r="U3" s="5" t="s">
        <v>388</v>
      </c>
      <c r="AB3" s="5"/>
      <c r="AC3" s="8"/>
      <c r="AD3" s="8" t="s">
        <v>388</v>
      </c>
      <c r="AE3" s="8" t="s">
        <v>648</v>
      </c>
      <c r="AF3" s="1" t="s">
        <v>394</v>
      </c>
      <c r="AG3" s="1" t="s">
        <v>1550</v>
      </c>
      <c r="AI3" s="1"/>
      <c r="AJ3" s="20"/>
      <c r="AK3" s="2"/>
    </row>
    <row r="4" spans="1:37" ht="11.25">
      <c r="A4" s="1" t="s">
        <v>1551</v>
      </c>
      <c r="B4" s="17" t="s">
        <v>1552</v>
      </c>
      <c r="C4" s="1" t="s">
        <v>1553</v>
      </c>
      <c r="D4" s="4" t="s">
        <v>387</v>
      </c>
      <c r="E4" s="4"/>
      <c r="F4" s="4"/>
      <c r="G4" s="1" t="s">
        <v>743</v>
      </c>
      <c r="M4" s="5" t="s">
        <v>388</v>
      </c>
      <c r="U4" s="5" t="s">
        <v>388</v>
      </c>
      <c r="AB4" s="5"/>
      <c r="AC4" s="8"/>
      <c r="AD4" s="8" t="s">
        <v>388</v>
      </c>
      <c r="AE4" s="8"/>
      <c r="AF4" s="1" t="s">
        <v>394</v>
      </c>
      <c r="AG4" s="1" t="s">
        <v>1554</v>
      </c>
      <c r="AI4" s="1"/>
      <c r="AJ4" s="20"/>
      <c r="AK4" s="2"/>
    </row>
    <row r="5" spans="1:37" ht="12" customHeight="1">
      <c r="A5" s="1" t="s">
        <v>1555</v>
      </c>
      <c r="B5" s="17" t="s">
        <v>1556</v>
      </c>
      <c r="C5" s="3" t="s">
        <v>1557</v>
      </c>
      <c r="D5" s="13" t="s">
        <v>387</v>
      </c>
      <c r="E5" s="13"/>
      <c r="F5" s="13"/>
      <c r="G5" s="1" t="s">
        <v>743</v>
      </c>
      <c r="L5" s="5" t="s">
        <v>388</v>
      </c>
      <c r="O5" s="5" t="s">
        <v>388</v>
      </c>
      <c r="U5" s="5" t="s">
        <v>388</v>
      </c>
      <c r="AB5" s="5"/>
      <c r="AC5" s="8"/>
      <c r="AD5" s="8" t="s">
        <v>388</v>
      </c>
      <c r="AE5" s="8"/>
      <c r="AF5" s="1" t="s">
        <v>394</v>
      </c>
      <c r="AG5" s="1" t="s">
        <v>1558</v>
      </c>
      <c r="AI5" s="20"/>
      <c r="AJ5" s="20"/>
      <c r="AK5" s="2"/>
    </row>
    <row r="6" spans="1:37" ht="11.25">
      <c r="A6" s="1" t="s">
        <v>1559</v>
      </c>
      <c r="B6" s="16" t="s">
        <v>1560</v>
      </c>
      <c r="C6" s="1" t="s">
        <v>814</v>
      </c>
      <c r="D6" s="4" t="s">
        <v>387</v>
      </c>
      <c r="E6" s="4"/>
      <c r="F6" s="4"/>
      <c r="G6" s="1" t="s">
        <v>743</v>
      </c>
      <c r="N6" s="5" t="s">
        <v>388</v>
      </c>
      <c r="U6" s="5" t="s">
        <v>388</v>
      </c>
      <c r="AB6" s="5"/>
      <c r="AC6" s="8"/>
      <c r="AD6" s="8" t="s">
        <v>388</v>
      </c>
      <c r="AE6" s="8" t="s">
        <v>648</v>
      </c>
      <c r="AF6" s="1" t="s">
        <v>394</v>
      </c>
      <c r="AG6" s="1" t="s">
        <v>815</v>
      </c>
      <c r="AI6" s="20"/>
      <c r="AJ6" s="75"/>
      <c r="AK6" s="2"/>
    </row>
    <row r="7" spans="1:37" ht="11.25">
      <c r="A7" s="1" t="s">
        <v>1561</v>
      </c>
      <c r="B7" s="102" t="s">
        <v>1562</v>
      </c>
      <c r="C7" s="71" t="s">
        <v>1563</v>
      </c>
      <c r="D7" s="103" t="s">
        <v>387</v>
      </c>
      <c r="E7" s="103"/>
      <c r="F7" s="103"/>
      <c r="G7" s="104">
        <v>1</v>
      </c>
      <c r="H7" s="105"/>
      <c r="I7" s="105"/>
      <c r="J7" s="105"/>
      <c r="K7" s="105"/>
      <c r="L7" s="105" t="s">
        <v>388</v>
      </c>
      <c r="M7" s="105" t="s">
        <v>388</v>
      </c>
      <c r="N7" s="106"/>
      <c r="O7" s="105" t="s">
        <v>388</v>
      </c>
      <c r="P7" s="106"/>
      <c r="Q7" s="105"/>
      <c r="R7" s="106"/>
      <c r="S7" s="106"/>
      <c r="T7" s="106"/>
      <c r="U7" s="106" t="s">
        <v>388</v>
      </c>
      <c r="V7" s="106"/>
      <c r="W7" s="106"/>
      <c r="X7" s="106"/>
      <c r="Y7" s="106"/>
      <c r="Z7" s="106"/>
      <c r="AA7" s="106"/>
      <c r="AB7" s="106"/>
      <c r="AC7" s="104"/>
      <c r="AD7" s="107" t="s">
        <v>388</v>
      </c>
      <c r="AE7" s="107" t="s">
        <v>648</v>
      </c>
      <c r="AF7" s="108" t="s">
        <v>394</v>
      </c>
      <c r="AG7" s="108" t="s">
        <v>1564</v>
      </c>
      <c r="AH7" s="108"/>
      <c r="AI7" s="108"/>
      <c r="AJ7" s="109"/>
      <c r="AK7" s="108"/>
    </row>
    <row r="8" spans="1:37" ht="11.25">
      <c r="A8" s="1" t="s">
        <v>1565</v>
      </c>
      <c r="B8" s="110" t="s">
        <v>1566</v>
      </c>
      <c r="C8" s="71" t="s">
        <v>1567</v>
      </c>
      <c r="D8" s="103" t="s">
        <v>387</v>
      </c>
      <c r="E8" s="103"/>
      <c r="F8" s="103"/>
      <c r="G8" s="104">
        <v>1</v>
      </c>
      <c r="H8" s="105"/>
      <c r="I8" s="105"/>
      <c r="J8" s="105"/>
      <c r="K8" s="105" t="s">
        <v>388</v>
      </c>
      <c r="L8" s="105" t="s">
        <v>388</v>
      </c>
      <c r="M8" s="105" t="s">
        <v>388</v>
      </c>
      <c r="N8" s="106" t="s">
        <v>388</v>
      </c>
      <c r="O8" s="105"/>
      <c r="P8" s="106"/>
      <c r="Q8" s="105"/>
      <c r="R8" s="106"/>
      <c r="S8" s="106"/>
      <c r="T8" s="106" t="s">
        <v>388</v>
      </c>
      <c r="U8" s="106" t="s">
        <v>388</v>
      </c>
      <c r="V8" s="106"/>
      <c r="W8" s="106" t="s">
        <v>388</v>
      </c>
      <c r="X8" s="106"/>
      <c r="Y8" s="106"/>
      <c r="Z8" s="106" t="s">
        <v>388</v>
      </c>
      <c r="AA8" s="106" t="s">
        <v>388</v>
      </c>
      <c r="AB8" s="106"/>
      <c r="AC8" s="104"/>
      <c r="AD8" s="107" t="s">
        <v>388</v>
      </c>
      <c r="AE8" s="107">
        <v>3</v>
      </c>
      <c r="AF8" s="108" t="s">
        <v>1568</v>
      </c>
      <c r="AG8" s="108" t="s">
        <v>1569</v>
      </c>
      <c r="AH8" s="108"/>
      <c r="AI8" s="108"/>
      <c r="AJ8" s="109"/>
      <c r="AK8" s="108"/>
    </row>
    <row r="9" spans="1:37" ht="11.25">
      <c r="A9" s="1" t="s">
        <v>1570</v>
      </c>
      <c r="B9" s="110" t="s">
        <v>1571</v>
      </c>
      <c r="C9" s="71" t="s">
        <v>1572</v>
      </c>
      <c r="D9" s="37" t="s">
        <v>387</v>
      </c>
      <c r="E9" s="37"/>
      <c r="F9" s="37"/>
      <c r="G9" s="104" t="s">
        <v>743</v>
      </c>
      <c r="H9" s="105"/>
      <c r="I9" s="105"/>
      <c r="J9" s="105"/>
      <c r="K9" s="105"/>
      <c r="L9" s="105"/>
      <c r="M9" s="105"/>
      <c r="N9" s="106" t="s">
        <v>388</v>
      </c>
      <c r="O9" s="105"/>
      <c r="P9" s="106"/>
      <c r="Q9" s="105"/>
      <c r="R9" s="106"/>
      <c r="S9" s="106"/>
      <c r="T9" s="106"/>
      <c r="U9" s="106" t="s">
        <v>388</v>
      </c>
      <c r="V9" s="106"/>
      <c r="W9" s="106"/>
      <c r="X9" s="106"/>
      <c r="Y9" s="106"/>
      <c r="Z9" s="106"/>
      <c r="AA9" s="106"/>
      <c r="AB9" s="106"/>
      <c r="AC9" s="104"/>
      <c r="AD9" s="107" t="s">
        <v>388</v>
      </c>
      <c r="AE9" s="107" t="s">
        <v>648</v>
      </c>
      <c r="AF9" s="108" t="s">
        <v>389</v>
      </c>
      <c r="AG9" s="108" t="s">
        <v>1573</v>
      </c>
      <c r="AH9" s="108"/>
      <c r="AI9" s="108"/>
      <c r="AJ9" s="109"/>
      <c r="AK9" s="108"/>
    </row>
    <row r="10" spans="1:37" ht="11.25">
      <c r="A10" s="1" t="s">
        <v>1574</v>
      </c>
      <c r="B10" s="110" t="s">
        <v>1575</v>
      </c>
      <c r="C10" s="71" t="s">
        <v>1576</v>
      </c>
      <c r="D10" s="111" t="s">
        <v>387</v>
      </c>
      <c r="E10" s="111"/>
      <c r="F10" s="111"/>
      <c r="G10" s="104" t="s">
        <v>674</v>
      </c>
      <c r="H10" s="105"/>
      <c r="I10" s="105"/>
      <c r="J10" s="105"/>
      <c r="K10" s="105" t="s">
        <v>388</v>
      </c>
      <c r="L10" s="105" t="s">
        <v>388</v>
      </c>
      <c r="M10" s="105" t="s">
        <v>388</v>
      </c>
      <c r="N10" s="105"/>
      <c r="O10" s="105" t="s">
        <v>388</v>
      </c>
      <c r="P10" s="105"/>
      <c r="Q10" s="105"/>
      <c r="R10" s="105" t="s">
        <v>388</v>
      </c>
      <c r="S10" s="105"/>
      <c r="T10" s="105"/>
      <c r="U10" s="105" t="s">
        <v>388</v>
      </c>
      <c r="V10" s="105"/>
      <c r="W10" s="105" t="s">
        <v>388</v>
      </c>
      <c r="X10" s="105"/>
      <c r="Y10" s="105"/>
      <c r="Z10" s="105"/>
      <c r="AA10" s="105"/>
      <c r="AB10" s="105"/>
      <c r="AC10" s="104"/>
      <c r="AD10" s="104" t="s">
        <v>388</v>
      </c>
      <c r="AE10" s="104" t="s">
        <v>648</v>
      </c>
      <c r="AF10" s="108" t="s">
        <v>389</v>
      </c>
      <c r="AG10" s="108" t="s">
        <v>1577</v>
      </c>
      <c r="AH10" s="108"/>
      <c r="AI10" s="108"/>
      <c r="AJ10" s="109"/>
      <c r="AK10" s="108"/>
    </row>
    <row r="11" spans="1:37" ht="11.25">
      <c r="A11" s="1" t="s">
        <v>924</v>
      </c>
      <c r="B11" s="110" t="s">
        <v>1578</v>
      </c>
      <c r="C11" s="71" t="s">
        <v>356</v>
      </c>
      <c r="D11" s="37" t="s">
        <v>387</v>
      </c>
      <c r="E11" s="37"/>
      <c r="F11" s="37"/>
      <c r="G11" s="104">
        <v>1</v>
      </c>
      <c r="H11" s="105" t="s">
        <v>388</v>
      </c>
      <c r="I11" s="105"/>
      <c r="J11" s="105"/>
      <c r="K11" s="105"/>
      <c r="L11" s="105" t="s">
        <v>388</v>
      </c>
      <c r="M11" s="105"/>
      <c r="N11" s="106" t="s">
        <v>388</v>
      </c>
      <c r="O11" s="105"/>
      <c r="P11" s="106"/>
      <c r="Q11" s="105"/>
      <c r="R11" s="106"/>
      <c r="S11" s="106"/>
      <c r="T11" s="106" t="s">
        <v>388</v>
      </c>
      <c r="U11" s="106" t="s">
        <v>388</v>
      </c>
      <c r="V11" s="106"/>
      <c r="W11" s="106"/>
      <c r="X11" s="106"/>
      <c r="Y11" s="106"/>
      <c r="Z11" s="106"/>
      <c r="AA11" s="106"/>
      <c r="AB11" s="106"/>
      <c r="AC11" s="104"/>
      <c r="AD11" s="107" t="s">
        <v>388</v>
      </c>
      <c r="AE11" s="107">
        <v>3</v>
      </c>
      <c r="AF11" s="108" t="s">
        <v>389</v>
      </c>
      <c r="AG11" s="108" t="s">
        <v>1579</v>
      </c>
      <c r="AH11" s="108"/>
      <c r="AI11" s="108"/>
      <c r="AJ11" s="108"/>
      <c r="AK11" s="108"/>
    </row>
    <row r="12" spans="1:37" ht="11.25">
      <c r="A12" s="1" t="s">
        <v>897</v>
      </c>
      <c r="B12" s="110" t="s">
        <v>1580</v>
      </c>
      <c r="C12" s="71" t="s">
        <v>1581</v>
      </c>
      <c r="D12" s="37" t="s">
        <v>387</v>
      </c>
      <c r="E12" s="37"/>
      <c r="F12" s="37"/>
      <c r="G12" s="104">
        <v>1</v>
      </c>
      <c r="H12" s="105" t="s">
        <v>388</v>
      </c>
      <c r="I12" s="105" t="s">
        <v>388</v>
      </c>
      <c r="J12" s="105" t="s">
        <v>388</v>
      </c>
      <c r="K12" s="105"/>
      <c r="L12" s="105"/>
      <c r="M12" s="105"/>
      <c r="N12" s="106"/>
      <c r="O12" s="105"/>
      <c r="P12" s="106"/>
      <c r="Q12" s="105"/>
      <c r="R12" s="106"/>
      <c r="S12" s="106"/>
      <c r="T12" s="106"/>
      <c r="U12" s="106" t="s">
        <v>388</v>
      </c>
      <c r="V12" s="106"/>
      <c r="W12" s="106"/>
      <c r="X12" s="106"/>
      <c r="Y12" s="106"/>
      <c r="Z12" s="106"/>
      <c r="AA12" s="106"/>
      <c r="AB12" s="106"/>
      <c r="AC12" s="104"/>
      <c r="AD12" s="107" t="s">
        <v>388</v>
      </c>
      <c r="AE12" s="107">
        <v>3</v>
      </c>
      <c r="AF12" s="108" t="s">
        <v>389</v>
      </c>
      <c r="AG12" s="108" t="s">
        <v>1582</v>
      </c>
      <c r="AH12" s="108"/>
      <c r="AI12" s="108"/>
      <c r="AJ12" s="109"/>
      <c r="AK12" s="108"/>
    </row>
    <row r="13" spans="1:37" ht="11.25">
      <c r="A13" s="1" t="s">
        <v>897</v>
      </c>
      <c r="B13" s="102" t="s">
        <v>1583</v>
      </c>
      <c r="C13" s="71" t="s">
        <v>1584</v>
      </c>
      <c r="D13" s="103" t="s">
        <v>387</v>
      </c>
      <c r="E13" s="103"/>
      <c r="F13" s="103"/>
      <c r="G13" s="104" t="s">
        <v>664</v>
      </c>
      <c r="H13" s="105"/>
      <c r="I13" s="105"/>
      <c r="J13" s="105" t="s">
        <v>388</v>
      </c>
      <c r="K13" s="105"/>
      <c r="L13" s="105"/>
      <c r="M13" s="105" t="s">
        <v>388</v>
      </c>
      <c r="N13" s="106"/>
      <c r="O13" s="105"/>
      <c r="P13" s="106"/>
      <c r="Q13" s="105"/>
      <c r="R13" s="106"/>
      <c r="S13" s="106"/>
      <c r="T13" s="106"/>
      <c r="U13" s="106" t="s">
        <v>388</v>
      </c>
      <c r="V13" s="106"/>
      <c r="W13" s="106"/>
      <c r="X13" s="106"/>
      <c r="Y13" s="106"/>
      <c r="Z13" s="106"/>
      <c r="AA13" s="106"/>
      <c r="AB13" s="106"/>
      <c r="AC13" s="104"/>
      <c r="AD13" s="107" t="s">
        <v>388</v>
      </c>
      <c r="AE13" s="107" t="s">
        <v>648</v>
      </c>
      <c r="AF13" s="108" t="s">
        <v>389</v>
      </c>
      <c r="AG13" s="108" t="s">
        <v>1585</v>
      </c>
      <c r="AH13" s="108"/>
      <c r="AI13" s="108"/>
      <c r="AJ13" s="109"/>
      <c r="AK13" s="108"/>
    </row>
    <row r="14" spans="1:37" ht="11.25">
      <c r="B14" s="110"/>
      <c r="C14" s="71"/>
      <c r="D14" s="37"/>
      <c r="E14" s="37"/>
      <c r="F14" s="37"/>
      <c r="G14" s="104"/>
      <c r="H14" s="105"/>
      <c r="I14" s="105"/>
      <c r="J14" s="105"/>
      <c r="K14" s="105"/>
      <c r="L14" s="105"/>
      <c r="M14" s="105"/>
      <c r="N14" s="106"/>
      <c r="O14" s="105"/>
      <c r="P14" s="106"/>
      <c r="Q14" s="105"/>
      <c r="R14" s="106"/>
      <c r="S14" s="106"/>
      <c r="T14" s="106"/>
      <c r="U14" s="106"/>
      <c r="V14" s="106"/>
      <c r="W14" s="106"/>
      <c r="X14" s="106"/>
      <c r="Y14" s="106"/>
      <c r="Z14" s="106"/>
      <c r="AA14" s="106"/>
      <c r="AB14" s="106"/>
      <c r="AC14" s="104"/>
      <c r="AD14" s="107"/>
      <c r="AE14" s="107"/>
      <c r="AF14" s="108"/>
      <c r="AG14" s="108"/>
      <c r="AH14" s="108"/>
      <c r="AI14" s="108"/>
      <c r="AJ14" s="109"/>
      <c r="AK14" s="108"/>
    </row>
    <row r="15" spans="1:37" ht="11.25">
      <c r="C15" s="71"/>
      <c r="D15" s="111"/>
      <c r="E15" s="111"/>
      <c r="F15" s="111"/>
      <c r="G15" s="104"/>
      <c r="H15" s="105"/>
      <c r="I15" s="105"/>
      <c r="J15" s="105"/>
      <c r="K15" s="105"/>
      <c r="L15" s="105"/>
      <c r="M15" s="105"/>
      <c r="N15" s="105"/>
      <c r="O15" s="105"/>
      <c r="P15" s="105"/>
      <c r="Q15" s="105"/>
      <c r="R15" s="105"/>
      <c r="S15" s="105"/>
      <c r="T15" s="105"/>
      <c r="U15" s="105"/>
      <c r="V15" s="105"/>
      <c r="W15" s="105"/>
      <c r="X15" s="105"/>
      <c r="Y15" s="105"/>
      <c r="Z15" s="105"/>
      <c r="AA15" s="105"/>
      <c r="AB15" s="105"/>
      <c r="AC15" s="104"/>
      <c r="AD15" s="104"/>
      <c r="AE15" s="104"/>
      <c r="AF15" s="108"/>
      <c r="AG15" s="108"/>
      <c r="AH15" s="108"/>
      <c r="AI15" s="108"/>
      <c r="AJ15" s="109"/>
      <c r="AK15" s="108"/>
    </row>
    <row r="16" spans="1:37" ht="11.25">
      <c r="C16" s="71"/>
      <c r="D16" s="37"/>
      <c r="E16" s="37"/>
      <c r="F16" s="37"/>
      <c r="G16" s="104"/>
      <c r="H16" s="105"/>
      <c r="I16" s="105"/>
      <c r="J16" s="105"/>
      <c r="K16" s="105"/>
      <c r="L16" s="105"/>
      <c r="M16" s="105"/>
      <c r="N16" s="106"/>
      <c r="O16" s="105"/>
      <c r="P16" s="106"/>
      <c r="Q16" s="105"/>
      <c r="R16" s="106"/>
      <c r="S16" s="106"/>
      <c r="T16" s="106"/>
      <c r="U16" s="106"/>
      <c r="V16" s="106"/>
      <c r="W16" s="106"/>
      <c r="X16" s="106"/>
      <c r="Y16" s="106"/>
      <c r="Z16" s="106"/>
      <c r="AA16" s="106"/>
      <c r="AB16" s="106"/>
      <c r="AC16" s="104"/>
      <c r="AD16" s="107"/>
      <c r="AE16" s="107"/>
      <c r="AF16" s="108"/>
      <c r="AG16" s="108"/>
      <c r="AH16" s="108"/>
      <c r="AI16" s="108"/>
      <c r="AJ16" s="109"/>
      <c r="AK16" s="108"/>
    </row>
    <row r="17" spans="3:37" ht="11.25">
      <c r="C17" s="86"/>
      <c r="D17" s="4"/>
      <c r="G17" s="12"/>
      <c r="H17" s="6"/>
      <c r="I17" s="6"/>
      <c r="J17" s="6"/>
      <c r="K17" s="6"/>
      <c r="L17" s="6"/>
      <c r="M17" s="6"/>
      <c r="O17" s="6"/>
      <c r="Q17" s="6"/>
      <c r="AB17" s="8"/>
      <c r="AC17" s="12"/>
      <c r="AD17" s="8"/>
      <c r="AE17" s="8"/>
      <c r="AF17" s="2"/>
      <c r="AG17" s="2"/>
      <c r="AH17" s="2"/>
      <c r="AI17" s="2"/>
      <c r="AJ17" s="21"/>
      <c r="AK17" s="2"/>
    </row>
    <row r="18" spans="3:37" ht="11.25">
      <c r="C18" s="86"/>
      <c r="D18" s="4"/>
      <c r="G18" s="12"/>
      <c r="H18" s="6"/>
      <c r="I18" s="6"/>
      <c r="J18" s="6"/>
      <c r="K18" s="6"/>
      <c r="L18" s="6"/>
      <c r="M18" s="6"/>
      <c r="O18" s="6"/>
      <c r="Q18" s="6"/>
      <c r="AB18" s="8"/>
      <c r="AC18" s="12"/>
      <c r="AD18" s="8"/>
      <c r="AE18" s="8"/>
      <c r="AF18" s="2"/>
      <c r="AG18" s="2"/>
      <c r="AH18" s="2"/>
      <c r="AI18" s="2"/>
      <c r="AJ18" s="21"/>
      <c r="AK18" s="2"/>
    </row>
    <row r="19" spans="3:37" ht="11.25">
      <c r="C19" s="86"/>
      <c r="D19" s="4"/>
      <c r="G19" s="12"/>
      <c r="H19" s="6"/>
      <c r="I19" s="6"/>
      <c r="J19" s="6"/>
      <c r="K19" s="6"/>
      <c r="L19" s="6"/>
      <c r="M19" s="6"/>
      <c r="O19" s="6"/>
      <c r="Q19" s="6"/>
      <c r="AB19" s="8"/>
      <c r="AC19" s="12"/>
      <c r="AD19" s="8"/>
      <c r="AE19" s="8"/>
      <c r="AF19" s="2"/>
      <c r="AG19" s="2"/>
      <c r="AH19" s="2"/>
      <c r="AI19" s="2"/>
      <c r="AJ19" s="21"/>
      <c r="AK19" s="2"/>
    </row>
    <row r="20" spans="3:37" ht="11.25">
      <c r="C20" s="86"/>
      <c r="D20" s="4"/>
      <c r="G20" s="12"/>
      <c r="H20" s="6"/>
      <c r="I20" s="6"/>
      <c r="J20" s="6"/>
      <c r="K20" s="6"/>
      <c r="L20" s="6"/>
      <c r="M20" s="6"/>
      <c r="O20" s="6"/>
      <c r="Q20" s="6"/>
      <c r="AB20" s="8"/>
      <c r="AC20" s="12"/>
      <c r="AD20" s="8"/>
      <c r="AE20" s="8"/>
      <c r="AF20" s="2"/>
      <c r="AG20" s="2"/>
      <c r="AH20" s="2"/>
      <c r="AI20" s="2"/>
      <c r="AJ20" s="21"/>
      <c r="AK20" s="2"/>
    </row>
    <row r="21" spans="3:37" ht="11.25">
      <c r="C21" s="86"/>
      <c r="D21" s="4"/>
      <c r="G21" s="12"/>
      <c r="H21" s="6"/>
      <c r="I21" s="6"/>
      <c r="J21" s="6"/>
      <c r="K21" s="6"/>
      <c r="L21" s="6"/>
      <c r="M21" s="6"/>
      <c r="O21" s="6"/>
      <c r="Q21" s="6"/>
      <c r="AB21" s="8"/>
      <c r="AC21" s="12"/>
      <c r="AD21" s="8"/>
      <c r="AE21" s="8"/>
      <c r="AF21" s="2"/>
      <c r="AG21" s="2"/>
      <c r="AH21" s="2"/>
      <c r="AI21" s="2"/>
      <c r="AJ21" s="21"/>
      <c r="AK21" s="2"/>
    </row>
    <row r="22" spans="3:37" ht="11.25">
      <c r="C22" s="86"/>
      <c r="D22" s="4"/>
      <c r="G22" s="12"/>
      <c r="H22" s="6"/>
      <c r="I22" s="6"/>
      <c r="J22" s="6"/>
      <c r="K22" s="6"/>
      <c r="L22" s="6"/>
      <c r="M22" s="6"/>
      <c r="O22" s="6"/>
      <c r="Q22" s="6"/>
      <c r="AB22" s="8"/>
      <c r="AC22" s="12"/>
      <c r="AD22" s="8"/>
      <c r="AE22" s="8"/>
      <c r="AF22" s="2"/>
      <c r="AG22" s="2"/>
      <c r="AH22" s="2"/>
      <c r="AI22" s="2"/>
      <c r="AJ22" s="21"/>
      <c r="AK22" s="2"/>
    </row>
    <row r="23" spans="3:37" ht="11.25">
      <c r="C23" s="86"/>
      <c r="D23" s="4"/>
      <c r="G23" s="12"/>
      <c r="H23" s="6"/>
      <c r="I23" s="6"/>
      <c r="J23" s="6"/>
      <c r="K23" s="6"/>
      <c r="L23" s="6"/>
      <c r="M23" s="6"/>
      <c r="O23" s="6"/>
      <c r="Q23" s="6"/>
      <c r="AB23" s="8"/>
      <c r="AC23" s="12"/>
      <c r="AD23" s="8"/>
      <c r="AE23" s="8"/>
      <c r="AF23" s="2"/>
      <c r="AG23" s="2"/>
      <c r="AH23" s="2"/>
      <c r="AI23" s="2"/>
      <c r="AJ23" s="21"/>
      <c r="AK23" s="2"/>
    </row>
    <row r="24" spans="3:37" ht="11.25">
      <c r="C24" s="86"/>
      <c r="D24" s="4"/>
      <c r="G24" s="12"/>
      <c r="H24" s="6"/>
      <c r="I24" s="6"/>
      <c r="J24" s="6"/>
      <c r="K24" s="6"/>
      <c r="L24" s="6"/>
      <c r="M24" s="6"/>
      <c r="O24" s="6"/>
      <c r="Q24" s="6"/>
      <c r="AB24" s="8"/>
      <c r="AC24" s="12"/>
      <c r="AD24" s="8"/>
      <c r="AE24" s="8"/>
      <c r="AF24" s="2"/>
      <c r="AG24" s="2"/>
      <c r="AH24" s="2"/>
      <c r="AI24" s="2"/>
      <c r="AJ24" s="21"/>
      <c r="AK24" s="2"/>
    </row>
    <row r="25" spans="3:37" ht="11.25">
      <c r="C25" s="86"/>
      <c r="D25" s="4"/>
      <c r="G25" s="12"/>
      <c r="H25" s="6"/>
      <c r="I25" s="6"/>
      <c r="J25" s="6"/>
      <c r="K25" s="6"/>
      <c r="L25" s="6"/>
      <c r="M25" s="6"/>
      <c r="O25" s="6"/>
      <c r="Q25" s="6"/>
      <c r="AB25" s="8"/>
      <c r="AC25" s="12"/>
      <c r="AD25" s="8"/>
      <c r="AE25" s="8"/>
      <c r="AF25" s="2"/>
      <c r="AG25" s="2"/>
      <c r="AH25" s="2"/>
      <c r="AI25" s="2"/>
      <c r="AJ25" s="21"/>
      <c r="AK25" s="2"/>
    </row>
    <row r="26" spans="3:37" ht="11.25">
      <c r="C26" s="86"/>
      <c r="D26" s="4"/>
      <c r="G26" s="12"/>
      <c r="H26" s="6"/>
      <c r="I26" s="6"/>
      <c r="J26" s="6"/>
      <c r="K26" s="6"/>
      <c r="L26" s="6"/>
      <c r="M26" s="6"/>
      <c r="O26" s="6"/>
      <c r="Q26" s="6"/>
      <c r="AB26" s="8"/>
      <c r="AC26" s="12"/>
      <c r="AD26" s="8"/>
      <c r="AE26" s="8"/>
      <c r="AF26" s="2"/>
      <c r="AG26" s="2"/>
      <c r="AH26" s="2"/>
      <c r="AI26" s="2"/>
      <c r="AJ26" s="21"/>
      <c r="AK26" s="2"/>
    </row>
    <row r="27" spans="3:37" ht="11.25">
      <c r="C27" s="86"/>
      <c r="D27" s="4"/>
      <c r="G27" s="12"/>
      <c r="H27" s="6"/>
      <c r="I27" s="6"/>
      <c r="J27" s="6"/>
      <c r="K27" s="6"/>
      <c r="L27" s="6"/>
      <c r="M27" s="6"/>
      <c r="O27" s="6"/>
      <c r="Q27" s="6"/>
      <c r="AB27" s="8"/>
      <c r="AC27" s="12"/>
      <c r="AD27" s="8"/>
      <c r="AE27" s="8"/>
      <c r="AF27" s="2"/>
      <c r="AG27" s="2"/>
      <c r="AH27" s="2"/>
      <c r="AI27" s="2"/>
      <c r="AJ27" s="21"/>
      <c r="AK27" s="2"/>
    </row>
    <row r="28" spans="3:37" ht="11.25">
      <c r="C28" s="86"/>
      <c r="D28" s="4"/>
      <c r="G28" s="12"/>
      <c r="H28" s="6"/>
      <c r="I28" s="6"/>
      <c r="J28" s="6"/>
      <c r="K28" s="6"/>
      <c r="L28" s="6"/>
      <c r="M28" s="6"/>
      <c r="O28" s="6"/>
      <c r="Q28" s="6"/>
      <c r="AB28" s="8"/>
      <c r="AC28" s="12"/>
      <c r="AD28" s="8"/>
      <c r="AE28" s="8"/>
      <c r="AF28" s="2"/>
      <c r="AG28" s="2"/>
      <c r="AH28" s="2"/>
      <c r="AI28" s="2"/>
      <c r="AJ28" s="21"/>
      <c r="AK28" s="2"/>
    </row>
    <row r="29" spans="3:37" ht="11.25">
      <c r="C29" s="86"/>
      <c r="D29" s="4"/>
      <c r="G29" s="12"/>
      <c r="H29" s="6"/>
      <c r="I29" s="6"/>
      <c r="J29" s="6"/>
      <c r="K29" s="6"/>
      <c r="L29" s="6"/>
      <c r="M29" s="6"/>
      <c r="O29" s="6"/>
      <c r="Q29" s="6"/>
      <c r="AB29" s="8"/>
      <c r="AC29" s="12"/>
      <c r="AD29" s="8"/>
      <c r="AE29" s="8"/>
      <c r="AF29" s="2"/>
      <c r="AG29" s="2"/>
      <c r="AH29" s="2"/>
      <c r="AI29" s="2"/>
      <c r="AJ29" s="21"/>
      <c r="AK29" s="2"/>
    </row>
    <row r="30" spans="3:37" ht="11.25">
      <c r="C30" s="86"/>
      <c r="D30" s="4"/>
      <c r="G30" s="12"/>
      <c r="H30" s="6"/>
      <c r="I30" s="6"/>
      <c r="J30" s="6"/>
      <c r="K30" s="6"/>
      <c r="L30" s="6"/>
      <c r="M30" s="6"/>
      <c r="O30" s="6"/>
      <c r="Q30" s="6"/>
      <c r="AB30" s="8"/>
      <c r="AC30" s="12"/>
      <c r="AD30" s="8"/>
      <c r="AE30" s="8"/>
      <c r="AF30" s="2"/>
      <c r="AG30" s="2"/>
      <c r="AH30" s="2"/>
      <c r="AI30" s="2"/>
      <c r="AJ30" s="21"/>
      <c r="AK30" s="2"/>
    </row>
    <row r="31" spans="3:37" ht="11.25">
      <c r="C31" s="86"/>
      <c r="D31" s="4"/>
      <c r="G31" s="12"/>
      <c r="H31" s="6"/>
      <c r="I31" s="6"/>
      <c r="J31" s="6"/>
      <c r="K31" s="6"/>
      <c r="L31" s="6"/>
      <c r="M31" s="6"/>
      <c r="O31" s="6"/>
      <c r="Q31" s="6"/>
      <c r="AB31" s="8"/>
      <c r="AC31" s="12"/>
      <c r="AD31" s="8"/>
      <c r="AE31" s="8"/>
      <c r="AF31" s="2"/>
      <c r="AG31" s="2"/>
      <c r="AH31" s="2"/>
      <c r="AI31" s="2"/>
      <c r="AJ31" s="21"/>
      <c r="AK31" s="2"/>
    </row>
    <row r="32" spans="3:37" ht="11.25">
      <c r="C32" s="86"/>
      <c r="D32" s="4"/>
      <c r="G32" s="12"/>
      <c r="H32" s="6"/>
      <c r="I32" s="6"/>
      <c r="J32" s="6"/>
      <c r="K32" s="6"/>
      <c r="L32" s="6"/>
      <c r="M32" s="6"/>
      <c r="O32" s="6"/>
      <c r="Q32" s="6"/>
      <c r="AB32" s="8"/>
      <c r="AC32" s="12"/>
      <c r="AD32" s="8"/>
      <c r="AE32" s="8"/>
      <c r="AF32" s="2"/>
      <c r="AG32" s="2"/>
      <c r="AH32" s="2"/>
      <c r="AI32" s="2"/>
      <c r="AJ32" s="21"/>
      <c r="AK32" s="2"/>
    </row>
    <row r="33" spans="3:37" ht="11.25">
      <c r="C33" s="86"/>
      <c r="D33" s="4"/>
      <c r="G33" s="12"/>
      <c r="H33" s="6"/>
      <c r="I33" s="6"/>
      <c r="J33" s="6"/>
      <c r="K33" s="6"/>
      <c r="L33" s="6"/>
      <c r="M33" s="6"/>
      <c r="O33" s="6"/>
      <c r="Q33" s="6"/>
      <c r="AB33" s="8"/>
      <c r="AC33" s="12"/>
      <c r="AD33" s="8"/>
      <c r="AE33" s="8"/>
      <c r="AF33" s="2"/>
      <c r="AG33" s="2"/>
      <c r="AH33" s="2"/>
      <c r="AI33" s="2"/>
      <c r="AJ33" s="21"/>
      <c r="AK33" s="2"/>
    </row>
    <row r="34" spans="3:37" ht="11.25">
      <c r="C34" s="86"/>
      <c r="D34" s="4"/>
      <c r="G34" s="12"/>
      <c r="H34" s="6"/>
      <c r="I34" s="6"/>
      <c r="J34" s="6"/>
      <c r="K34" s="6"/>
      <c r="L34" s="6"/>
      <c r="M34" s="6"/>
      <c r="O34" s="6"/>
      <c r="Q34" s="6"/>
      <c r="AB34" s="8"/>
      <c r="AC34" s="12"/>
      <c r="AD34" s="8"/>
      <c r="AE34" s="8"/>
      <c r="AF34" s="2"/>
      <c r="AG34" s="2"/>
      <c r="AH34" s="2"/>
      <c r="AI34" s="2"/>
      <c r="AJ34" s="21"/>
      <c r="AK34" s="2"/>
    </row>
    <row r="35" spans="3:37" ht="11.25">
      <c r="C35" s="86"/>
      <c r="D35" s="4"/>
      <c r="G35" s="12"/>
      <c r="H35" s="6"/>
      <c r="I35" s="6"/>
      <c r="J35" s="6"/>
      <c r="K35" s="6"/>
      <c r="L35" s="6"/>
      <c r="M35" s="6"/>
      <c r="O35" s="6"/>
      <c r="Q35" s="6"/>
      <c r="AB35" s="8"/>
      <c r="AC35" s="12"/>
      <c r="AD35" s="8"/>
      <c r="AE35" s="8"/>
      <c r="AF35" s="2"/>
      <c r="AG35" s="2"/>
      <c r="AH35" s="2"/>
      <c r="AI35" s="2"/>
      <c r="AJ35" s="21"/>
      <c r="AK35" s="2"/>
    </row>
    <row r="36" spans="3:37" ht="11.25">
      <c r="C36" s="86"/>
      <c r="D36" s="4"/>
      <c r="G36" s="12"/>
      <c r="H36" s="6"/>
      <c r="I36" s="6"/>
      <c r="J36" s="6"/>
      <c r="K36" s="6"/>
      <c r="L36" s="6"/>
      <c r="M36" s="6"/>
      <c r="O36" s="6"/>
      <c r="Q36" s="6"/>
      <c r="AB36" s="8"/>
      <c r="AC36" s="12"/>
      <c r="AD36" s="8"/>
      <c r="AE36" s="8"/>
      <c r="AF36" s="2"/>
      <c r="AG36" s="2"/>
      <c r="AH36" s="2"/>
      <c r="AI36" s="2"/>
      <c r="AJ36" s="21"/>
      <c r="AK36" s="2"/>
    </row>
    <row r="37" spans="3:37" ht="11.25">
      <c r="C37" s="86"/>
      <c r="D37" s="4"/>
      <c r="G37" s="12"/>
      <c r="H37" s="6"/>
      <c r="I37" s="6"/>
      <c r="J37" s="6"/>
      <c r="K37" s="6"/>
      <c r="L37" s="6"/>
      <c r="M37" s="6"/>
      <c r="O37" s="6"/>
      <c r="Q37" s="6"/>
      <c r="AB37" s="8"/>
      <c r="AC37" s="12"/>
      <c r="AD37" s="8"/>
      <c r="AE37" s="8"/>
      <c r="AF37" s="2"/>
      <c r="AG37" s="2"/>
      <c r="AH37" s="2"/>
      <c r="AI37" s="2"/>
      <c r="AJ37" s="21"/>
      <c r="AK37" s="2"/>
    </row>
    <row r="38" spans="3:37" ht="11.25">
      <c r="C38" s="86"/>
      <c r="D38" s="4"/>
      <c r="G38" s="12"/>
      <c r="H38" s="6"/>
      <c r="I38" s="6"/>
      <c r="J38" s="6"/>
      <c r="K38" s="6"/>
      <c r="L38" s="6"/>
      <c r="M38" s="6"/>
      <c r="O38" s="6"/>
      <c r="Q38" s="6"/>
      <c r="AB38" s="8"/>
      <c r="AC38" s="12"/>
      <c r="AD38" s="8"/>
      <c r="AE38" s="8"/>
      <c r="AF38" s="2"/>
      <c r="AG38" s="2"/>
      <c r="AH38" s="2"/>
      <c r="AI38" s="2"/>
      <c r="AJ38" s="21"/>
      <c r="AK38" s="2"/>
    </row>
    <row r="39" spans="3:37" ht="11.25">
      <c r="C39" s="86"/>
      <c r="D39" s="4"/>
      <c r="G39" s="12"/>
      <c r="H39" s="6"/>
      <c r="I39" s="6"/>
      <c r="J39" s="6"/>
      <c r="K39" s="6"/>
      <c r="L39" s="6"/>
      <c r="M39" s="6"/>
      <c r="O39" s="6"/>
      <c r="Q39" s="6"/>
      <c r="AB39" s="8"/>
      <c r="AC39" s="12"/>
      <c r="AD39" s="8"/>
      <c r="AE39" s="8"/>
      <c r="AF39" s="2"/>
      <c r="AG39" s="2"/>
      <c r="AH39" s="2"/>
      <c r="AI39" s="2"/>
      <c r="AJ39" s="21"/>
      <c r="AK39" s="2"/>
    </row>
    <row r="40" spans="3:37" ht="11.25">
      <c r="C40" s="86"/>
      <c r="D40" s="4"/>
      <c r="G40" s="12"/>
      <c r="H40" s="6"/>
      <c r="I40" s="6"/>
      <c r="J40" s="6"/>
      <c r="K40" s="6"/>
      <c r="L40" s="6"/>
      <c r="M40" s="6"/>
      <c r="O40" s="6"/>
      <c r="Q40" s="6"/>
      <c r="AB40" s="8"/>
      <c r="AC40" s="12"/>
      <c r="AD40" s="8"/>
      <c r="AE40" s="8"/>
      <c r="AF40" s="2"/>
      <c r="AG40" s="2"/>
      <c r="AH40" s="2"/>
      <c r="AI40" s="2"/>
      <c r="AJ40" s="21"/>
      <c r="AK40" s="2"/>
    </row>
    <row r="41" spans="3:37" ht="11.25">
      <c r="C41" s="86"/>
      <c r="D41" s="4"/>
      <c r="G41" s="12"/>
      <c r="H41" s="6"/>
      <c r="I41" s="6"/>
      <c r="J41" s="6"/>
      <c r="K41" s="6"/>
      <c r="L41" s="6"/>
      <c r="M41" s="6"/>
      <c r="O41" s="6"/>
      <c r="Q41" s="6"/>
      <c r="AB41" s="8"/>
      <c r="AC41" s="12"/>
      <c r="AD41" s="8"/>
      <c r="AE41" s="8"/>
      <c r="AF41" s="2"/>
      <c r="AG41" s="2"/>
      <c r="AH41" s="2"/>
      <c r="AI41" s="2"/>
      <c r="AJ41" s="21"/>
      <c r="AK41" s="2"/>
    </row>
    <row r="42" spans="3:37" ht="11.25">
      <c r="C42" s="86"/>
      <c r="D42" s="4"/>
      <c r="G42" s="12"/>
      <c r="H42" s="6"/>
      <c r="I42" s="6"/>
      <c r="J42" s="6"/>
      <c r="K42" s="6"/>
      <c r="L42" s="6"/>
      <c r="M42" s="6"/>
      <c r="O42" s="6"/>
      <c r="Q42" s="6"/>
      <c r="AB42" s="8"/>
      <c r="AC42" s="12"/>
      <c r="AD42" s="8"/>
      <c r="AE42" s="8"/>
      <c r="AF42" s="2"/>
      <c r="AG42" s="2"/>
      <c r="AH42" s="2"/>
      <c r="AI42" s="2"/>
      <c r="AJ42" s="21"/>
      <c r="AK42" s="2"/>
    </row>
    <row r="43" spans="3:37" ht="11.25">
      <c r="C43" s="86"/>
      <c r="D43" s="4"/>
      <c r="G43" s="12"/>
      <c r="H43" s="6"/>
      <c r="I43" s="6"/>
      <c r="J43" s="6"/>
      <c r="K43" s="6"/>
      <c r="L43" s="6"/>
      <c r="M43" s="6"/>
      <c r="O43" s="6"/>
      <c r="Q43" s="6"/>
      <c r="AB43" s="8"/>
      <c r="AC43" s="12"/>
      <c r="AD43" s="8"/>
      <c r="AE43" s="8"/>
      <c r="AF43" s="2"/>
      <c r="AG43" s="2"/>
      <c r="AH43" s="2"/>
      <c r="AI43" s="2"/>
      <c r="AJ43" s="21"/>
      <c r="AK43" s="2"/>
    </row>
    <row r="44" spans="3:37" ht="11.25">
      <c r="C44" s="86"/>
      <c r="D44" s="4"/>
      <c r="G44" s="12"/>
      <c r="H44" s="6"/>
      <c r="I44" s="6"/>
      <c r="J44" s="6"/>
      <c r="K44" s="6"/>
      <c r="L44" s="6"/>
      <c r="M44" s="6"/>
      <c r="O44" s="6"/>
      <c r="Q44" s="6"/>
      <c r="AB44" s="8"/>
      <c r="AC44" s="12"/>
      <c r="AD44" s="8"/>
      <c r="AE44" s="8"/>
      <c r="AF44" s="2"/>
      <c r="AG44" s="2"/>
      <c r="AH44" s="2"/>
      <c r="AI44" s="2"/>
      <c r="AJ44" s="21"/>
      <c r="AK44" s="2"/>
    </row>
    <row r="45" spans="3:37" ht="11.25">
      <c r="C45" s="86"/>
      <c r="D45" s="4"/>
      <c r="G45" s="12"/>
      <c r="H45" s="6"/>
      <c r="I45" s="6"/>
      <c r="J45" s="6"/>
      <c r="K45" s="6"/>
      <c r="L45" s="6"/>
      <c r="M45" s="6"/>
      <c r="O45" s="6"/>
      <c r="Q45" s="6"/>
      <c r="AB45" s="8"/>
      <c r="AC45" s="12"/>
      <c r="AD45" s="8"/>
      <c r="AE45" s="8"/>
      <c r="AF45" s="2"/>
      <c r="AG45" s="2"/>
      <c r="AH45" s="2"/>
      <c r="AI45" s="2"/>
      <c r="AJ45" s="21"/>
      <c r="AK45" s="2"/>
    </row>
    <row r="46" spans="3:37" ht="11.25">
      <c r="C46" s="86"/>
      <c r="D46" s="4"/>
      <c r="G46" s="12"/>
      <c r="H46" s="6"/>
      <c r="I46" s="6"/>
      <c r="J46" s="6"/>
      <c r="K46" s="6"/>
      <c r="L46" s="6"/>
      <c r="M46" s="6"/>
      <c r="O46" s="6"/>
      <c r="Q46" s="6"/>
      <c r="AB46" s="8"/>
      <c r="AC46" s="12"/>
      <c r="AD46" s="8"/>
      <c r="AE46" s="8"/>
      <c r="AF46" s="2"/>
      <c r="AG46" s="2"/>
      <c r="AH46" s="2"/>
      <c r="AI46" s="2"/>
      <c r="AJ46" s="21"/>
      <c r="AK46" s="2"/>
    </row>
    <row r="47" spans="3:37" ht="11.25">
      <c r="C47" s="86"/>
      <c r="D47" s="4"/>
      <c r="G47" s="12"/>
      <c r="H47" s="6"/>
      <c r="I47" s="6"/>
      <c r="J47" s="6"/>
      <c r="K47" s="6"/>
      <c r="L47" s="6"/>
      <c r="M47" s="6"/>
      <c r="O47" s="6"/>
      <c r="Q47" s="6"/>
      <c r="AB47" s="8"/>
      <c r="AC47" s="12"/>
      <c r="AD47" s="8"/>
      <c r="AE47" s="8"/>
      <c r="AF47" s="2"/>
      <c r="AG47" s="2"/>
      <c r="AH47" s="2"/>
      <c r="AI47" s="2"/>
      <c r="AJ47" s="21"/>
      <c r="AK47" s="2"/>
    </row>
    <row r="48" spans="3:37" ht="11.25">
      <c r="C48" s="86"/>
      <c r="D48" s="4"/>
      <c r="G48" s="12"/>
      <c r="H48" s="6"/>
      <c r="I48" s="6"/>
      <c r="J48" s="6"/>
      <c r="K48" s="6"/>
      <c r="L48" s="6"/>
      <c r="M48" s="6"/>
      <c r="O48" s="6"/>
      <c r="Q48" s="6"/>
      <c r="AB48" s="8"/>
      <c r="AC48" s="12"/>
      <c r="AD48" s="8"/>
      <c r="AE48" s="8"/>
      <c r="AF48" s="2"/>
      <c r="AG48" s="2"/>
      <c r="AH48" s="2"/>
      <c r="AI48" s="2"/>
      <c r="AJ48" s="21"/>
      <c r="AK48" s="2"/>
    </row>
    <row r="49" spans="3:37" ht="11.25">
      <c r="C49" s="86"/>
      <c r="D49" s="4"/>
      <c r="G49" s="12"/>
      <c r="H49" s="6"/>
      <c r="I49" s="6"/>
      <c r="J49" s="6"/>
      <c r="K49" s="6"/>
      <c r="L49" s="6"/>
      <c r="M49" s="6"/>
      <c r="O49" s="6"/>
      <c r="Q49" s="6"/>
      <c r="AB49" s="8"/>
      <c r="AC49" s="12"/>
      <c r="AD49" s="8"/>
      <c r="AE49" s="8"/>
      <c r="AF49" s="2"/>
      <c r="AG49" s="2"/>
      <c r="AH49" s="2"/>
      <c r="AI49" s="2"/>
      <c r="AJ49" s="21"/>
      <c r="AK49" s="2"/>
    </row>
    <row r="50" spans="3:37" ht="11.25">
      <c r="C50" s="86"/>
      <c r="D50" s="4"/>
      <c r="G50" s="12"/>
      <c r="H50" s="6"/>
      <c r="I50" s="6"/>
      <c r="J50" s="6"/>
      <c r="K50" s="6"/>
      <c r="L50" s="6"/>
      <c r="M50" s="6"/>
      <c r="O50" s="6"/>
      <c r="Q50" s="6"/>
      <c r="AB50" s="8"/>
      <c r="AC50" s="12"/>
      <c r="AD50" s="8"/>
      <c r="AE50" s="8"/>
      <c r="AF50" s="2"/>
      <c r="AG50" s="2"/>
      <c r="AH50" s="2"/>
      <c r="AI50" s="2"/>
      <c r="AJ50" s="21"/>
      <c r="AK50" s="2"/>
    </row>
    <row r="51" spans="3:37" ht="11.25">
      <c r="C51" s="86"/>
      <c r="D51" s="4"/>
      <c r="G51" s="12"/>
      <c r="H51" s="6"/>
      <c r="I51" s="6"/>
      <c r="J51" s="6"/>
      <c r="K51" s="6"/>
      <c r="L51" s="6"/>
      <c r="M51" s="6"/>
      <c r="O51" s="6"/>
      <c r="Q51" s="6"/>
      <c r="AB51" s="8"/>
      <c r="AC51" s="12"/>
      <c r="AD51" s="8"/>
      <c r="AE51" s="8"/>
      <c r="AF51" s="2"/>
      <c r="AG51" s="2"/>
      <c r="AH51" s="2"/>
      <c r="AI51" s="2"/>
      <c r="AJ51" s="21"/>
      <c r="AK51" s="2"/>
    </row>
    <row r="52" spans="3:37" ht="11.25">
      <c r="C52" s="86"/>
      <c r="D52" s="4"/>
      <c r="G52" s="12"/>
      <c r="H52" s="6"/>
      <c r="I52" s="6"/>
      <c r="J52" s="6"/>
      <c r="K52" s="6"/>
      <c r="L52" s="6"/>
      <c r="M52" s="6"/>
      <c r="O52" s="6"/>
      <c r="Q52" s="6"/>
      <c r="AB52" s="8"/>
      <c r="AC52" s="12"/>
      <c r="AD52" s="8"/>
      <c r="AE52" s="8"/>
      <c r="AF52" s="2"/>
      <c r="AG52" s="2"/>
      <c r="AH52" s="2"/>
      <c r="AI52" s="2"/>
      <c r="AJ52" s="21"/>
      <c r="AK52" s="2"/>
    </row>
    <row r="53" spans="3:37" ht="11.25">
      <c r="C53" s="86"/>
      <c r="D53" s="4"/>
      <c r="G53" s="12"/>
      <c r="H53" s="6"/>
      <c r="I53" s="6"/>
      <c r="J53" s="6"/>
      <c r="K53" s="6"/>
      <c r="L53" s="6"/>
      <c r="M53" s="6"/>
      <c r="O53" s="6"/>
      <c r="Q53" s="6"/>
      <c r="AB53" s="8"/>
      <c r="AC53" s="12"/>
      <c r="AD53" s="8"/>
      <c r="AE53" s="8"/>
      <c r="AF53" s="2"/>
      <c r="AG53" s="2"/>
      <c r="AH53" s="2"/>
      <c r="AI53" s="2"/>
      <c r="AJ53" s="21"/>
      <c r="AK53" s="2"/>
    </row>
    <row r="54" spans="3:37" ht="11.25">
      <c r="C54" s="86"/>
      <c r="D54" s="4"/>
      <c r="G54" s="12"/>
      <c r="H54" s="6"/>
      <c r="I54" s="6"/>
      <c r="J54" s="6"/>
      <c r="K54" s="6"/>
      <c r="L54" s="6"/>
      <c r="M54" s="6"/>
      <c r="O54" s="6"/>
      <c r="Q54" s="6"/>
      <c r="AB54" s="8"/>
      <c r="AC54" s="12"/>
      <c r="AD54" s="8"/>
      <c r="AE54" s="8"/>
      <c r="AF54" s="2"/>
      <c r="AG54" s="2"/>
      <c r="AH54" s="2"/>
      <c r="AI54" s="2"/>
      <c r="AJ54" s="21"/>
      <c r="AK54" s="2"/>
    </row>
    <row r="55" spans="3:37" ht="11.25">
      <c r="C55" s="86"/>
      <c r="D55" s="4"/>
      <c r="G55" s="12"/>
      <c r="H55" s="6"/>
      <c r="I55" s="6"/>
      <c r="J55" s="6"/>
      <c r="K55" s="6"/>
      <c r="L55" s="6"/>
      <c r="M55" s="6"/>
      <c r="O55" s="6"/>
      <c r="Q55" s="6"/>
      <c r="AB55" s="8"/>
      <c r="AC55" s="12"/>
      <c r="AD55" s="8"/>
      <c r="AE55" s="8"/>
      <c r="AF55" s="2"/>
      <c r="AG55" s="2"/>
      <c r="AH55" s="2"/>
      <c r="AI55" s="2"/>
      <c r="AJ55" s="21"/>
      <c r="AK55" s="2"/>
    </row>
    <row r="56" spans="3:37" ht="11.25">
      <c r="C56" s="86"/>
      <c r="D56" s="4"/>
      <c r="G56" s="12"/>
      <c r="H56" s="6"/>
      <c r="I56" s="6"/>
      <c r="J56" s="6"/>
      <c r="K56" s="6"/>
      <c r="L56" s="6"/>
      <c r="M56" s="6"/>
      <c r="O56" s="6"/>
      <c r="Q56" s="6"/>
      <c r="AB56" s="8"/>
      <c r="AC56" s="12"/>
      <c r="AD56" s="8"/>
      <c r="AE56" s="8"/>
      <c r="AF56" s="2"/>
      <c r="AG56" s="2"/>
      <c r="AH56" s="2"/>
      <c r="AI56" s="2"/>
      <c r="AJ56" s="21"/>
      <c r="AK56" s="2"/>
    </row>
    <row r="57" spans="3:37" ht="11.25">
      <c r="C57" s="86"/>
      <c r="D57" s="4"/>
      <c r="G57" s="12"/>
      <c r="H57" s="6"/>
      <c r="I57" s="6"/>
      <c r="J57" s="6"/>
      <c r="K57" s="6"/>
      <c r="L57" s="6"/>
      <c r="M57" s="6"/>
      <c r="O57" s="6"/>
      <c r="Q57" s="6"/>
      <c r="AB57" s="8"/>
      <c r="AC57" s="12"/>
      <c r="AD57" s="8"/>
      <c r="AE57" s="8"/>
      <c r="AF57" s="2"/>
      <c r="AG57" s="2"/>
      <c r="AH57" s="2"/>
      <c r="AI57" s="2"/>
      <c r="AJ57" s="21"/>
      <c r="AK57" s="2"/>
    </row>
    <row r="58" spans="3:37" ht="11.25">
      <c r="C58" s="86"/>
      <c r="D58" s="4"/>
      <c r="G58" s="12"/>
      <c r="H58" s="6"/>
      <c r="I58" s="6"/>
      <c r="J58" s="6"/>
      <c r="K58" s="6"/>
      <c r="L58" s="6"/>
      <c r="M58" s="6"/>
      <c r="O58" s="6"/>
      <c r="Q58" s="6"/>
      <c r="AB58" s="8"/>
      <c r="AC58" s="12"/>
      <c r="AD58" s="8"/>
      <c r="AE58" s="8"/>
      <c r="AF58" s="2"/>
      <c r="AG58" s="2"/>
      <c r="AH58" s="2"/>
      <c r="AI58" s="2"/>
      <c r="AJ58" s="21"/>
      <c r="AK58" s="2"/>
    </row>
    <row r="59" spans="3:37" ht="11.25">
      <c r="C59" s="86"/>
      <c r="D59" s="4"/>
      <c r="G59" s="12"/>
      <c r="H59" s="6"/>
      <c r="I59" s="6"/>
      <c r="J59" s="6"/>
      <c r="K59" s="6"/>
      <c r="L59" s="6"/>
      <c r="M59" s="6"/>
      <c r="O59" s="6"/>
      <c r="Q59" s="6"/>
      <c r="AB59" s="8"/>
      <c r="AC59" s="12"/>
      <c r="AD59" s="8"/>
      <c r="AE59" s="8"/>
      <c r="AF59" s="2"/>
      <c r="AG59" s="2"/>
      <c r="AH59" s="2"/>
      <c r="AI59" s="2"/>
      <c r="AJ59" s="21"/>
      <c r="AK59" s="2"/>
    </row>
    <row r="60" spans="3:37" ht="11.25">
      <c r="C60" s="86"/>
      <c r="D60" s="4"/>
      <c r="G60" s="12"/>
      <c r="H60" s="6"/>
      <c r="I60" s="6"/>
      <c r="J60" s="6"/>
      <c r="K60" s="6"/>
      <c r="L60" s="6"/>
      <c r="M60" s="6"/>
      <c r="O60" s="6"/>
      <c r="Q60" s="6"/>
      <c r="AB60" s="8"/>
      <c r="AC60" s="12"/>
      <c r="AD60" s="8"/>
      <c r="AE60" s="8"/>
      <c r="AF60" s="2"/>
      <c r="AG60" s="2"/>
      <c r="AH60" s="2"/>
      <c r="AI60" s="2"/>
      <c r="AJ60" s="21"/>
      <c r="AK60" s="2"/>
    </row>
    <row r="61" spans="3:37" ht="11.25">
      <c r="C61" s="86"/>
      <c r="D61" s="4"/>
      <c r="G61" s="12"/>
      <c r="H61" s="6"/>
      <c r="I61" s="6"/>
      <c r="J61" s="6"/>
      <c r="K61" s="6"/>
      <c r="L61" s="6"/>
      <c r="M61" s="6"/>
      <c r="O61" s="6"/>
      <c r="Q61" s="6"/>
      <c r="AB61" s="8"/>
      <c r="AC61" s="12"/>
      <c r="AD61" s="8"/>
      <c r="AE61" s="8"/>
      <c r="AF61" s="2"/>
      <c r="AG61" s="2"/>
      <c r="AH61" s="2"/>
      <c r="AI61" s="2"/>
      <c r="AJ61" s="21"/>
      <c r="AK61" s="2"/>
    </row>
    <row r="62" spans="3:37" ht="11.25">
      <c r="C62" s="86"/>
      <c r="D62" s="4"/>
      <c r="G62" s="12"/>
      <c r="H62" s="6"/>
      <c r="I62" s="6"/>
      <c r="J62" s="6"/>
      <c r="K62" s="6"/>
      <c r="L62" s="6"/>
      <c r="M62" s="6"/>
      <c r="O62" s="6"/>
      <c r="Q62" s="6"/>
      <c r="AB62" s="8"/>
      <c r="AC62" s="12"/>
      <c r="AD62" s="8"/>
      <c r="AE62" s="8"/>
      <c r="AF62" s="2"/>
      <c r="AG62" s="2"/>
      <c r="AH62" s="2"/>
      <c r="AI62" s="2"/>
      <c r="AJ62" s="21"/>
      <c r="AK62" s="2"/>
    </row>
    <row r="63" spans="3:37" ht="11.25">
      <c r="C63" s="86"/>
      <c r="D63" s="4"/>
      <c r="G63" s="12"/>
      <c r="H63" s="6"/>
      <c r="I63" s="6"/>
      <c r="J63" s="6"/>
      <c r="K63" s="6"/>
      <c r="L63" s="6"/>
      <c r="M63" s="6"/>
      <c r="O63" s="6"/>
      <c r="Q63" s="6"/>
      <c r="AB63" s="8"/>
      <c r="AC63" s="12"/>
      <c r="AD63" s="8"/>
      <c r="AE63" s="8"/>
      <c r="AF63" s="2"/>
      <c r="AG63" s="2"/>
      <c r="AH63" s="2"/>
      <c r="AI63" s="2"/>
      <c r="AJ63" s="21"/>
      <c r="AK63" s="2"/>
    </row>
    <row r="64" spans="3:37" ht="11.25">
      <c r="C64" s="86"/>
      <c r="D64" s="4"/>
      <c r="G64" s="12"/>
      <c r="H64" s="6"/>
      <c r="I64" s="6"/>
      <c r="J64" s="6"/>
      <c r="K64" s="6"/>
      <c r="L64" s="6"/>
      <c r="M64" s="6"/>
      <c r="O64" s="6"/>
      <c r="Q64" s="6"/>
      <c r="AB64" s="8"/>
      <c r="AC64" s="12"/>
      <c r="AD64" s="8"/>
      <c r="AE64" s="8"/>
      <c r="AF64" s="2"/>
      <c r="AG64" s="2"/>
      <c r="AH64" s="2"/>
      <c r="AI64" s="2"/>
      <c r="AJ64" s="21"/>
      <c r="AK64" s="2"/>
    </row>
    <row r="65" spans="3:37" ht="11.25">
      <c r="C65" s="86"/>
      <c r="D65" s="4"/>
      <c r="G65" s="12"/>
      <c r="H65" s="6"/>
      <c r="I65" s="6"/>
      <c r="J65" s="6"/>
      <c r="K65" s="6"/>
      <c r="L65" s="6"/>
      <c r="M65" s="6"/>
      <c r="O65" s="6"/>
      <c r="Q65" s="6"/>
      <c r="AB65" s="8"/>
      <c r="AC65" s="12"/>
      <c r="AD65" s="8"/>
      <c r="AE65" s="8"/>
      <c r="AF65" s="2"/>
      <c r="AG65" s="2"/>
      <c r="AH65" s="2"/>
      <c r="AI65" s="2"/>
      <c r="AJ65" s="21"/>
      <c r="AK65" s="2"/>
    </row>
    <row r="66" spans="3:37" ht="11.25">
      <c r="C66" s="86"/>
      <c r="D66" s="4"/>
      <c r="G66" s="12"/>
      <c r="H66" s="6"/>
      <c r="I66" s="6"/>
      <c r="J66" s="6"/>
      <c r="K66" s="6"/>
      <c r="L66" s="6"/>
      <c r="M66" s="6"/>
      <c r="O66" s="6"/>
      <c r="Q66" s="6"/>
      <c r="AB66" s="8"/>
      <c r="AC66" s="12"/>
      <c r="AD66" s="8"/>
      <c r="AE66" s="8"/>
      <c r="AF66" s="2"/>
      <c r="AG66" s="2"/>
      <c r="AH66" s="2"/>
      <c r="AI66" s="2"/>
      <c r="AJ66" s="21"/>
      <c r="AK66" s="2"/>
    </row>
    <row r="67" spans="3:37" ht="11.25">
      <c r="C67" s="86"/>
      <c r="D67" s="4"/>
      <c r="G67" s="12"/>
      <c r="H67" s="6"/>
      <c r="I67" s="6"/>
      <c r="J67" s="6"/>
      <c r="K67" s="6"/>
      <c r="L67" s="6"/>
      <c r="M67" s="6"/>
      <c r="O67" s="6"/>
      <c r="Q67" s="6"/>
      <c r="AB67" s="8"/>
      <c r="AC67" s="12"/>
      <c r="AD67" s="8"/>
      <c r="AE67" s="8"/>
      <c r="AF67" s="2"/>
      <c r="AG67" s="2"/>
      <c r="AH67" s="2"/>
      <c r="AI67" s="2"/>
      <c r="AJ67" s="21"/>
      <c r="AK67" s="2"/>
    </row>
    <row r="68" spans="3:37" ht="11.25">
      <c r="C68" s="86"/>
      <c r="D68" s="4"/>
      <c r="G68" s="12"/>
      <c r="H68" s="6"/>
      <c r="I68" s="6"/>
      <c r="J68" s="6"/>
      <c r="K68" s="6"/>
      <c r="L68" s="6"/>
      <c r="M68" s="6"/>
      <c r="O68" s="6"/>
      <c r="Q68" s="6"/>
      <c r="AB68" s="8"/>
      <c r="AC68" s="12"/>
      <c r="AD68" s="8"/>
      <c r="AE68" s="8"/>
      <c r="AF68" s="2"/>
      <c r="AG68" s="2"/>
      <c r="AH68" s="2"/>
      <c r="AI68" s="2"/>
      <c r="AJ68" s="21"/>
      <c r="AK68" s="2"/>
    </row>
    <row r="69" spans="3:37" ht="11.25">
      <c r="C69" s="86"/>
      <c r="D69" s="4"/>
      <c r="G69" s="12"/>
      <c r="H69" s="6"/>
      <c r="I69" s="6"/>
      <c r="J69" s="6"/>
      <c r="K69" s="6"/>
      <c r="L69" s="6"/>
      <c r="M69" s="6"/>
      <c r="O69" s="6"/>
      <c r="Q69" s="6"/>
      <c r="AB69" s="8"/>
      <c r="AC69" s="12"/>
      <c r="AD69" s="8"/>
      <c r="AE69" s="8"/>
      <c r="AF69" s="2"/>
      <c r="AG69" s="2"/>
      <c r="AH69" s="2"/>
      <c r="AI69" s="2"/>
      <c r="AJ69" s="21"/>
      <c r="AK69" s="2"/>
    </row>
    <row r="70" spans="3:37" ht="11.25">
      <c r="C70" s="86"/>
      <c r="D70" s="4"/>
      <c r="G70" s="12"/>
      <c r="H70" s="6"/>
      <c r="I70" s="6"/>
      <c r="J70" s="6"/>
      <c r="K70" s="6"/>
      <c r="L70" s="6"/>
      <c r="M70" s="6"/>
      <c r="O70" s="6"/>
      <c r="Q70" s="6"/>
      <c r="AB70" s="8"/>
      <c r="AC70" s="12"/>
      <c r="AD70" s="8"/>
      <c r="AE70" s="8"/>
      <c r="AF70" s="2"/>
      <c r="AG70" s="2"/>
      <c r="AH70" s="2"/>
      <c r="AI70" s="2"/>
      <c r="AJ70" s="21"/>
      <c r="AK70" s="2"/>
    </row>
    <row r="71" spans="3:37" ht="11.25">
      <c r="C71" s="86"/>
      <c r="D71" s="4"/>
      <c r="G71" s="12"/>
      <c r="H71" s="6"/>
      <c r="I71" s="6"/>
      <c r="J71" s="6"/>
      <c r="K71" s="6"/>
      <c r="L71" s="6"/>
      <c r="M71" s="6"/>
      <c r="O71" s="6"/>
      <c r="Q71" s="6"/>
      <c r="AB71" s="8"/>
      <c r="AC71" s="12"/>
      <c r="AD71" s="8"/>
      <c r="AE71" s="8"/>
      <c r="AF71" s="2"/>
      <c r="AG71" s="2"/>
      <c r="AH71" s="2"/>
      <c r="AI71" s="2"/>
      <c r="AJ71" s="21"/>
      <c r="AK71" s="2"/>
    </row>
    <row r="72" spans="3:37" ht="11.25">
      <c r="C72" s="86"/>
      <c r="D72" s="4"/>
      <c r="G72" s="12"/>
      <c r="H72" s="6"/>
      <c r="I72" s="6"/>
      <c r="J72" s="6"/>
      <c r="K72" s="6"/>
      <c r="L72" s="6"/>
      <c r="M72" s="6"/>
      <c r="O72" s="6"/>
      <c r="Q72" s="6"/>
      <c r="AB72" s="8"/>
      <c r="AC72" s="12"/>
      <c r="AD72" s="8"/>
      <c r="AE72" s="8"/>
      <c r="AF72" s="2"/>
      <c r="AG72" s="2"/>
      <c r="AH72" s="2"/>
      <c r="AI72" s="2"/>
      <c r="AJ72" s="21"/>
      <c r="AK72" s="2"/>
    </row>
    <row r="73" spans="3:37" ht="11.25">
      <c r="C73" s="86"/>
      <c r="D73" s="4"/>
      <c r="G73" s="12"/>
      <c r="H73" s="6"/>
      <c r="I73" s="6"/>
      <c r="J73" s="6"/>
      <c r="K73" s="6"/>
      <c r="L73" s="6"/>
      <c r="M73" s="6"/>
      <c r="O73" s="6"/>
      <c r="Q73" s="6"/>
      <c r="AB73" s="8"/>
      <c r="AC73" s="12"/>
      <c r="AD73" s="8"/>
      <c r="AE73" s="8"/>
      <c r="AF73" s="2"/>
      <c r="AG73" s="2"/>
      <c r="AH73" s="2"/>
      <c r="AI73" s="2"/>
      <c r="AJ73" s="21"/>
      <c r="AK73" s="2"/>
    </row>
    <row r="74" spans="3:37" ht="11.25">
      <c r="C74" s="86"/>
      <c r="D74" s="4"/>
      <c r="G74" s="12"/>
      <c r="H74" s="6"/>
      <c r="I74" s="6"/>
      <c r="J74" s="6"/>
      <c r="K74" s="6"/>
      <c r="L74" s="6"/>
      <c r="M74" s="6"/>
      <c r="O74" s="6"/>
      <c r="Q74" s="6"/>
      <c r="AB74" s="8"/>
      <c r="AC74" s="12"/>
      <c r="AD74" s="8"/>
      <c r="AE74" s="8"/>
      <c r="AF74" s="2"/>
      <c r="AG74" s="2"/>
      <c r="AH74" s="2"/>
      <c r="AI74" s="2"/>
      <c r="AJ74" s="21"/>
      <c r="AK74" s="2"/>
    </row>
    <row r="75" spans="3:37" ht="11.25">
      <c r="C75" s="86"/>
      <c r="D75" s="4"/>
      <c r="G75" s="12"/>
      <c r="H75" s="6"/>
      <c r="I75" s="6"/>
      <c r="J75" s="6"/>
      <c r="K75" s="6"/>
      <c r="L75" s="6"/>
      <c r="M75" s="6"/>
      <c r="O75" s="6"/>
      <c r="Q75" s="6"/>
      <c r="AB75" s="8"/>
      <c r="AC75" s="12"/>
      <c r="AD75" s="8"/>
      <c r="AE75" s="8"/>
      <c r="AF75" s="2"/>
      <c r="AG75" s="2"/>
      <c r="AH75" s="2"/>
      <c r="AI75" s="2"/>
      <c r="AJ75" s="21"/>
      <c r="AK75" s="2"/>
    </row>
    <row r="76" spans="3:37" ht="11.25">
      <c r="C76" s="86"/>
      <c r="D76" s="4"/>
      <c r="G76" s="12"/>
      <c r="H76" s="6"/>
      <c r="I76" s="6"/>
      <c r="J76" s="6"/>
      <c r="K76" s="6"/>
      <c r="L76" s="6"/>
      <c r="M76" s="6"/>
      <c r="O76" s="6"/>
      <c r="Q76" s="6"/>
      <c r="AB76" s="8"/>
      <c r="AC76" s="12"/>
      <c r="AD76" s="8"/>
      <c r="AE76" s="8"/>
      <c r="AF76" s="2"/>
      <c r="AG76" s="2"/>
      <c r="AH76" s="2"/>
      <c r="AI76" s="2"/>
      <c r="AJ76" s="21"/>
      <c r="AK76" s="2"/>
    </row>
    <row r="77" spans="3:37" ht="11.25">
      <c r="C77" s="86"/>
      <c r="D77" s="4"/>
      <c r="G77" s="12"/>
      <c r="H77" s="6"/>
      <c r="I77" s="6"/>
      <c r="J77" s="6"/>
      <c r="K77" s="6"/>
      <c r="L77" s="6"/>
      <c r="M77" s="6"/>
      <c r="O77" s="6"/>
      <c r="Q77" s="6"/>
      <c r="AB77" s="8"/>
      <c r="AC77" s="12"/>
      <c r="AD77" s="8"/>
      <c r="AE77" s="8"/>
      <c r="AF77" s="2"/>
      <c r="AG77" s="2"/>
      <c r="AH77" s="2"/>
      <c r="AI77" s="2"/>
      <c r="AJ77" s="21"/>
      <c r="AK77" s="2"/>
    </row>
    <row r="78" spans="3:37" ht="11.25">
      <c r="C78" s="86"/>
      <c r="D78" s="4"/>
      <c r="G78" s="12"/>
      <c r="H78" s="6"/>
      <c r="I78" s="6"/>
      <c r="J78" s="6"/>
      <c r="K78" s="6"/>
      <c r="L78" s="6"/>
      <c r="M78" s="6"/>
      <c r="O78" s="6"/>
      <c r="Q78" s="6"/>
      <c r="AB78" s="8"/>
      <c r="AC78" s="12"/>
      <c r="AD78" s="8"/>
      <c r="AE78" s="8"/>
      <c r="AF78" s="2"/>
      <c r="AG78" s="2"/>
      <c r="AH78" s="2"/>
      <c r="AI78" s="2"/>
      <c r="AJ78" s="21"/>
      <c r="AK78" s="2"/>
    </row>
    <row r="79" spans="3:37" ht="11.25">
      <c r="C79" s="86"/>
      <c r="D79" s="4"/>
      <c r="G79" s="12"/>
      <c r="H79" s="6"/>
      <c r="I79" s="6"/>
      <c r="J79" s="6"/>
      <c r="K79" s="6"/>
      <c r="L79" s="6"/>
      <c r="M79" s="6"/>
      <c r="O79" s="6"/>
      <c r="Q79" s="6"/>
      <c r="AB79" s="8"/>
      <c r="AC79" s="12"/>
      <c r="AD79" s="8"/>
      <c r="AE79" s="8"/>
      <c r="AF79" s="2"/>
      <c r="AG79" s="2"/>
      <c r="AH79" s="2"/>
      <c r="AI79" s="2"/>
      <c r="AJ79" s="21"/>
      <c r="AK79" s="2"/>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15.xml><?xml version="1.0" encoding="utf-8"?>
<worksheet xmlns="http://schemas.openxmlformats.org/spreadsheetml/2006/main" xmlns:r="http://schemas.openxmlformats.org/officeDocument/2006/relationships">
  <sheetPr>
    <pageSetUpPr fitToPage="1"/>
  </sheetPr>
  <dimension ref="A1:AK27"/>
  <sheetViews>
    <sheetView zoomScale="120" zoomScaleNormal="120" workbookViewId="0">
      <pane xSplit="3" ySplit="2" topLeftCell="D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5.5703125" style="1" customWidth="1"/>
    <col min="5" max="6" width="4.7109375" style="1" customWidth="1"/>
    <col min="7" max="7" width="11.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1.25">
      <c r="A3" s="1" t="s">
        <v>1010</v>
      </c>
      <c r="B3" s="9" t="s">
        <v>1023</v>
      </c>
      <c r="C3" s="35" t="s">
        <v>1014</v>
      </c>
      <c r="D3" s="4" t="s">
        <v>739</v>
      </c>
      <c r="E3" s="35"/>
      <c r="F3" s="35"/>
      <c r="G3" s="1">
        <v>2</v>
      </c>
      <c r="O3" s="91"/>
      <c r="P3" s="92"/>
      <c r="Q3" s="91"/>
      <c r="R3" s="5" t="s">
        <v>623</v>
      </c>
      <c r="S3" s="5" t="s">
        <v>623</v>
      </c>
      <c r="AB3" s="5"/>
      <c r="AC3" s="8"/>
      <c r="AD3" s="8"/>
      <c r="AE3" s="93"/>
      <c r="AF3" s="8" t="s">
        <v>1022</v>
      </c>
      <c r="AG3" s="38" t="s">
        <v>1015</v>
      </c>
      <c r="AH3" s="38"/>
      <c r="AI3" s="1"/>
      <c r="AJ3" s="20"/>
      <c r="AK3" s="2"/>
    </row>
    <row r="4" spans="1:37" ht="11.25">
      <c r="A4" s="1" t="s">
        <v>1011</v>
      </c>
      <c r="B4" s="9" t="s">
        <v>1024</v>
      </c>
      <c r="C4" s="35" t="s">
        <v>1016</v>
      </c>
      <c r="D4" s="4" t="s">
        <v>739</v>
      </c>
      <c r="E4" s="35"/>
      <c r="F4" s="35"/>
      <c r="G4" s="1">
        <v>3</v>
      </c>
      <c r="O4" s="6"/>
      <c r="Q4" s="6" t="s">
        <v>623</v>
      </c>
      <c r="R4" s="5" t="s">
        <v>623</v>
      </c>
      <c r="S4" s="5" t="s">
        <v>623</v>
      </c>
      <c r="AB4" s="5"/>
      <c r="AC4" s="8"/>
      <c r="AD4" s="8"/>
      <c r="AE4" s="49"/>
      <c r="AF4" s="8" t="s">
        <v>1022</v>
      </c>
      <c r="AG4" s="2" t="s">
        <v>1017</v>
      </c>
      <c r="AH4" s="2"/>
      <c r="AI4" s="1"/>
      <c r="AJ4" s="20"/>
      <c r="AK4" s="2"/>
    </row>
    <row r="5" spans="1:37" ht="11.25">
      <c r="A5" s="1" t="s">
        <v>1012</v>
      </c>
      <c r="B5" s="1" t="s">
        <v>1025</v>
      </c>
      <c r="C5" s="4" t="s">
        <v>1018</v>
      </c>
      <c r="D5" s="4" t="s">
        <v>739</v>
      </c>
      <c r="E5" s="4"/>
      <c r="F5" s="4"/>
      <c r="G5" s="1">
        <v>1</v>
      </c>
      <c r="AB5" s="5"/>
      <c r="AC5" s="8"/>
      <c r="AD5" s="8"/>
      <c r="AE5" s="49"/>
      <c r="AF5" s="8" t="s">
        <v>1022</v>
      </c>
      <c r="AG5" s="2" t="s">
        <v>1019</v>
      </c>
      <c r="AH5" s="2"/>
      <c r="AI5" s="1"/>
      <c r="AJ5" s="20"/>
      <c r="AK5" s="2"/>
    </row>
    <row r="6" spans="1:37" ht="11.25">
      <c r="A6" s="1" t="s">
        <v>1013</v>
      </c>
      <c r="B6" s="1" t="s">
        <v>1026</v>
      </c>
      <c r="C6" s="90" t="s">
        <v>1020</v>
      </c>
      <c r="D6" s="4" t="s">
        <v>739</v>
      </c>
      <c r="E6" s="4"/>
      <c r="F6" s="4"/>
      <c r="G6" s="1">
        <v>2</v>
      </c>
      <c r="AB6" s="5"/>
      <c r="AC6" s="8"/>
      <c r="AD6" s="8"/>
      <c r="AE6" s="49"/>
      <c r="AF6" s="8" t="s">
        <v>1022</v>
      </c>
      <c r="AG6" s="2" t="s">
        <v>1021</v>
      </c>
      <c r="AH6" s="2"/>
      <c r="AI6" s="1"/>
      <c r="AJ6" s="20"/>
      <c r="AK6" s="2"/>
    </row>
    <row r="7" spans="1:37" ht="11.25">
      <c r="A7" s="1" t="s">
        <v>1441</v>
      </c>
      <c r="B7" s="16" t="s">
        <v>1440</v>
      </c>
      <c r="C7" s="1" t="s">
        <v>1439</v>
      </c>
      <c r="D7" s="4" t="s">
        <v>1139</v>
      </c>
      <c r="E7" s="4"/>
      <c r="F7" s="4"/>
      <c r="G7" s="1">
        <v>2</v>
      </c>
      <c r="P7" s="5" t="s">
        <v>388</v>
      </c>
      <c r="R7" s="5" t="s">
        <v>388</v>
      </c>
      <c r="S7" s="5" t="s">
        <v>388</v>
      </c>
      <c r="AB7" s="5"/>
      <c r="AC7" s="8"/>
      <c r="AD7" s="8"/>
      <c r="AE7" s="8" t="s">
        <v>648</v>
      </c>
      <c r="AF7" s="1" t="s">
        <v>389</v>
      </c>
      <c r="AG7" s="1" t="s">
        <v>1442</v>
      </c>
      <c r="AI7" s="1"/>
      <c r="AJ7" s="20"/>
      <c r="AK7" s="2"/>
    </row>
    <row r="8" spans="1:37" ht="11.25">
      <c r="A8" s="1" t="s">
        <v>1444</v>
      </c>
      <c r="B8" s="16" t="s">
        <v>1445</v>
      </c>
      <c r="C8" s="1" t="s">
        <v>1443</v>
      </c>
      <c r="D8" s="4" t="s">
        <v>1139</v>
      </c>
      <c r="E8" s="4"/>
      <c r="F8" s="4"/>
      <c r="G8" s="1">
        <v>2</v>
      </c>
      <c r="P8" s="5" t="s">
        <v>388</v>
      </c>
      <c r="R8" s="5" t="s">
        <v>388</v>
      </c>
      <c r="S8" s="5" t="s">
        <v>388</v>
      </c>
      <c r="AB8" s="5"/>
      <c r="AC8" s="8"/>
      <c r="AD8" s="8"/>
      <c r="AE8" s="8" t="s">
        <v>648</v>
      </c>
      <c r="AF8" s="1" t="s">
        <v>389</v>
      </c>
      <c r="AG8" s="1" t="s">
        <v>1446</v>
      </c>
      <c r="AI8" s="1"/>
      <c r="AJ8" s="20"/>
      <c r="AK8" s="2"/>
    </row>
    <row r="9" spans="1:37" ht="11.25">
      <c r="A9" s="1" t="s">
        <v>1449</v>
      </c>
      <c r="B9" s="16" t="s">
        <v>1448</v>
      </c>
      <c r="C9" s="1" t="s">
        <v>1447</v>
      </c>
      <c r="D9" s="4" t="s">
        <v>739</v>
      </c>
      <c r="E9" s="4"/>
      <c r="F9" s="4"/>
      <c r="G9" s="1">
        <v>2</v>
      </c>
      <c r="P9" s="5" t="s">
        <v>388</v>
      </c>
      <c r="R9" s="5" t="s">
        <v>388</v>
      </c>
      <c r="Z9" s="5" t="s">
        <v>388</v>
      </c>
      <c r="AB9" s="5"/>
      <c r="AC9" s="8"/>
      <c r="AD9" s="8"/>
      <c r="AE9" s="8" t="s">
        <v>648</v>
      </c>
      <c r="AF9" s="1" t="s">
        <v>389</v>
      </c>
      <c r="AG9" s="1" t="s">
        <v>1450</v>
      </c>
      <c r="AI9" s="1"/>
      <c r="AJ9" s="20"/>
      <c r="AK9" s="2"/>
    </row>
    <row r="10" spans="1:37" ht="11.25">
      <c r="A10" s="1" t="s">
        <v>285</v>
      </c>
      <c r="B10" s="17" t="s">
        <v>1451</v>
      </c>
      <c r="C10" s="1" t="s">
        <v>1452</v>
      </c>
      <c r="D10" s="4" t="s">
        <v>387</v>
      </c>
      <c r="E10" s="4"/>
      <c r="F10" s="4"/>
      <c r="G10" s="1">
        <v>2</v>
      </c>
      <c r="J10" s="5" t="s">
        <v>388</v>
      </c>
      <c r="P10" s="5" t="s">
        <v>388</v>
      </c>
      <c r="AB10" s="5"/>
      <c r="AC10" s="8"/>
      <c r="AD10" s="8"/>
      <c r="AE10" s="8" t="s">
        <v>648</v>
      </c>
      <c r="AF10" s="1" t="s">
        <v>1022</v>
      </c>
      <c r="AG10" s="1" t="s">
        <v>1453</v>
      </c>
      <c r="AH10" s="2"/>
      <c r="AI10" s="2"/>
      <c r="AJ10" s="20"/>
      <c r="AK10" s="2"/>
    </row>
    <row r="11" spans="1:37" ht="11.25">
      <c r="B11" s="16"/>
      <c r="D11" s="4"/>
      <c r="E11" s="4"/>
      <c r="F11" s="4"/>
      <c r="AB11" s="5"/>
      <c r="AC11" s="8"/>
      <c r="AD11" s="8"/>
      <c r="AE11" s="8"/>
      <c r="AI11" s="1"/>
      <c r="AJ11" s="20"/>
      <c r="AK11" s="2"/>
    </row>
    <row r="12" spans="1:37" ht="11.25">
      <c r="B12" s="16"/>
      <c r="D12" s="4"/>
      <c r="E12" s="4"/>
      <c r="F12" s="4"/>
      <c r="AB12" s="5"/>
      <c r="AC12" s="8"/>
      <c r="AD12" s="8"/>
      <c r="AE12" s="8"/>
      <c r="AI12" s="1"/>
      <c r="AJ12" s="20"/>
      <c r="AK12" s="2"/>
    </row>
    <row r="13" spans="1:37" ht="11.25">
      <c r="B13" s="17"/>
      <c r="D13" s="4"/>
      <c r="E13" s="4"/>
      <c r="F13" s="4"/>
      <c r="AB13" s="5"/>
      <c r="AC13" s="8"/>
      <c r="AD13" s="8"/>
      <c r="AE13" s="8"/>
      <c r="AI13" s="1"/>
      <c r="AJ13" s="20"/>
      <c r="AK13" s="2"/>
    </row>
    <row r="14" spans="1:37" ht="11.25">
      <c r="B14" s="17"/>
      <c r="D14" s="4"/>
      <c r="E14" s="4"/>
      <c r="F14" s="4"/>
      <c r="AB14" s="5"/>
      <c r="AC14" s="8"/>
      <c r="AD14" s="8"/>
      <c r="AE14" s="8"/>
      <c r="AI14" s="1"/>
      <c r="AJ14" s="20"/>
      <c r="AK14" s="2"/>
    </row>
    <row r="15" spans="1:37" ht="11.25">
      <c r="B15" s="17"/>
      <c r="C15" s="3"/>
      <c r="D15" s="13"/>
      <c r="E15" s="13"/>
      <c r="F15" s="13"/>
      <c r="AB15" s="5"/>
      <c r="AC15" s="8"/>
      <c r="AD15" s="8"/>
      <c r="AE15" s="8"/>
      <c r="AI15" s="1"/>
      <c r="AJ15" s="20"/>
      <c r="AK15" s="2"/>
    </row>
    <row r="16" spans="1:37" ht="11.25">
      <c r="B16" s="16"/>
      <c r="D16" s="4"/>
      <c r="E16" s="4"/>
      <c r="F16" s="4"/>
      <c r="AB16" s="5"/>
      <c r="AC16" s="8"/>
      <c r="AD16" s="8"/>
      <c r="AE16" s="8"/>
      <c r="AI16" s="1"/>
      <c r="AJ16" s="20"/>
      <c r="AK16" s="2"/>
    </row>
    <row r="17" spans="2:37" ht="11.25">
      <c r="B17" s="19"/>
      <c r="C17" s="14"/>
      <c r="D17" s="36"/>
      <c r="E17" s="36"/>
      <c r="F17" s="36"/>
      <c r="AB17" s="5"/>
      <c r="AC17" s="8"/>
      <c r="AD17" s="8"/>
      <c r="AE17" s="8"/>
      <c r="AI17" s="1"/>
      <c r="AJ17" s="22"/>
      <c r="AK17" s="2"/>
    </row>
    <row r="18" spans="2:37" ht="11.25">
      <c r="B18" s="17"/>
      <c r="D18" s="4"/>
      <c r="E18" s="4"/>
      <c r="F18" s="4"/>
      <c r="AB18" s="5"/>
      <c r="AC18" s="8"/>
      <c r="AD18" s="8"/>
      <c r="AE18" s="8"/>
      <c r="AI18" s="1"/>
      <c r="AJ18" s="20"/>
      <c r="AK18" s="2"/>
    </row>
    <row r="19" spans="2:37" ht="11.25">
      <c r="B19" s="17"/>
      <c r="D19" s="4"/>
      <c r="E19" s="4"/>
      <c r="F19" s="4"/>
      <c r="AB19" s="5"/>
      <c r="AC19" s="8"/>
      <c r="AD19" s="8"/>
      <c r="AE19" s="8"/>
      <c r="AI19" s="1"/>
      <c r="AJ19" s="20"/>
      <c r="AK19" s="2"/>
    </row>
    <row r="20" spans="2:37" ht="11.25">
      <c r="B20" s="17"/>
      <c r="D20" s="4"/>
      <c r="E20" s="4"/>
      <c r="F20" s="4"/>
      <c r="AB20" s="5"/>
      <c r="AC20" s="8"/>
      <c r="AD20" s="8"/>
      <c r="AE20" s="8"/>
      <c r="AI20" s="1"/>
      <c r="AJ20" s="20"/>
      <c r="AK20" s="2"/>
    </row>
    <row r="21" spans="2:37" ht="11.25">
      <c r="B21" s="17"/>
      <c r="C21" s="3"/>
      <c r="D21" s="13"/>
      <c r="E21" s="13"/>
      <c r="F21" s="13"/>
      <c r="AB21" s="5"/>
      <c r="AC21" s="8"/>
      <c r="AD21" s="8"/>
      <c r="AE21" s="8"/>
      <c r="AI21" s="1"/>
      <c r="AJ21" s="20"/>
      <c r="AK21" s="2"/>
    </row>
    <row r="22" spans="2:37" ht="11.25">
      <c r="B22" s="17"/>
      <c r="D22" s="4"/>
      <c r="E22" s="4"/>
      <c r="F22" s="4"/>
      <c r="AB22" s="5"/>
      <c r="AC22" s="8"/>
      <c r="AD22" s="8"/>
      <c r="AE22" s="8"/>
      <c r="AI22" s="1"/>
      <c r="AJ22" s="20"/>
      <c r="AK22" s="2"/>
    </row>
    <row r="23" spans="2:37" ht="11.25">
      <c r="B23" s="17"/>
      <c r="D23" s="4"/>
      <c r="E23" s="4"/>
      <c r="F23" s="4"/>
      <c r="AB23" s="5"/>
      <c r="AC23" s="8"/>
      <c r="AD23" s="8"/>
      <c r="AE23" s="8"/>
      <c r="AI23" s="1"/>
      <c r="AJ23" s="20"/>
      <c r="AK23" s="2"/>
    </row>
    <row r="24" spans="2:37" ht="11.25">
      <c r="B24" s="17"/>
      <c r="C24" s="3"/>
      <c r="D24" s="13"/>
      <c r="E24" s="13"/>
      <c r="F24" s="13"/>
      <c r="AB24" s="5"/>
      <c r="AC24" s="8"/>
      <c r="AD24" s="8"/>
      <c r="AE24" s="8"/>
      <c r="AI24" s="1"/>
      <c r="AJ24" s="20"/>
      <c r="AK24" s="2"/>
    </row>
    <row r="25" spans="2:37" ht="11.25">
      <c r="B25" s="17"/>
      <c r="C25" s="2"/>
      <c r="D25" s="34"/>
      <c r="E25" s="34"/>
      <c r="F25" s="34"/>
      <c r="H25" s="6"/>
      <c r="I25" s="6"/>
      <c r="J25" s="6"/>
      <c r="K25" s="6"/>
      <c r="L25" s="6"/>
      <c r="M25" s="6"/>
      <c r="N25" s="6"/>
      <c r="O25" s="6"/>
      <c r="P25" s="6"/>
      <c r="Q25" s="6"/>
      <c r="R25" s="6"/>
      <c r="S25" s="6"/>
      <c r="T25" s="6"/>
      <c r="U25" s="6"/>
      <c r="V25" s="6"/>
      <c r="W25" s="6"/>
      <c r="X25" s="6"/>
      <c r="Y25" s="6"/>
      <c r="Z25" s="6"/>
      <c r="AA25" s="6"/>
      <c r="AB25" s="6"/>
      <c r="AC25" s="6"/>
      <c r="AD25" s="6"/>
      <c r="AE25" s="6"/>
      <c r="AF25" s="2"/>
      <c r="AH25" s="2"/>
      <c r="AI25" s="2"/>
      <c r="AJ25" s="21"/>
      <c r="AK25" s="2"/>
    </row>
    <row r="26" spans="2:37" ht="11.25">
      <c r="B26" s="28"/>
      <c r="C26" s="29"/>
      <c r="D26" s="37"/>
      <c r="E26" s="37"/>
      <c r="F26" s="37"/>
      <c r="G26" s="32"/>
      <c r="H26" s="30"/>
      <c r="I26" s="30"/>
      <c r="J26" s="30"/>
      <c r="K26" s="30"/>
      <c r="L26" s="30"/>
      <c r="M26" s="30"/>
      <c r="N26" s="30"/>
      <c r="O26" s="30"/>
      <c r="P26" s="30"/>
      <c r="Q26" s="30"/>
      <c r="R26" s="30"/>
      <c r="S26" s="30"/>
      <c r="T26" s="30"/>
      <c r="U26" s="30"/>
      <c r="V26" s="30"/>
      <c r="W26" s="30"/>
      <c r="X26" s="30"/>
      <c r="Y26" s="30"/>
      <c r="Z26" s="30"/>
      <c r="AA26" s="30"/>
      <c r="AB26" s="30"/>
      <c r="AC26" s="31"/>
      <c r="AD26" s="31"/>
      <c r="AE26" s="31"/>
      <c r="AF26" s="32"/>
      <c r="AG26" s="32"/>
      <c r="AH26" s="32"/>
      <c r="AI26" s="32"/>
      <c r="AJ26" s="33"/>
      <c r="AK26" s="39"/>
    </row>
    <row r="27" spans="2:37">
      <c r="B27"/>
      <c r="C27"/>
      <c r="D27"/>
      <c r="E27"/>
      <c r="F27"/>
      <c r="G27"/>
      <c r="H27"/>
      <c r="I27"/>
      <c r="J27"/>
      <c r="K27"/>
      <c r="L27"/>
      <c r="M27"/>
      <c r="N27"/>
      <c r="O27"/>
      <c r="P27"/>
      <c r="Q27"/>
      <c r="R27"/>
      <c r="S27"/>
      <c r="T27"/>
      <c r="U27"/>
      <c r="V27"/>
      <c r="W27"/>
      <c r="X27"/>
      <c r="Y27"/>
      <c r="Z27"/>
      <c r="AA27"/>
      <c r="AB27"/>
      <c r="AC27"/>
      <c r="AD27"/>
      <c r="AF27"/>
      <c r="AG27"/>
      <c r="AH27"/>
      <c r="AJ27"/>
      <c r="AK27"/>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sheetPr>
    <pageSetUpPr fitToPage="1"/>
  </sheetPr>
  <dimension ref="A1:AK26"/>
  <sheetViews>
    <sheetView zoomScale="120" zoomScaleNormal="120" workbookViewId="0">
      <pane xSplit="3" ySplit="2" topLeftCell="D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5.5703125" style="1" customWidth="1"/>
    <col min="5" max="6" width="4.7109375" style="1" customWidth="1"/>
    <col min="7" max="7" width="11.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1.25">
      <c r="A3" s="1" t="s">
        <v>1454</v>
      </c>
      <c r="B3" s="16" t="s">
        <v>1455</v>
      </c>
      <c r="C3" s="1" t="s">
        <v>1456</v>
      </c>
      <c r="D3" s="4" t="s">
        <v>739</v>
      </c>
      <c r="E3" s="4"/>
      <c r="F3" s="4"/>
      <c r="G3" s="1" t="s">
        <v>743</v>
      </c>
      <c r="K3" s="5" t="s">
        <v>388</v>
      </c>
      <c r="AB3" s="5"/>
      <c r="AC3" s="8"/>
      <c r="AD3" s="8"/>
      <c r="AE3" s="8">
        <v>3</v>
      </c>
      <c r="AF3" s="1" t="s">
        <v>389</v>
      </c>
      <c r="AG3" s="1" t="s">
        <v>1457</v>
      </c>
      <c r="AI3" s="1"/>
      <c r="AJ3" s="20"/>
      <c r="AK3" s="2"/>
    </row>
    <row r="4" spans="1:37" ht="11.25">
      <c r="A4" s="1" t="s">
        <v>1458</v>
      </c>
      <c r="B4" s="17" t="s">
        <v>1459</v>
      </c>
      <c r="C4" s="1" t="s">
        <v>1460</v>
      </c>
      <c r="D4" s="4" t="s">
        <v>739</v>
      </c>
      <c r="E4" s="4"/>
      <c r="F4" s="4"/>
      <c r="G4" s="1" t="s">
        <v>743</v>
      </c>
      <c r="K4" s="5" t="s">
        <v>388</v>
      </c>
      <c r="U4" s="5" t="s">
        <v>388</v>
      </c>
      <c r="AA4" s="5" t="s">
        <v>388</v>
      </c>
      <c r="AB4" s="5"/>
      <c r="AC4" s="8"/>
      <c r="AD4" s="8"/>
      <c r="AE4" s="8">
        <v>3</v>
      </c>
      <c r="AF4" s="1" t="s">
        <v>389</v>
      </c>
      <c r="AG4" s="1" t="s">
        <v>1461</v>
      </c>
      <c r="AI4" s="1"/>
      <c r="AJ4" s="20"/>
      <c r="AK4" s="2"/>
    </row>
    <row r="5" spans="1:37" ht="11.25">
      <c r="A5" s="1" t="s">
        <v>1462</v>
      </c>
      <c r="B5" s="17" t="s">
        <v>1463</v>
      </c>
      <c r="C5" s="1" t="s">
        <v>1464</v>
      </c>
      <c r="D5" s="4" t="s">
        <v>739</v>
      </c>
      <c r="E5" s="4"/>
      <c r="F5" s="4"/>
      <c r="G5" s="1" t="s">
        <v>743</v>
      </c>
      <c r="N5" s="5" t="s">
        <v>388</v>
      </c>
      <c r="T5" s="5" t="s">
        <v>388</v>
      </c>
      <c r="U5" s="5" t="s">
        <v>388</v>
      </c>
      <c r="AA5" s="5" t="s">
        <v>388</v>
      </c>
      <c r="AB5" s="5"/>
      <c r="AC5" s="8"/>
      <c r="AD5" s="8"/>
      <c r="AE5" s="8">
        <v>3</v>
      </c>
      <c r="AF5" s="1" t="s">
        <v>389</v>
      </c>
      <c r="AG5" s="1" t="s">
        <v>1382</v>
      </c>
      <c r="AI5" s="1"/>
      <c r="AJ5" s="20"/>
      <c r="AK5" s="2"/>
    </row>
    <row r="6" spans="1:37" ht="11.25">
      <c r="A6" s="1" t="s">
        <v>1465</v>
      </c>
      <c r="B6" s="17" t="s">
        <v>1466</v>
      </c>
      <c r="C6" s="3" t="s">
        <v>1467</v>
      </c>
      <c r="D6" s="13" t="s">
        <v>739</v>
      </c>
      <c r="E6" s="13"/>
      <c r="F6" s="13"/>
      <c r="G6" s="1" t="s">
        <v>743</v>
      </c>
      <c r="K6" s="5" t="s">
        <v>388</v>
      </c>
      <c r="AA6" s="5" t="s">
        <v>388</v>
      </c>
      <c r="AB6" s="5"/>
      <c r="AC6" s="8"/>
      <c r="AD6" s="8"/>
      <c r="AE6" s="8">
        <v>3</v>
      </c>
      <c r="AF6" s="1" t="s">
        <v>389</v>
      </c>
      <c r="AG6" s="1" t="s">
        <v>1468</v>
      </c>
      <c r="AI6" s="20"/>
      <c r="AJ6" s="75"/>
      <c r="AK6" s="2"/>
    </row>
    <row r="7" spans="1:37" ht="11.25">
      <c r="A7" s="1" t="s">
        <v>1469</v>
      </c>
      <c r="B7" s="16" t="s">
        <v>1470</v>
      </c>
      <c r="C7" s="1" t="s">
        <v>1471</v>
      </c>
      <c r="D7" s="4" t="s">
        <v>387</v>
      </c>
      <c r="E7" s="4"/>
      <c r="F7" s="4"/>
      <c r="G7" s="1">
        <v>2</v>
      </c>
      <c r="L7" s="5" t="s">
        <v>388</v>
      </c>
      <c r="M7" s="5" t="s">
        <v>388</v>
      </c>
      <c r="AA7" s="5" t="s">
        <v>388</v>
      </c>
      <c r="AB7" s="5"/>
      <c r="AC7" s="8"/>
      <c r="AD7" s="8" t="s">
        <v>388</v>
      </c>
      <c r="AE7" s="8">
        <v>3</v>
      </c>
      <c r="AF7" s="1" t="s">
        <v>389</v>
      </c>
      <c r="AG7" s="1" t="s">
        <v>1472</v>
      </c>
      <c r="AI7" s="20"/>
      <c r="AJ7" s="75"/>
      <c r="AK7" s="2"/>
    </row>
    <row r="8" spans="1:37" ht="11.25">
      <c r="A8" s="1" t="s">
        <v>1465</v>
      </c>
      <c r="B8" s="19" t="s">
        <v>1473</v>
      </c>
      <c r="C8" s="14" t="s">
        <v>1198</v>
      </c>
      <c r="D8" s="36" t="s">
        <v>387</v>
      </c>
      <c r="E8" s="36"/>
      <c r="F8" s="36"/>
      <c r="G8" s="1">
        <v>1</v>
      </c>
      <c r="K8" s="5" t="s">
        <v>388</v>
      </c>
      <c r="M8" s="5" t="s">
        <v>388</v>
      </c>
      <c r="N8" s="5" t="s">
        <v>388</v>
      </c>
      <c r="T8" s="5" t="s">
        <v>388</v>
      </c>
      <c r="U8" s="5" t="s">
        <v>388</v>
      </c>
      <c r="AA8" s="5" t="s">
        <v>388</v>
      </c>
      <c r="AB8" s="5"/>
      <c r="AC8" s="8"/>
      <c r="AD8" s="8" t="s">
        <v>388</v>
      </c>
      <c r="AE8" s="8">
        <v>3</v>
      </c>
      <c r="AF8" s="1" t="s">
        <v>389</v>
      </c>
      <c r="AG8" s="1" t="s">
        <v>1199</v>
      </c>
      <c r="AI8" s="1"/>
      <c r="AJ8" s="22"/>
      <c r="AK8" s="2"/>
    </row>
    <row r="9" spans="1:37" ht="11.25">
      <c r="A9" s="1" t="s">
        <v>1474</v>
      </c>
      <c r="B9" s="17" t="s">
        <v>1475</v>
      </c>
      <c r="C9" s="1" t="s">
        <v>1476</v>
      </c>
      <c r="D9" s="4" t="s">
        <v>387</v>
      </c>
      <c r="E9" s="4"/>
      <c r="F9" s="4"/>
      <c r="G9" s="1">
        <v>1</v>
      </c>
      <c r="K9" s="5" t="s">
        <v>388</v>
      </c>
      <c r="M9" s="5" t="s">
        <v>388</v>
      </c>
      <c r="N9" s="5" t="s">
        <v>388</v>
      </c>
      <c r="T9" s="5" t="s">
        <v>388</v>
      </c>
      <c r="Y9" s="5" t="s">
        <v>388</v>
      </c>
      <c r="Z9" s="5" t="s">
        <v>388</v>
      </c>
      <c r="AB9" s="5"/>
      <c r="AC9" s="8"/>
      <c r="AD9" s="8" t="s">
        <v>388</v>
      </c>
      <c r="AE9" s="8">
        <v>3</v>
      </c>
      <c r="AF9" s="1" t="s">
        <v>389</v>
      </c>
      <c r="AG9" s="1" t="s">
        <v>1477</v>
      </c>
      <c r="AI9" s="1"/>
      <c r="AJ9" s="20"/>
      <c r="AK9" s="2"/>
    </row>
    <row r="10" spans="1:37" ht="11.25">
      <c r="A10" s="1" t="s">
        <v>1478</v>
      </c>
      <c r="B10" s="17" t="s">
        <v>1479</v>
      </c>
      <c r="C10" s="1" t="s">
        <v>1480</v>
      </c>
      <c r="D10" s="4" t="s">
        <v>387</v>
      </c>
      <c r="E10" s="4"/>
      <c r="F10" s="4"/>
      <c r="G10" s="1">
        <v>1</v>
      </c>
      <c r="M10" s="5" t="s">
        <v>388</v>
      </c>
      <c r="N10" s="5" t="s">
        <v>388</v>
      </c>
      <c r="T10" s="5" t="s">
        <v>388</v>
      </c>
      <c r="U10" s="5" t="s">
        <v>388</v>
      </c>
      <c r="AB10" s="5"/>
      <c r="AC10" s="8"/>
      <c r="AD10" s="8" t="s">
        <v>388</v>
      </c>
      <c r="AE10" s="8">
        <v>3</v>
      </c>
      <c r="AF10" s="1" t="s">
        <v>389</v>
      </c>
      <c r="AG10" s="1" t="s">
        <v>1481</v>
      </c>
      <c r="AI10" s="1"/>
      <c r="AJ10" s="20"/>
      <c r="AK10" s="2"/>
    </row>
    <row r="11" spans="1:37" ht="11.25">
      <c r="A11" s="1" t="s">
        <v>1482</v>
      </c>
      <c r="B11" s="17" t="s">
        <v>1483</v>
      </c>
      <c r="C11" s="1" t="s">
        <v>1484</v>
      </c>
      <c r="D11" s="4" t="s">
        <v>387</v>
      </c>
      <c r="E11" s="4"/>
      <c r="F11" s="4"/>
      <c r="G11" s="1">
        <v>1</v>
      </c>
      <c r="K11" s="5" t="s">
        <v>388</v>
      </c>
      <c r="AA11" s="5" t="s">
        <v>388</v>
      </c>
      <c r="AB11" s="5"/>
      <c r="AC11" s="8"/>
      <c r="AD11" s="8" t="s">
        <v>388</v>
      </c>
      <c r="AE11" s="8"/>
      <c r="AF11" s="1" t="s">
        <v>389</v>
      </c>
      <c r="AG11" s="1" t="s">
        <v>1485</v>
      </c>
      <c r="AI11" s="1"/>
      <c r="AJ11" s="20"/>
      <c r="AK11" s="2"/>
    </row>
    <row r="12" spans="1:37" ht="11.25">
      <c r="A12" s="1" t="s">
        <v>1486</v>
      </c>
      <c r="B12" s="17" t="s">
        <v>1099</v>
      </c>
      <c r="C12" s="3" t="s">
        <v>1095</v>
      </c>
      <c r="D12" s="13" t="s">
        <v>739</v>
      </c>
      <c r="E12" s="13"/>
      <c r="F12" s="13"/>
      <c r="G12" s="1">
        <v>1</v>
      </c>
      <c r="K12" s="5" t="s">
        <v>388</v>
      </c>
      <c r="L12" s="5" t="s">
        <v>388</v>
      </c>
      <c r="M12" s="5" t="s">
        <v>388</v>
      </c>
      <c r="T12" s="5" t="s">
        <v>388</v>
      </c>
      <c r="AB12" s="5"/>
      <c r="AC12" s="8"/>
      <c r="AD12" s="8"/>
      <c r="AE12" s="8">
        <v>3</v>
      </c>
      <c r="AF12" s="1" t="s">
        <v>394</v>
      </c>
      <c r="AG12" s="1" t="s">
        <v>1098</v>
      </c>
      <c r="AI12" s="1"/>
      <c r="AJ12" s="20"/>
      <c r="AK12" s="2"/>
    </row>
    <row r="13" spans="1:37" ht="11.25">
      <c r="A13" s="1" t="s">
        <v>1469</v>
      </c>
      <c r="B13" s="17" t="s">
        <v>1487</v>
      </c>
      <c r="C13" s="1" t="s">
        <v>1488</v>
      </c>
      <c r="D13" s="4" t="s">
        <v>387</v>
      </c>
      <c r="E13" s="4"/>
      <c r="F13" s="4"/>
      <c r="G13" s="1">
        <v>2</v>
      </c>
      <c r="K13" s="5" t="s">
        <v>388</v>
      </c>
      <c r="L13" s="5" t="s">
        <v>388</v>
      </c>
      <c r="M13" s="5" t="s">
        <v>388</v>
      </c>
      <c r="O13" s="5" t="s">
        <v>388</v>
      </c>
      <c r="AA13" s="5" t="s">
        <v>388</v>
      </c>
      <c r="AB13" s="5" t="s">
        <v>388</v>
      </c>
      <c r="AC13" s="8"/>
      <c r="AD13" s="8" t="s">
        <v>388</v>
      </c>
      <c r="AE13" s="8">
        <v>3</v>
      </c>
      <c r="AF13" s="1" t="s">
        <v>394</v>
      </c>
      <c r="AG13" s="1" t="s">
        <v>1489</v>
      </c>
      <c r="AI13" s="1"/>
      <c r="AJ13" s="20"/>
      <c r="AK13" s="2"/>
    </row>
    <row r="14" spans="1:37" ht="11.25">
      <c r="A14" s="1" t="s">
        <v>1494</v>
      </c>
      <c r="B14" s="17" t="s">
        <v>1495</v>
      </c>
      <c r="C14" s="3" t="s">
        <v>1496</v>
      </c>
      <c r="D14" s="13" t="s">
        <v>739</v>
      </c>
      <c r="E14" s="13"/>
      <c r="F14" s="13"/>
      <c r="G14" s="1" t="s">
        <v>743</v>
      </c>
      <c r="R14" s="5" t="s">
        <v>388</v>
      </c>
      <c r="T14" s="5" t="s">
        <v>388</v>
      </c>
      <c r="AB14" s="5"/>
      <c r="AC14" s="8"/>
      <c r="AD14" s="8"/>
      <c r="AE14" s="8"/>
      <c r="AF14" s="1" t="s">
        <v>389</v>
      </c>
      <c r="AG14" s="1" t="s">
        <v>1497</v>
      </c>
      <c r="AI14" s="1"/>
      <c r="AJ14" s="2"/>
      <c r="AK14" s="74"/>
    </row>
    <row r="15" spans="1:37" ht="11.25">
      <c r="B15" s="17"/>
      <c r="C15" s="2"/>
      <c r="D15" s="34"/>
      <c r="E15" s="34"/>
      <c r="F15" s="34"/>
      <c r="H15" s="6"/>
      <c r="I15" s="6"/>
      <c r="J15" s="6"/>
      <c r="K15" s="6"/>
      <c r="L15" s="6"/>
      <c r="M15" s="6"/>
      <c r="N15" s="6"/>
      <c r="O15" s="6"/>
      <c r="P15" s="6"/>
      <c r="Q15" s="6"/>
      <c r="R15" s="6"/>
      <c r="S15" s="6"/>
      <c r="T15" s="6"/>
      <c r="U15" s="6"/>
      <c r="V15" s="6"/>
      <c r="W15" s="6"/>
      <c r="X15" s="6"/>
      <c r="Y15" s="6"/>
      <c r="Z15" s="6"/>
      <c r="AA15" s="6"/>
      <c r="AB15" s="6"/>
      <c r="AC15" s="6"/>
      <c r="AD15" s="6"/>
      <c r="AE15" s="6"/>
      <c r="AF15" s="2"/>
      <c r="AH15" s="2"/>
      <c r="AI15" s="2"/>
      <c r="AJ15" s="21"/>
      <c r="AK15" s="2"/>
    </row>
    <row r="16" spans="1:37" ht="11.25">
      <c r="B16" s="28"/>
      <c r="C16" s="29"/>
      <c r="D16" s="37"/>
      <c r="E16" s="37"/>
      <c r="F16" s="37"/>
      <c r="G16" s="32"/>
      <c r="H16" s="30"/>
      <c r="I16" s="30"/>
      <c r="J16" s="30"/>
      <c r="K16" s="30"/>
      <c r="L16" s="30"/>
      <c r="M16" s="30"/>
      <c r="N16" s="30"/>
      <c r="O16" s="30"/>
      <c r="P16" s="30"/>
      <c r="Q16" s="30"/>
      <c r="R16" s="30"/>
      <c r="S16" s="30"/>
      <c r="T16" s="30"/>
      <c r="U16" s="30"/>
      <c r="V16" s="30"/>
      <c r="W16" s="30"/>
      <c r="X16" s="30"/>
      <c r="Y16" s="30"/>
      <c r="Z16" s="30"/>
      <c r="AA16" s="30"/>
      <c r="AB16" s="30"/>
      <c r="AC16" s="31"/>
      <c r="AD16" s="31"/>
      <c r="AE16" s="31"/>
      <c r="AF16" s="32"/>
      <c r="AG16" s="32"/>
      <c r="AH16" s="32"/>
      <c r="AI16" s="32"/>
      <c r="AJ16" s="33"/>
      <c r="AK16" s="39"/>
    </row>
    <row r="17" spans="2:37" ht="11.25">
      <c r="B17" s="102"/>
      <c r="C17" s="71"/>
      <c r="D17" s="103"/>
      <c r="E17" s="103"/>
      <c r="F17" s="103"/>
      <c r="G17" s="104"/>
      <c r="H17" s="105"/>
      <c r="I17" s="105"/>
      <c r="J17" s="105"/>
      <c r="K17" s="105"/>
      <c r="L17" s="105"/>
      <c r="M17" s="105"/>
      <c r="N17" s="106"/>
      <c r="O17" s="105"/>
      <c r="P17" s="106"/>
      <c r="Q17" s="105"/>
      <c r="R17" s="106"/>
      <c r="S17" s="106"/>
      <c r="T17" s="106"/>
      <c r="U17" s="106"/>
      <c r="V17" s="106"/>
      <c r="W17" s="106"/>
      <c r="X17" s="106"/>
      <c r="Y17" s="106"/>
      <c r="Z17" s="106"/>
      <c r="AA17" s="106"/>
      <c r="AB17" s="106"/>
      <c r="AC17" s="104"/>
      <c r="AD17" s="107"/>
      <c r="AE17" s="107"/>
      <c r="AF17" s="108"/>
      <c r="AG17" s="108"/>
      <c r="AH17" s="108"/>
      <c r="AI17" s="108"/>
      <c r="AJ17" s="109"/>
      <c r="AK17" s="108"/>
    </row>
    <row r="18" spans="2:37" ht="11.25">
      <c r="B18" s="110"/>
      <c r="C18" s="71"/>
      <c r="D18" s="103"/>
      <c r="E18" s="103"/>
      <c r="F18" s="103"/>
      <c r="G18" s="104"/>
      <c r="H18" s="105"/>
      <c r="I18" s="105"/>
      <c r="J18" s="105"/>
      <c r="K18" s="105"/>
      <c r="L18" s="105"/>
      <c r="M18" s="105"/>
      <c r="N18" s="106"/>
      <c r="O18" s="105"/>
      <c r="P18" s="106"/>
      <c r="Q18" s="105"/>
      <c r="R18" s="106"/>
      <c r="S18" s="106"/>
      <c r="T18" s="106"/>
      <c r="U18" s="106"/>
      <c r="V18" s="106"/>
      <c r="W18" s="106"/>
      <c r="X18" s="106"/>
      <c r="Y18" s="106"/>
      <c r="Z18" s="106"/>
      <c r="AA18" s="106"/>
      <c r="AB18" s="106"/>
      <c r="AC18" s="104"/>
      <c r="AD18" s="107"/>
      <c r="AE18" s="107"/>
      <c r="AF18" s="108"/>
      <c r="AG18" s="108"/>
      <c r="AH18" s="108"/>
      <c r="AI18" s="108"/>
      <c r="AJ18" s="109"/>
      <c r="AK18" s="108"/>
    </row>
    <row r="19" spans="2:37" ht="11.25">
      <c r="B19" s="110"/>
      <c r="C19" s="71"/>
      <c r="D19" s="37"/>
      <c r="E19" s="37"/>
      <c r="F19" s="37"/>
      <c r="G19" s="104"/>
      <c r="H19" s="105"/>
      <c r="I19" s="105"/>
      <c r="J19" s="105"/>
      <c r="K19" s="105"/>
      <c r="L19" s="105"/>
      <c r="M19" s="105"/>
      <c r="N19" s="106"/>
      <c r="O19" s="105"/>
      <c r="P19" s="106"/>
      <c r="Q19" s="105"/>
      <c r="R19" s="106"/>
      <c r="S19" s="106"/>
      <c r="T19" s="106"/>
      <c r="U19" s="106"/>
      <c r="V19" s="106"/>
      <c r="W19" s="106"/>
      <c r="X19" s="106"/>
      <c r="Y19" s="106"/>
      <c r="Z19" s="106"/>
      <c r="AA19" s="106"/>
      <c r="AB19" s="106"/>
      <c r="AC19" s="104"/>
      <c r="AD19" s="107"/>
      <c r="AE19" s="107"/>
      <c r="AF19" s="108"/>
      <c r="AG19" s="108"/>
      <c r="AH19" s="108"/>
      <c r="AI19" s="108"/>
      <c r="AJ19" s="109"/>
      <c r="AK19" s="108"/>
    </row>
    <row r="20" spans="2:37" ht="11.25">
      <c r="B20" s="110"/>
      <c r="C20" s="71"/>
      <c r="D20" s="111"/>
      <c r="E20" s="111"/>
      <c r="F20" s="111"/>
      <c r="G20" s="104"/>
      <c r="H20" s="105"/>
      <c r="I20" s="105"/>
      <c r="J20" s="105"/>
      <c r="K20" s="105"/>
      <c r="L20" s="105"/>
      <c r="M20" s="105"/>
      <c r="N20" s="105"/>
      <c r="O20" s="105"/>
      <c r="P20" s="105"/>
      <c r="Q20" s="105"/>
      <c r="R20" s="105"/>
      <c r="S20" s="105"/>
      <c r="T20" s="105"/>
      <c r="U20" s="105"/>
      <c r="V20" s="105"/>
      <c r="W20" s="105"/>
      <c r="X20" s="105"/>
      <c r="Y20" s="105"/>
      <c r="Z20" s="105"/>
      <c r="AA20" s="105"/>
      <c r="AB20" s="105"/>
      <c r="AC20" s="104"/>
      <c r="AD20" s="104"/>
      <c r="AE20" s="104"/>
      <c r="AF20" s="108"/>
      <c r="AG20" s="108"/>
      <c r="AH20" s="108"/>
      <c r="AI20" s="108"/>
      <c r="AJ20" s="109"/>
      <c r="AK20" s="108"/>
    </row>
    <row r="21" spans="2:37" ht="11.25">
      <c r="B21" s="110"/>
      <c r="C21" s="71"/>
      <c r="D21" s="37"/>
      <c r="E21" s="37"/>
      <c r="F21" s="37"/>
      <c r="G21" s="104"/>
      <c r="H21" s="105"/>
      <c r="I21" s="105"/>
      <c r="J21" s="105"/>
      <c r="K21" s="105"/>
      <c r="L21" s="105"/>
      <c r="M21" s="105"/>
      <c r="N21" s="106"/>
      <c r="O21" s="105"/>
      <c r="P21" s="106"/>
      <c r="Q21" s="105"/>
      <c r="R21" s="106"/>
      <c r="S21" s="106"/>
      <c r="T21" s="106"/>
      <c r="U21" s="106"/>
      <c r="V21" s="106"/>
      <c r="W21" s="106"/>
      <c r="X21" s="106"/>
      <c r="Y21" s="106"/>
      <c r="Z21" s="106"/>
      <c r="AA21" s="106"/>
      <c r="AB21" s="106"/>
      <c r="AC21" s="104"/>
      <c r="AD21" s="107"/>
      <c r="AE21" s="107"/>
      <c r="AF21" s="108"/>
      <c r="AG21" s="108"/>
      <c r="AH21" s="108"/>
      <c r="AI21" s="108"/>
      <c r="AJ21" s="108"/>
      <c r="AK21" s="108"/>
    </row>
    <row r="22" spans="2:37" ht="11.25">
      <c r="B22" s="110"/>
      <c r="C22" s="71"/>
      <c r="D22" s="37"/>
      <c r="E22" s="37"/>
      <c r="F22" s="37"/>
      <c r="G22" s="104"/>
      <c r="H22" s="105"/>
      <c r="I22" s="105"/>
      <c r="J22" s="105"/>
      <c r="K22" s="105"/>
      <c r="L22" s="105"/>
      <c r="M22" s="105"/>
      <c r="N22" s="106"/>
      <c r="O22" s="105"/>
      <c r="P22" s="106"/>
      <c r="Q22" s="105"/>
      <c r="R22" s="106"/>
      <c r="S22" s="106"/>
      <c r="T22" s="106"/>
      <c r="U22" s="106"/>
      <c r="V22" s="106"/>
      <c r="W22" s="106"/>
      <c r="X22" s="106"/>
      <c r="Y22" s="106"/>
      <c r="Z22" s="106"/>
      <c r="AA22" s="106"/>
      <c r="AB22" s="106"/>
      <c r="AC22" s="104"/>
      <c r="AD22" s="107"/>
      <c r="AE22" s="107"/>
      <c r="AF22" s="108"/>
      <c r="AG22" s="108"/>
      <c r="AH22" s="108"/>
      <c r="AI22" s="108"/>
      <c r="AJ22" s="109"/>
      <c r="AK22" s="108"/>
    </row>
    <row r="23" spans="2:37" ht="11.25">
      <c r="B23" s="102"/>
      <c r="C23" s="71"/>
      <c r="D23" s="103"/>
      <c r="E23" s="103"/>
      <c r="F23" s="103"/>
      <c r="G23" s="104"/>
      <c r="H23" s="105"/>
      <c r="I23" s="105"/>
      <c r="J23" s="105"/>
      <c r="K23" s="105"/>
      <c r="L23" s="105"/>
      <c r="M23" s="105"/>
      <c r="N23" s="106"/>
      <c r="O23" s="105"/>
      <c r="P23" s="106"/>
      <c r="Q23" s="105"/>
      <c r="R23" s="106"/>
      <c r="S23" s="106"/>
      <c r="T23" s="106"/>
      <c r="U23" s="106"/>
      <c r="V23" s="106"/>
      <c r="W23" s="106"/>
      <c r="X23" s="106"/>
      <c r="Y23" s="106"/>
      <c r="Z23" s="106"/>
      <c r="AA23" s="106"/>
      <c r="AB23" s="106"/>
      <c r="AC23" s="104"/>
      <c r="AD23" s="107"/>
      <c r="AE23" s="107"/>
      <c r="AF23" s="108"/>
      <c r="AG23" s="108"/>
      <c r="AH23" s="108"/>
      <c r="AI23" s="108"/>
      <c r="AJ23" s="109"/>
      <c r="AK23" s="108"/>
    </row>
    <row r="24" spans="2:37" ht="11.25">
      <c r="B24" s="110"/>
      <c r="C24" s="71"/>
      <c r="D24" s="37"/>
      <c r="E24" s="37"/>
      <c r="F24" s="37"/>
      <c r="G24" s="104"/>
      <c r="H24" s="105"/>
      <c r="I24" s="105"/>
      <c r="J24" s="105"/>
      <c r="K24" s="105"/>
      <c r="L24" s="105"/>
      <c r="M24" s="105"/>
      <c r="N24" s="106"/>
      <c r="O24" s="105"/>
      <c r="P24" s="106"/>
      <c r="Q24" s="105"/>
      <c r="R24" s="106"/>
      <c r="S24" s="106"/>
      <c r="T24" s="106"/>
      <c r="U24" s="106"/>
      <c r="V24" s="106"/>
      <c r="W24" s="106"/>
      <c r="X24" s="106"/>
      <c r="Y24" s="106"/>
      <c r="Z24" s="106"/>
      <c r="AA24" s="106"/>
      <c r="AB24" s="106"/>
      <c r="AC24" s="104"/>
      <c r="AD24" s="107"/>
      <c r="AE24" s="107"/>
      <c r="AF24" s="108"/>
      <c r="AG24" s="108"/>
      <c r="AH24" s="108"/>
      <c r="AI24" s="108"/>
      <c r="AJ24" s="109"/>
      <c r="AK24" s="108"/>
    </row>
    <row r="25" spans="2:37" ht="11.25">
      <c r="B25" s="110"/>
      <c r="C25" s="71"/>
      <c r="D25" s="111"/>
      <c r="E25" s="111"/>
      <c r="F25" s="111"/>
      <c r="G25" s="104"/>
      <c r="H25" s="105"/>
      <c r="I25" s="105"/>
      <c r="J25" s="105"/>
      <c r="K25" s="105"/>
      <c r="L25" s="105"/>
      <c r="M25" s="105"/>
      <c r="N25" s="105"/>
      <c r="O25" s="105"/>
      <c r="P25" s="105"/>
      <c r="Q25" s="105"/>
      <c r="R25" s="105"/>
      <c r="S25" s="105"/>
      <c r="T25" s="105"/>
      <c r="U25" s="105"/>
      <c r="V25" s="105"/>
      <c r="W25" s="105"/>
      <c r="X25" s="105"/>
      <c r="Y25" s="105"/>
      <c r="Z25" s="105"/>
      <c r="AA25" s="105"/>
      <c r="AB25" s="105"/>
      <c r="AC25" s="104"/>
      <c r="AD25" s="104"/>
      <c r="AE25" s="104"/>
      <c r="AF25" s="108"/>
      <c r="AG25" s="108"/>
      <c r="AH25" s="108"/>
      <c r="AI25" s="108"/>
      <c r="AJ25" s="109"/>
      <c r="AK25" s="108"/>
    </row>
    <row r="26" spans="2:37" ht="11.25">
      <c r="B26" s="102"/>
      <c r="C26" s="71"/>
      <c r="D26" s="37"/>
      <c r="E26" s="37"/>
      <c r="F26" s="37"/>
      <c r="G26" s="104"/>
      <c r="H26" s="105"/>
      <c r="I26" s="105"/>
      <c r="J26" s="105"/>
      <c r="K26" s="105"/>
      <c r="L26" s="105"/>
      <c r="M26" s="105"/>
      <c r="N26" s="106"/>
      <c r="O26" s="105"/>
      <c r="P26" s="106"/>
      <c r="Q26" s="105"/>
      <c r="R26" s="106"/>
      <c r="S26" s="106"/>
      <c r="T26" s="106"/>
      <c r="U26" s="106"/>
      <c r="V26" s="106"/>
      <c r="W26" s="106"/>
      <c r="X26" s="106"/>
      <c r="Y26" s="106"/>
      <c r="Z26" s="106"/>
      <c r="AA26" s="106"/>
      <c r="AB26" s="106"/>
      <c r="AC26" s="104"/>
      <c r="AD26" s="107"/>
      <c r="AE26" s="107"/>
      <c r="AF26" s="108"/>
      <c r="AG26" s="108"/>
      <c r="AH26" s="108"/>
      <c r="AI26" s="108"/>
      <c r="AJ26" s="109"/>
      <c r="AK26" s="108"/>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17.xml><?xml version="1.0" encoding="utf-8"?>
<worksheet xmlns="http://schemas.openxmlformats.org/spreadsheetml/2006/main" xmlns:r="http://schemas.openxmlformats.org/officeDocument/2006/relationships">
  <sheetPr>
    <pageSetUpPr fitToPage="1"/>
  </sheetPr>
  <dimension ref="A1:AK26"/>
  <sheetViews>
    <sheetView zoomScale="120" zoomScaleNormal="120" workbookViewId="0">
      <pane xSplit="3" ySplit="2" topLeftCell="AD9"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5.5703125" style="1" customWidth="1"/>
    <col min="5" max="6" width="4.7109375" style="1" customWidth="1"/>
    <col min="7" max="7" width="11.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1.25">
      <c r="A3" s="1" t="s">
        <v>1203</v>
      </c>
      <c r="B3" s="16" t="s">
        <v>1202</v>
      </c>
      <c r="C3" s="1" t="s">
        <v>1201</v>
      </c>
      <c r="D3" s="4" t="s">
        <v>739</v>
      </c>
      <c r="E3" s="4"/>
      <c r="F3" s="4"/>
      <c r="G3" s="1">
        <v>1</v>
      </c>
      <c r="M3" s="5" t="s">
        <v>388</v>
      </c>
      <c r="AB3" s="5"/>
      <c r="AC3" s="8"/>
      <c r="AD3" s="8"/>
      <c r="AE3" s="8" t="s">
        <v>648</v>
      </c>
      <c r="AF3" s="1" t="s">
        <v>394</v>
      </c>
      <c r="AG3" s="1" t="s">
        <v>1204</v>
      </c>
      <c r="AI3" s="1"/>
      <c r="AJ3" s="20"/>
      <c r="AK3" s="2"/>
    </row>
    <row r="4" spans="1:37" ht="11.25">
      <c r="A4" s="1" t="s">
        <v>1206</v>
      </c>
      <c r="B4" s="17" t="s">
        <v>1207</v>
      </c>
      <c r="C4" s="1" t="s">
        <v>942</v>
      </c>
      <c r="D4" s="4" t="s">
        <v>739</v>
      </c>
      <c r="E4" s="4"/>
      <c r="F4" s="4"/>
      <c r="G4" s="1">
        <v>2</v>
      </c>
      <c r="M4" s="5" t="s">
        <v>388</v>
      </c>
      <c r="N4" s="5" t="s">
        <v>388</v>
      </c>
      <c r="U4" s="5" t="s">
        <v>388</v>
      </c>
      <c r="AB4" s="5"/>
      <c r="AC4" s="8"/>
      <c r="AD4" s="8"/>
      <c r="AE4" s="8" t="s">
        <v>648</v>
      </c>
      <c r="AF4" s="1" t="s">
        <v>389</v>
      </c>
      <c r="AG4" s="1" t="s">
        <v>1208</v>
      </c>
      <c r="AI4" s="1" t="s">
        <v>1209</v>
      </c>
      <c r="AJ4" s="20"/>
      <c r="AK4" s="2"/>
    </row>
    <row r="5" spans="1:37" ht="11.25">
      <c r="A5" s="1" t="s">
        <v>1211</v>
      </c>
      <c r="B5" s="17" t="s">
        <v>1212</v>
      </c>
      <c r="C5" s="1" t="s">
        <v>1210</v>
      </c>
      <c r="D5" s="4" t="s">
        <v>739</v>
      </c>
      <c r="E5" s="4"/>
      <c r="F5" s="4"/>
      <c r="G5" s="1">
        <v>1</v>
      </c>
      <c r="M5" s="5" t="s">
        <v>388</v>
      </c>
      <c r="AB5" s="5"/>
      <c r="AC5" s="8"/>
      <c r="AD5" s="8"/>
      <c r="AE5" s="8" t="s">
        <v>648</v>
      </c>
      <c r="AF5" s="1" t="s">
        <v>389</v>
      </c>
      <c r="AG5" s="1" t="s">
        <v>1213</v>
      </c>
      <c r="AI5" s="1"/>
      <c r="AJ5" s="20" t="s">
        <v>1214</v>
      </c>
      <c r="AK5" s="2"/>
    </row>
    <row r="6" spans="1:37" ht="11.25">
      <c r="A6" s="1" t="s">
        <v>1218</v>
      </c>
      <c r="B6" s="17" t="s">
        <v>1219</v>
      </c>
      <c r="C6" s="3" t="s">
        <v>1217</v>
      </c>
      <c r="D6" s="13" t="s">
        <v>739</v>
      </c>
      <c r="E6" s="13"/>
      <c r="F6" s="13"/>
      <c r="G6" s="1">
        <v>1</v>
      </c>
      <c r="N6" s="5" t="s">
        <v>388</v>
      </c>
      <c r="AB6" s="5"/>
      <c r="AC6" s="8"/>
      <c r="AD6" s="8"/>
      <c r="AE6" s="8" t="s">
        <v>648</v>
      </c>
      <c r="AF6" s="1" t="s">
        <v>389</v>
      </c>
      <c r="AG6" s="1" t="s">
        <v>1215</v>
      </c>
      <c r="AI6" s="20" t="s">
        <v>1216</v>
      </c>
      <c r="AJ6" s="20" t="s">
        <v>1214</v>
      </c>
      <c r="AK6" s="2"/>
    </row>
    <row r="7" spans="1:37" ht="11.25">
      <c r="A7" s="1" t="s">
        <v>1222</v>
      </c>
      <c r="B7" s="16" t="s">
        <v>1221</v>
      </c>
      <c r="C7" s="1" t="s">
        <v>1220</v>
      </c>
      <c r="D7" s="4" t="s">
        <v>739</v>
      </c>
      <c r="E7" s="4"/>
      <c r="F7" s="4"/>
      <c r="G7" s="1">
        <v>1</v>
      </c>
      <c r="M7" s="5" t="s">
        <v>388</v>
      </c>
      <c r="P7" s="5" t="s">
        <v>388</v>
      </c>
      <c r="AB7" s="5"/>
      <c r="AC7" s="8"/>
      <c r="AD7" s="8"/>
      <c r="AE7" s="8" t="s">
        <v>648</v>
      </c>
      <c r="AF7" s="1" t="s">
        <v>389</v>
      </c>
      <c r="AG7" s="1" t="s">
        <v>1223</v>
      </c>
      <c r="AI7" s="20" t="s">
        <v>1224</v>
      </c>
      <c r="AJ7" s="75"/>
      <c r="AK7" s="2"/>
    </row>
    <row r="8" spans="1:37" ht="11.25">
      <c r="A8" s="1" t="s">
        <v>349</v>
      </c>
      <c r="B8" s="19" t="s">
        <v>1226</v>
      </c>
      <c r="C8" s="14" t="s">
        <v>1225</v>
      </c>
      <c r="D8" s="36" t="s">
        <v>739</v>
      </c>
      <c r="E8" s="36"/>
      <c r="F8" s="36"/>
      <c r="G8" s="1">
        <v>1</v>
      </c>
      <c r="I8" s="5" t="s">
        <v>388</v>
      </c>
      <c r="AB8" s="5"/>
      <c r="AC8" s="8"/>
      <c r="AD8" s="8"/>
      <c r="AE8" s="8" t="s">
        <v>648</v>
      </c>
      <c r="AF8" s="1" t="s">
        <v>389</v>
      </c>
      <c r="AG8" s="1" t="s">
        <v>1227</v>
      </c>
      <c r="AI8" s="1" t="s">
        <v>1228</v>
      </c>
      <c r="AJ8" s="22"/>
      <c r="AK8" s="2"/>
    </row>
    <row r="9" spans="1:37" ht="11.25">
      <c r="A9" s="45"/>
      <c r="B9" s="17" t="s">
        <v>1229</v>
      </c>
      <c r="C9" s="1" t="s">
        <v>1230</v>
      </c>
      <c r="D9" s="4" t="s">
        <v>739</v>
      </c>
      <c r="E9" s="4"/>
      <c r="F9" s="4"/>
      <c r="G9" s="1">
        <v>1</v>
      </c>
      <c r="M9" s="5" t="s">
        <v>388</v>
      </c>
      <c r="Y9" s="5" t="s">
        <v>388</v>
      </c>
      <c r="AA9" s="5" t="s">
        <v>388</v>
      </c>
      <c r="AB9" s="5"/>
      <c r="AC9" s="8"/>
      <c r="AD9" s="8"/>
      <c r="AE9" s="8" t="s">
        <v>648</v>
      </c>
      <c r="AF9" s="1" t="s">
        <v>389</v>
      </c>
      <c r="AG9" s="1" t="s">
        <v>1231</v>
      </c>
      <c r="AI9" s="1"/>
      <c r="AJ9" s="20"/>
      <c r="AK9" s="2"/>
    </row>
    <row r="10" spans="1:37" ht="11.25">
      <c r="A10" s="1" t="s">
        <v>349</v>
      </c>
      <c r="B10" s="17" t="s">
        <v>1233</v>
      </c>
      <c r="C10" s="1" t="s">
        <v>1232</v>
      </c>
      <c r="D10" s="4" t="s">
        <v>739</v>
      </c>
      <c r="E10" s="4"/>
      <c r="F10" s="4"/>
      <c r="G10" s="1">
        <v>1</v>
      </c>
      <c r="L10" s="5" t="s">
        <v>388</v>
      </c>
      <c r="AB10" s="5"/>
      <c r="AC10" s="8"/>
      <c r="AD10" s="8"/>
      <c r="AE10" s="8" t="s">
        <v>648</v>
      </c>
      <c r="AF10" s="1" t="s">
        <v>394</v>
      </c>
      <c r="AG10" s="1" t="s">
        <v>1234</v>
      </c>
      <c r="AI10" s="1" t="s">
        <v>1235</v>
      </c>
      <c r="AJ10" s="20"/>
      <c r="AK10" s="2"/>
    </row>
    <row r="11" spans="1:37" ht="11.25">
      <c r="A11" s="1" t="s">
        <v>1237</v>
      </c>
      <c r="B11" s="17" t="s">
        <v>1238</v>
      </c>
      <c r="C11" s="3" t="s">
        <v>1236</v>
      </c>
      <c r="D11" s="13" t="s">
        <v>739</v>
      </c>
      <c r="E11" s="13"/>
      <c r="F11" s="13"/>
      <c r="G11" s="1">
        <v>1</v>
      </c>
      <c r="M11" s="5" t="s">
        <v>388</v>
      </c>
      <c r="U11" s="5" t="s">
        <v>388</v>
      </c>
      <c r="AB11" s="5"/>
      <c r="AC11" s="8"/>
      <c r="AD11" s="8"/>
      <c r="AE11" s="8" t="s">
        <v>648</v>
      </c>
      <c r="AF11" s="1" t="s">
        <v>389</v>
      </c>
      <c r="AG11" s="1" t="s">
        <v>1239</v>
      </c>
      <c r="AI11" s="1" t="s">
        <v>1240</v>
      </c>
      <c r="AJ11" s="20"/>
      <c r="AK11" s="2"/>
    </row>
    <row r="12" spans="1:37" ht="11.25">
      <c r="A12" s="1" t="s">
        <v>1243</v>
      </c>
      <c r="B12" s="17" t="s">
        <v>1242</v>
      </c>
      <c r="C12" s="1" t="s">
        <v>1241</v>
      </c>
      <c r="D12" s="4" t="s">
        <v>387</v>
      </c>
      <c r="E12" s="4"/>
      <c r="F12" s="4"/>
      <c r="G12" s="1">
        <v>1</v>
      </c>
      <c r="M12" s="5" t="s">
        <v>388</v>
      </c>
      <c r="T12" s="5" t="s">
        <v>388</v>
      </c>
      <c r="U12" s="5" t="s">
        <v>388</v>
      </c>
      <c r="Y12" s="5" t="s">
        <v>388</v>
      </c>
      <c r="AA12" s="5" t="s">
        <v>388</v>
      </c>
      <c r="AB12" s="5"/>
      <c r="AC12" s="8"/>
      <c r="AD12" s="8"/>
      <c r="AE12" s="8" t="s">
        <v>648</v>
      </c>
      <c r="AF12" s="1" t="s">
        <v>389</v>
      </c>
      <c r="AG12" s="1" t="s">
        <v>1244</v>
      </c>
      <c r="AI12" s="1" t="s">
        <v>1245</v>
      </c>
      <c r="AJ12" s="20"/>
      <c r="AK12" s="2"/>
    </row>
    <row r="13" spans="1:37" ht="11.25">
      <c r="A13" s="1" t="s">
        <v>1237</v>
      </c>
      <c r="B13" s="17" t="s">
        <v>1247</v>
      </c>
      <c r="C13" s="1" t="s">
        <v>1246</v>
      </c>
      <c r="D13" s="4" t="s">
        <v>739</v>
      </c>
      <c r="E13" s="4"/>
      <c r="F13" s="4"/>
      <c r="G13" s="1">
        <v>1</v>
      </c>
      <c r="M13" s="5" t="s">
        <v>388</v>
      </c>
      <c r="U13" s="5" t="s">
        <v>388</v>
      </c>
      <c r="AB13" s="5"/>
      <c r="AC13" s="8"/>
      <c r="AD13" s="8"/>
      <c r="AE13" s="8" t="s">
        <v>648</v>
      </c>
      <c r="AF13" s="1" t="s">
        <v>389</v>
      </c>
      <c r="AG13" s="1" t="s">
        <v>1248</v>
      </c>
      <c r="AI13" s="1" t="s">
        <v>1249</v>
      </c>
      <c r="AJ13" s="20"/>
      <c r="AK13" s="2"/>
    </row>
    <row r="14" spans="1:37" ht="11.25">
      <c r="A14" s="1" t="s">
        <v>1250</v>
      </c>
      <c r="B14" s="17" t="s">
        <v>1252</v>
      </c>
      <c r="C14" s="3" t="s">
        <v>1251</v>
      </c>
      <c r="D14" s="13" t="s">
        <v>739</v>
      </c>
      <c r="E14" s="13"/>
      <c r="F14" s="13"/>
      <c r="G14" s="1">
        <v>1</v>
      </c>
      <c r="M14" s="5" t="s">
        <v>388</v>
      </c>
      <c r="AB14" s="5"/>
      <c r="AC14" s="8"/>
      <c r="AD14" s="8"/>
      <c r="AE14" s="8" t="s">
        <v>648</v>
      </c>
      <c r="AF14" s="1" t="s">
        <v>389</v>
      </c>
      <c r="AG14" s="1" t="s">
        <v>1253</v>
      </c>
      <c r="AI14" s="1" t="s">
        <v>1254</v>
      </c>
      <c r="AJ14" s="2"/>
      <c r="AK14" s="74"/>
    </row>
    <row r="15" spans="1:37" ht="11.25">
      <c r="A15" s="1" t="s">
        <v>1255</v>
      </c>
      <c r="B15" s="17" t="s">
        <v>1257</v>
      </c>
      <c r="C15" s="2" t="s">
        <v>1256</v>
      </c>
      <c r="D15" s="34" t="s">
        <v>1150</v>
      </c>
      <c r="E15" s="34"/>
      <c r="F15" s="34"/>
      <c r="G15" s="1">
        <v>1</v>
      </c>
      <c r="H15" s="6"/>
      <c r="I15" s="6"/>
      <c r="J15" s="6"/>
      <c r="K15" s="6"/>
      <c r="L15" s="6"/>
      <c r="M15" s="6" t="s">
        <v>388</v>
      </c>
      <c r="N15" s="6"/>
      <c r="O15" s="6"/>
      <c r="P15" s="6"/>
      <c r="Q15" s="6"/>
      <c r="R15" s="6"/>
      <c r="S15" s="6"/>
      <c r="T15" s="6" t="s">
        <v>388</v>
      </c>
      <c r="U15" s="6" t="s">
        <v>388</v>
      </c>
      <c r="V15" s="6"/>
      <c r="W15" s="6"/>
      <c r="X15" s="6"/>
      <c r="Y15" s="6" t="s">
        <v>388</v>
      </c>
      <c r="Z15" s="6"/>
      <c r="AA15" s="6" t="s">
        <v>388</v>
      </c>
      <c r="AB15" s="6"/>
      <c r="AC15" s="6"/>
      <c r="AD15" s="6"/>
      <c r="AE15" s="6">
        <v>3</v>
      </c>
      <c r="AF15" s="2" t="s">
        <v>394</v>
      </c>
      <c r="AG15" s="1" t="s">
        <v>1258</v>
      </c>
      <c r="AH15" s="2"/>
      <c r="AI15" s="2" t="s">
        <v>1259</v>
      </c>
      <c r="AJ15" s="21"/>
      <c r="AK15" s="2"/>
    </row>
    <row r="16" spans="1:37" ht="11.25">
      <c r="A16" s="1" t="s">
        <v>1262</v>
      </c>
      <c r="B16" s="28" t="s">
        <v>1261</v>
      </c>
      <c r="C16" s="29" t="s">
        <v>1260</v>
      </c>
      <c r="D16" s="37" t="s">
        <v>387</v>
      </c>
      <c r="E16" s="37"/>
      <c r="F16" s="37"/>
      <c r="G16" s="32">
        <v>1</v>
      </c>
      <c r="H16" s="30"/>
      <c r="I16" s="30"/>
      <c r="J16" s="30"/>
      <c r="K16" s="30"/>
      <c r="L16" s="30"/>
      <c r="M16" s="30" t="s">
        <v>388</v>
      </c>
      <c r="N16" s="30"/>
      <c r="O16" s="30"/>
      <c r="P16" s="30"/>
      <c r="Q16" s="30"/>
      <c r="R16" s="30"/>
      <c r="S16" s="30"/>
      <c r="T16" s="30"/>
      <c r="U16" s="30" t="s">
        <v>388</v>
      </c>
      <c r="V16" s="30"/>
      <c r="W16" s="30"/>
      <c r="X16" s="30"/>
      <c r="Y16" s="30"/>
      <c r="Z16" s="30"/>
      <c r="AA16" s="30"/>
      <c r="AB16" s="30"/>
      <c r="AC16" s="31"/>
      <c r="AD16" s="31"/>
      <c r="AE16" s="31" t="s">
        <v>648</v>
      </c>
      <c r="AF16" s="32" t="s">
        <v>394</v>
      </c>
      <c r="AG16" s="32" t="s">
        <v>1263</v>
      </c>
      <c r="AH16" s="32"/>
      <c r="AI16" s="32"/>
      <c r="AJ16" s="33"/>
      <c r="AK16" s="39"/>
    </row>
    <row r="17" spans="2:37" ht="11.25">
      <c r="B17" s="102"/>
      <c r="C17" s="71"/>
      <c r="D17" s="103"/>
      <c r="E17" s="103"/>
      <c r="F17" s="103"/>
      <c r="G17" s="104"/>
      <c r="H17" s="105"/>
      <c r="I17" s="105"/>
      <c r="J17" s="105"/>
      <c r="K17" s="105"/>
      <c r="L17" s="105"/>
      <c r="M17" s="105"/>
      <c r="N17" s="106"/>
      <c r="O17" s="105"/>
      <c r="P17" s="106"/>
      <c r="Q17" s="105"/>
      <c r="R17" s="106"/>
      <c r="S17" s="106"/>
      <c r="T17" s="106"/>
      <c r="U17" s="106"/>
      <c r="V17" s="106"/>
      <c r="W17" s="106"/>
      <c r="X17" s="106"/>
      <c r="Y17" s="106"/>
      <c r="Z17" s="106"/>
      <c r="AA17" s="106"/>
      <c r="AB17" s="106"/>
      <c r="AC17" s="104"/>
      <c r="AD17" s="107"/>
      <c r="AE17" s="107"/>
      <c r="AF17" s="108"/>
      <c r="AG17" s="108"/>
      <c r="AH17" s="108"/>
      <c r="AI17" s="108"/>
      <c r="AJ17" s="109"/>
      <c r="AK17" s="108"/>
    </row>
    <row r="18" spans="2:37" ht="11.25">
      <c r="B18" s="110"/>
      <c r="C18" s="71"/>
      <c r="D18" s="103"/>
      <c r="E18" s="103"/>
      <c r="F18" s="103"/>
      <c r="G18" s="104"/>
      <c r="H18" s="105"/>
      <c r="I18" s="105"/>
      <c r="J18" s="105"/>
      <c r="K18" s="105"/>
      <c r="L18" s="105"/>
      <c r="M18" s="105"/>
      <c r="N18" s="106"/>
      <c r="O18" s="105"/>
      <c r="P18" s="106"/>
      <c r="Q18" s="105"/>
      <c r="R18" s="106"/>
      <c r="S18" s="106"/>
      <c r="T18" s="106"/>
      <c r="U18" s="106"/>
      <c r="V18" s="106"/>
      <c r="W18" s="106"/>
      <c r="X18" s="106"/>
      <c r="Y18" s="106"/>
      <c r="Z18" s="106"/>
      <c r="AA18" s="106"/>
      <c r="AB18" s="106"/>
      <c r="AC18" s="104"/>
      <c r="AD18" s="107"/>
      <c r="AE18" s="107"/>
      <c r="AF18" s="108"/>
      <c r="AG18" s="108"/>
      <c r="AH18" s="108"/>
      <c r="AI18" s="108"/>
      <c r="AJ18" s="109"/>
      <c r="AK18" s="108"/>
    </row>
    <row r="19" spans="2:37" ht="11.25">
      <c r="B19" s="110"/>
      <c r="C19" s="71"/>
      <c r="D19" s="37"/>
      <c r="E19" s="37"/>
      <c r="F19" s="37"/>
      <c r="G19" s="104"/>
      <c r="H19" s="105"/>
      <c r="I19" s="105"/>
      <c r="J19" s="105"/>
      <c r="K19" s="105"/>
      <c r="L19" s="105"/>
      <c r="M19" s="105"/>
      <c r="N19" s="106"/>
      <c r="O19" s="105"/>
      <c r="P19" s="106"/>
      <c r="Q19" s="105"/>
      <c r="R19" s="106"/>
      <c r="S19" s="106"/>
      <c r="T19" s="106"/>
      <c r="U19" s="106"/>
      <c r="V19" s="106"/>
      <c r="W19" s="106"/>
      <c r="X19" s="106"/>
      <c r="Y19" s="106"/>
      <c r="Z19" s="106"/>
      <c r="AA19" s="106"/>
      <c r="AB19" s="106"/>
      <c r="AC19" s="104"/>
      <c r="AD19" s="107"/>
      <c r="AE19" s="107"/>
      <c r="AF19" s="108"/>
      <c r="AG19" s="108"/>
      <c r="AH19" s="108"/>
      <c r="AI19" s="108"/>
      <c r="AJ19" s="109"/>
      <c r="AK19" s="108"/>
    </row>
    <row r="20" spans="2:37" ht="11.25">
      <c r="B20" s="110"/>
      <c r="C20" s="71"/>
      <c r="D20" s="111"/>
      <c r="E20" s="111"/>
      <c r="F20" s="111"/>
      <c r="G20" s="104"/>
      <c r="H20" s="105"/>
      <c r="I20" s="105"/>
      <c r="J20" s="105"/>
      <c r="K20" s="105"/>
      <c r="L20" s="105"/>
      <c r="M20" s="105"/>
      <c r="N20" s="105"/>
      <c r="O20" s="105"/>
      <c r="P20" s="105"/>
      <c r="Q20" s="105"/>
      <c r="R20" s="105"/>
      <c r="S20" s="105"/>
      <c r="T20" s="105"/>
      <c r="U20" s="105"/>
      <c r="V20" s="105"/>
      <c r="W20" s="105"/>
      <c r="X20" s="105"/>
      <c r="Y20" s="105"/>
      <c r="Z20" s="105"/>
      <c r="AA20" s="105"/>
      <c r="AB20" s="105"/>
      <c r="AC20" s="104"/>
      <c r="AD20" s="104"/>
      <c r="AE20" s="104"/>
      <c r="AF20" s="108"/>
      <c r="AG20" s="108"/>
      <c r="AH20" s="108"/>
      <c r="AI20" s="108"/>
      <c r="AJ20" s="109"/>
      <c r="AK20" s="108"/>
    </row>
    <row r="21" spans="2:37" ht="11.25">
      <c r="B21" s="110"/>
      <c r="C21" s="71"/>
      <c r="D21" s="37"/>
      <c r="E21" s="37"/>
      <c r="F21" s="37"/>
      <c r="G21" s="104"/>
      <c r="H21" s="105"/>
      <c r="I21" s="105"/>
      <c r="J21" s="105"/>
      <c r="K21" s="105"/>
      <c r="L21" s="105"/>
      <c r="M21" s="105"/>
      <c r="N21" s="106"/>
      <c r="O21" s="105"/>
      <c r="P21" s="106"/>
      <c r="Q21" s="105"/>
      <c r="R21" s="106"/>
      <c r="S21" s="106"/>
      <c r="T21" s="106"/>
      <c r="U21" s="106"/>
      <c r="V21" s="106"/>
      <c r="W21" s="106"/>
      <c r="X21" s="106"/>
      <c r="Y21" s="106"/>
      <c r="Z21" s="106"/>
      <c r="AA21" s="106"/>
      <c r="AB21" s="106"/>
      <c r="AC21" s="104"/>
      <c r="AD21" s="107"/>
      <c r="AE21" s="107"/>
      <c r="AF21" s="108"/>
      <c r="AG21" s="108"/>
      <c r="AH21" s="108"/>
      <c r="AI21" s="108"/>
      <c r="AJ21" s="108"/>
      <c r="AK21" s="108"/>
    </row>
    <row r="22" spans="2:37" ht="11.25">
      <c r="B22" s="110"/>
      <c r="C22" s="71"/>
      <c r="D22" s="37"/>
      <c r="E22" s="37"/>
      <c r="F22" s="37"/>
      <c r="G22" s="104"/>
      <c r="H22" s="105"/>
      <c r="I22" s="105"/>
      <c r="J22" s="105"/>
      <c r="K22" s="105"/>
      <c r="L22" s="105"/>
      <c r="M22" s="105"/>
      <c r="N22" s="106"/>
      <c r="O22" s="105"/>
      <c r="P22" s="106"/>
      <c r="Q22" s="105"/>
      <c r="R22" s="106"/>
      <c r="S22" s="106"/>
      <c r="T22" s="106"/>
      <c r="U22" s="106"/>
      <c r="V22" s="106"/>
      <c r="W22" s="106"/>
      <c r="X22" s="106"/>
      <c r="Y22" s="106"/>
      <c r="Z22" s="106"/>
      <c r="AA22" s="106"/>
      <c r="AB22" s="106"/>
      <c r="AC22" s="104"/>
      <c r="AD22" s="107"/>
      <c r="AE22" s="107"/>
      <c r="AF22" s="108"/>
      <c r="AG22" s="108"/>
      <c r="AH22" s="108"/>
      <c r="AI22" s="108"/>
      <c r="AJ22" s="109"/>
      <c r="AK22" s="108"/>
    </row>
    <row r="23" spans="2:37" ht="11.25">
      <c r="B23" s="102"/>
      <c r="C23" s="71"/>
      <c r="D23" s="103"/>
      <c r="E23" s="103"/>
      <c r="F23" s="103"/>
      <c r="G23" s="104"/>
      <c r="H23" s="105"/>
      <c r="I23" s="105"/>
      <c r="J23" s="105"/>
      <c r="K23" s="105"/>
      <c r="L23" s="105"/>
      <c r="M23" s="105"/>
      <c r="N23" s="106"/>
      <c r="O23" s="105"/>
      <c r="P23" s="106"/>
      <c r="Q23" s="105"/>
      <c r="R23" s="106"/>
      <c r="S23" s="106"/>
      <c r="T23" s="106"/>
      <c r="U23" s="106"/>
      <c r="V23" s="106"/>
      <c r="W23" s="106"/>
      <c r="X23" s="106"/>
      <c r="Y23" s="106"/>
      <c r="Z23" s="106"/>
      <c r="AA23" s="106"/>
      <c r="AB23" s="106"/>
      <c r="AC23" s="104"/>
      <c r="AD23" s="107"/>
      <c r="AE23" s="107"/>
      <c r="AF23" s="108"/>
      <c r="AG23" s="108"/>
      <c r="AH23" s="108"/>
      <c r="AI23" s="108"/>
      <c r="AJ23" s="109"/>
      <c r="AK23" s="108"/>
    </row>
    <row r="24" spans="2:37" ht="11.25">
      <c r="B24" s="110"/>
      <c r="C24" s="71"/>
      <c r="D24" s="37"/>
      <c r="E24" s="37"/>
      <c r="F24" s="37"/>
      <c r="G24" s="104"/>
      <c r="H24" s="105"/>
      <c r="I24" s="105"/>
      <c r="J24" s="105"/>
      <c r="K24" s="105"/>
      <c r="L24" s="105"/>
      <c r="M24" s="105"/>
      <c r="N24" s="106"/>
      <c r="O24" s="105"/>
      <c r="P24" s="106"/>
      <c r="Q24" s="105"/>
      <c r="R24" s="106"/>
      <c r="S24" s="106"/>
      <c r="T24" s="106"/>
      <c r="U24" s="106"/>
      <c r="V24" s="106"/>
      <c r="W24" s="106"/>
      <c r="X24" s="106"/>
      <c r="Y24" s="106"/>
      <c r="Z24" s="106"/>
      <c r="AA24" s="106"/>
      <c r="AB24" s="106"/>
      <c r="AC24" s="104"/>
      <c r="AD24" s="107"/>
      <c r="AE24" s="107"/>
      <c r="AF24" s="108"/>
      <c r="AG24" s="108"/>
      <c r="AH24" s="108"/>
      <c r="AI24" s="108"/>
      <c r="AJ24" s="109"/>
      <c r="AK24" s="108"/>
    </row>
    <row r="25" spans="2:37" ht="11.25">
      <c r="B25" s="110"/>
      <c r="C25" s="71"/>
      <c r="D25" s="111"/>
      <c r="E25" s="111"/>
      <c r="F25" s="111"/>
      <c r="G25" s="104"/>
      <c r="H25" s="105"/>
      <c r="I25" s="105"/>
      <c r="J25" s="105"/>
      <c r="K25" s="105"/>
      <c r="L25" s="105"/>
      <c r="M25" s="105"/>
      <c r="N25" s="105"/>
      <c r="O25" s="105"/>
      <c r="P25" s="105"/>
      <c r="Q25" s="105"/>
      <c r="R25" s="105"/>
      <c r="S25" s="105"/>
      <c r="T25" s="105"/>
      <c r="U25" s="105"/>
      <c r="V25" s="105"/>
      <c r="W25" s="105"/>
      <c r="X25" s="105"/>
      <c r="Y25" s="105"/>
      <c r="Z25" s="105"/>
      <c r="AA25" s="105"/>
      <c r="AB25" s="105"/>
      <c r="AC25" s="104"/>
      <c r="AD25" s="104"/>
      <c r="AE25" s="104"/>
      <c r="AF25" s="108"/>
      <c r="AG25" s="108"/>
      <c r="AH25" s="108"/>
      <c r="AI25" s="108"/>
      <c r="AJ25" s="109"/>
      <c r="AK25" s="108"/>
    </row>
    <row r="26" spans="2:37" ht="11.25">
      <c r="B26" s="102"/>
      <c r="C26" s="71"/>
      <c r="D26" s="37"/>
      <c r="E26" s="37"/>
      <c r="F26" s="37"/>
      <c r="G26" s="104"/>
      <c r="H26" s="105"/>
      <c r="I26" s="105"/>
      <c r="J26" s="105"/>
      <c r="K26" s="105"/>
      <c r="L26" s="105"/>
      <c r="M26" s="105"/>
      <c r="N26" s="106"/>
      <c r="O26" s="105"/>
      <c r="P26" s="106"/>
      <c r="Q26" s="105"/>
      <c r="R26" s="106"/>
      <c r="S26" s="106"/>
      <c r="T26" s="106"/>
      <c r="U26" s="106"/>
      <c r="V26" s="106"/>
      <c r="W26" s="106"/>
      <c r="X26" s="106"/>
      <c r="Y26" s="106"/>
      <c r="Z26" s="106"/>
      <c r="AA26" s="106"/>
      <c r="AB26" s="106"/>
      <c r="AC26" s="104"/>
      <c r="AD26" s="107"/>
      <c r="AE26" s="107"/>
      <c r="AF26" s="108"/>
      <c r="AG26" s="108"/>
      <c r="AH26" s="108"/>
      <c r="AI26" s="108"/>
      <c r="AJ26" s="109"/>
      <c r="AK26" s="108"/>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18.xml><?xml version="1.0" encoding="utf-8"?>
<worksheet xmlns="http://schemas.openxmlformats.org/spreadsheetml/2006/main" xmlns:r="http://schemas.openxmlformats.org/officeDocument/2006/relationships">
  <sheetPr>
    <pageSetUpPr fitToPage="1"/>
  </sheetPr>
  <dimension ref="A1:AK26"/>
  <sheetViews>
    <sheetView zoomScale="120" zoomScaleNormal="120" workbookViewId="0">
      <pane xSplit="3" ySplit="2" topLeftCell="D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5.5703125" style="1" customWidth="1"/>
    <col min="5" max="6" width="4.7109375" style="1" customWidth="1"/>
    <col min="7" max="7" width="11.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2.75" customHeight="1">
      <c r="A3" s="1" t="s">
        <v>1036</v>
      </c>
      <c r="B3" s="1" t="s">
        <v>1053</v>
      </c>
      <c r="C3" s="1" t="s">
        <v>1052</v>
      </c>
      <c r="D3" s="1" t="s">
        <v>739</v>
      </c>
      <c r="G3" s="1">
        <v>1</v>
      </c>
      <c r="M3" s="5" t="s">
        <v>388</v>
      </c>
      <c r="T3" s="5" t="s">
        <v>388</v>
      </c>
      <c r="Y3" s="5" t="s">
        <v>388</v>
      </c>
      <c r="AA3" s="5" t="s">
        <v>388</v>
      </c>
      <c r="AE3">
        <v>3</v>
      </c>
      <c r="AF3" s="1" t="s">
        <v>389</v>
      </c>
      <c r="AG3" s="1" t="s">
        <v>1054</v>
      </c>
    </row>
    <row r="4" spans="1:37" ht="11.25">
      <c r="A4" s="1" t="s">
        <v>1036</v>
      </c>
      <c r="B4" s="9" t="s">
        <v>1038</v>
      </c>
      <c r="C4" s="35" t="s">
        <v>1037</v>
      </c>
      <c r="D4" s="4" t="s">
        <v>739</v>
      </c>
      <c r="E4" s="35"/>
      <c r="F4" s="35"/>
      <c r="G4" s="1">
        <v>1</v>
      </c>
      <c r="M4" s="5" t="s">
        <v>388</v>
      </c>
      <c r="O4" s="6"/>
      <c r="Q4" s="6"/>
      <c r="T4" s="5" t="s">
        <v>388</v>
      </c>
      <c r="Y4" s="5" t="s">
        <v>388</v>
      </c>
      <c r="AA4" s="5" t="s">
        <v>388</v>
      </c>
      <c r="AB4" s="5"/>
      <c r="AC4" s="8"/>
      <c r="AD4" s="8"/>
      <c r="AE4" s="12" t="s">
        <v>648</v>
      </c>
      <c r="AF4" s="8" t="s">
        <v>641</v>
      </c>
      <c r="AG4" s="2" t="s">
        <v>1039</v>
      </c>
      <c r="AH4" s="2"/>
      <c r="AI4" s="1"/>
      <c r="AJ4" s="20"/>
      <c r="AK4" s="2"/>
    </row>
    <row r="5" spans="1:37" ht="11.25">
      <c r="A5" s="1" t="s">
        <v>1041</v>
      </c>
      <c r="B5" s="1" t="s">
        <v>1042</v>
      </c>
      <c r="C5" s="4" t="s">
        <v>1040</v>
      </c>
      <c r="D5" s="4" t="s">
        <v>739</v>
      </c>
      <c r="E5" s="4"/>
      <c r="F5" s="4"/>
      <c r="G5" s="1">
        <v>1</v>
      </c>
      <c r="M5" s="5" t="s">
        <v>388</v>
      </c>
      <c r="U5" s="5" t="s">
        <v>388</v>
      </c>
      <c r="AB5" s="5"/>
      <c r="AC5" s="8"/>
      <c r="AD5" s="8"/>
      <c r="AE5" s="12" t="s">
        <v>648</v>
      </c>
      <c r="AF5" s="8" t="s">
        <v>394</v>
      </c>
      <c r="AG5" s="2" t="s">
        <v>1043</v>
      </c>
      <c r="AH5" s="2"/>
      <c r="AI5" s="1"/>
      <c r="AJ5" s="20"/>
      <c r="AK5" s="2"/>
    </row>
    <row r="6" spans="1:37" ht="11.25">
      <c r="A6" s="1" t="s">
        <v>1045</v>
      </c>
      <c r="B6" s="1" t="s">
        <v>1046</v>
      </c>
      <c r="C6" s="90" t="s">
        <v>1044</v>
      </c>
      <c r="D6" s="4" t="s">
        <v>739</v>
      </c>
      <c r="E6" s="4"/>
      <c r="F6" s="4"/>
      <c r="G6" s="1">
        <v>0</v>
      </c>
      <c r="AA6" s="5" t="s">
        <v>388</v>
      </c>
      <c r="AB6" s="5"/>
      <c r="AC6" s="8"/>
      <c r="AD6" s="8"/>
      <c r="AE6" s="12" t="s">
        <v>648</v>
      </c>
      <c r="AF6" s="8" t="s">
        <v>394</v>
      </c>
      <c r="AG6" s="2" t="s">
        <v>1047</v>
      </c>
      <c r="AH6" s="2"/>
      <c r="AI6" s="1"/>
      <c r="AJ6" s="20"/>
      <c r="AK6" s="2"/>
    </row>
    <row r="7" spans="1:37" ht="11.25">
      <c r="A7" s="1" t="s">
        <v>1061</v>
      </c>
      <c r="B7" s="16" t="s">
        <v>1060</v>
      </c>
      <c r="C7" s="1" t="s">
        <v>1059</v>
      </c>
      <c r="D7" s="4" t="s">
        <v>387</v>
      </c>
      <c r="E7" s="4"/>
      <c r="F7" s="4"/>
      <c r="G7" s="1">
        <v>1</v>
      </c>
      <c r="M7" s="5" t="s">
        <v>388</v>
      </c>
      <c r="T7" s="5" t="s">
        <v>388</v>
      </c>
      <c r="Y7" s="5" t="s">
        <v>388</v>
      </c>
      <c r="AA7" s="5" t="s">
        <v>388</v>
      </c>
      <c r="AB7" s="5"/>
      <c r="AC7" s="8"/>
      <c r="AD7" s="8"/>
      <c r="AE7" s="8" t="s">
        <v>648</v>
      </c>
      <c r="AF7" s="1" t="s">
        <v>394</v>
      </c>
      <c r="AG7" s="1" t="s">
        <v>1062</v>
      </c>
      <c r="AI7" s="1"/>
      <c r="AJ7" s="20"/>
      <c r="AK7" s="2"/>
    </row>
    <row r="8" spans="1:37" ht="11.25">
      <c r="A8" s="1" t="s">
        <v>1050</v>
      </c>
      <c r="B8" s="16" t="s">
        <v>1048</v>
      </c>
      <c r="C8" s="1" t="s">
        <v>1049</v>
      </c>
      <c r="D8" s="4" t="s">
        <v>387</v>
      </c>
      <c r="E8" s="4"/>
      <c r="F8" s="4"/>
      <c r="G8" s="1">
        <v>1</v>
      </c>
      <c r="H8" s="5" t="s">
        <v>388</v>
      </c>
      <c r="M8" s="5" t="s">
        <v>388</v>
      </c>
      <c r="N8" s="5" t="s">
        <v>388</v>
      </c>
      <c r="AB8" s="5"/>
      <c r="AC8" s="8"/>
      <c r="AD8" s="8"/>
      <c r="AE8" s="8" t="s">
        <v>648</v>
      </c>
      <c r="AF8" s="1" t="s">
        <v>394</v>
      </c>
      <c r="AG8" s="1" t="s">
        <v>1051</v>
      </c>
      <c r="AI8" s="1"/>
      <c r="AJ8" s="20"/>
      <c r="AK8" s="2"/>
    </row>
    <row r="9" spans="1:37" ht="11.25">
      <c r="A9" s="1" t="s">
        <v>1032</v>
      </c>
      <c r="B9" s="9" t="s">
        <v>1034</v>
      </c>
      <c r="C9" s="35" t="s">
        <v>1031</v>
      </c>
      <c r="D9" s="4" t="s">
        <v>387</v>
      </c>
      <c r="E9" s="35"/>
      <c r="F9" s="35"/>
      <c r="G9" s="1">
        <v>2</v>
      </c>
      <c r="H9" s="5" t="s">
        <v>388</v>
      </c>
      <c r="O9" s="91"/>
      <c r="P9" s="92"/>
      <c r="Q9" s="91"/>
      <c r="AB9" s="5"/>
      <c r="AC9" s="8"/>
      <c r="AD9" s="8"/>
      <c r="AE9" s="99" t="s">
        <v>648</v>
      </c>
      <c r="AF9" s="8" t="s">
        <v>389</v>
      </c>
      <c r="AG9" s="38" t="s">
        <v>1035</v>
      </c>
      <c r="AH9" s="38"/>
      <c r="AI9" s="1" t="s">
        <v>1033</v>
      </c>
      <c r="AJ9" s="20"/>
      <c r="AK9" s="2"/>
    </row>
    <row r="10" spans="1:37" ht="11.25">
      <c r="A10" s="1" t="s">
        <v>1032</v>
      </c>
      <c r="B10" s="16" t="s">
        <v>1056</v>
      </c>
      <c r="C10" s="1" t="s">
        <v>1055</v>
      </c>
      <c r="D10" s="4" t="s">
        <v>387</v>
      </c>
      <c r="E10" s="4"/>
      <c r="F10" s="4"/>
      <c r="G10" s="1">
        <v>2</v>
      </c>
      <c r="H10" s="5" t="s">
        <v>388</v>
      </c>
      <c r="AB10" s="5"/>
      <c r="AC10" s="8"/>
      <c r="AD10" s="8"/>
      <c r="AE10" s="8" t="s">
        <v>648</v>
      </c>
      <c r="AF10" s="1" t="s">
        <v>389</v>
      </c>
      <c r="AG10" s="100" t="s">
        <v>1057</v>
      </c>
      <c r="AI10" s="1" t="s">
        <v>1058</v>
      </c>
      <c r="AJ10" s="20"/>
      <c r="AK10" s="2"/>
    </row>
    <row r="11" spans="1:37" ht="11.25">
      <c r="B11" s="16"/>
      <c r="D11" s="4"/>
      <c r="E11" s="4"/>
      <c r="F11" s="4"/>
      <c r="AB11" s="5"/>
      <c r="AC11" s="8"/>
      <c r="AD11" s="8"/>
      <c r="AE11" s="8"/>
      <c r="AI11" s="1"/>
      <c r="AJ11" s="20"/>
      <c r="AK11" s="2"/>
    </row>
    <row r="12" spans="1:37" ht="11.25">
      <c r="B12" s="17"/>
      <c r="D12" s="4"/>
      <c r="E12" s="4"/>
      <c r="F12" s="4"/>
      <c r="AB12" s="5"/>
      <c r="AC12" s="8"/>
      <c r="AD12" s="8"/>
      <c r="AE12" s="8"/>
      <c r="AI12" s="1"/>
      <c r="AJ12" s="20"/>
      <c r="AK12" s="2"/>
    </row>
    <row r="13" spans="1:37" ht="11.25">
      <c r="B13" s="17"/>
      <c r="D13" s="4"/>
      <c r="E13" s="4"/>
      <c r="F13" s="4"/>
      <c r="AB13" s="5"/>
      <c r="AC13" s="8"/>
      <c r="AD13" s="8"/>
      <c r="AE13" s="8"/>
      <c r="AI13" s="1"/>
      <c r="AJ13" s="20"/>
      <c r="AK13" s="2"/>
    </row>
    <row r="14" spans="1:37" ht="11.25">
      <c r="B14" s="17"/>
      <c r="C14" s="3"/>
      <c r="D14" s="13"/>
      <c r="E14" s="13"/>
      <c r="F14" s="13"/>
      <c r="AB14" s="5"/>
      <c r="AC14" s="8"/>
      <c r="AD14" s="8"/>
      <c r="AE14" s="8"/>
      <c r="AI14" s="1"/>
      <c r="AJ14" s="20"/>
      <c r="AK14" s="2"/>
    </row>
    <row r="15" spans="1:37" ht="11.25">
      <c r="B15" s="16"/>
      <c r="D15" s="4"/>
      <c r="E15" s="4"/>
      <c r="F15" s="4"/>
      <c r="AB15" s="5"/>
      <c r="AC15" s="8"/>
      <c r="AD15" s="8"/>
      <c r="AE15" s="8"/>
      <c r="AI15" s="1"/>
      <c r="AJ15" s="20"/>
      <c r="AK15" s="2"/>
    </row>
    <row r="16" spans="1:37" ht="11.25">
      <c r="B16" s="19"/>
      <c r="C16" s="14"/>
      <c r="D16" s="36"/>
      <c r="E16" s="36"/>
      <c r="F16" s="36"/>
      <c r="AB16" s="5"/>
      <c r="AC16" s="8"/>
      <c r="AD16" s="8"/>
      <c r="AE16" s="8"/>
      <c r="AI16" s="1"/>
      <c r="AJ16" s="22"/>
      <c r="AK16" s="2"/>
    </row>
    <row r="17" spans="2:37" ht="11.25">
      <c r="B17" s="17"/>
      <c r="D17" s="4"/>
      <c r="E17" s="4"/>
      <c r="F17" s="4"/>
      <c r="AB17" s="5"/>
      <c r="AC17" s="8"/>
      <c r="AD17" s="8"/>
      <c r="AE17" s="8"/>
      <c r="AI17" s="1"/>
      <c r="AJ17" s="20"/>
      <c r="AK17" s="2"/>
    </row>
    <row r="18" spans="2:37" ht="11.25">
      <c r="B18" s="17"/>
      <c r="D18" s="4"/>
      <c r="E18" s="4"/>
      <c r="F18" s="4"/>
      <c r="AB18" s="5"/>
      <c r="AC18" s="8"/>
      <c r="AD18" s="8"/>
      <c r="AE18" s="8"/>
      <c r="AI18" s="1"/>
      <c r="AJ18" s="20"/>
      <c r="AK18" s="2"/>
    </row>
    <row r="19" spans="2:37" ht="11.25">
      <c r="B19" s="17"/>
      <c r="D19" s="4"/>
      <c r="E19" s="4"/>
      <c r="F19" s="4"/>
      <c r="AB19" s="5"/>
      <c r="AC19" s="8"/>
      <c r="AD19" s="8"/>
      <c r="AE19" s="8"/>
      <c r="AI19" s="1"/>
      <c r="AJ19" s="20"/>
      <c r="AK19" s="2"/>
    </row>
    <row r="20" spans="2:37" ht="11.25">
      <c r="B20" s="17"/>
      <c r="C20" s="3"/>
      <c r="D20" s="13"/>
      <c r="E20" s="13"/>
      <c r="F20" s="13"/>
      <c r="AB20" s="5"/>
      <c r="AC20" s="8"/>
      <c r="AD20" s="8"/>
      <c r="AE20" s="8"/>
      <c r="AI20" s="1"/>
      <c r="AJ20" s="20"/>
      <c r="AK20" s="2"/>
    </row>
    <row r="21" spans="2:37" ht="11.25">
      <c r="B21" s="17"/>
      <c r="D21" s="4"/>
      <c r="E21" s="4"/>
      <c r="F21" s="4"/>
      <c r="AB21" s="5"/>
      <c r="AC21" s="8"/>
      <c r="AD21" s="8"/>
      <c r="AE21" s="8"/>
      <c r="AI21" s="1"/>
      <c r="AJ21" s="20"/>
      <c r="AK21" s="2"/>
    </row>
    <row r="22" spans="2:37" ht="11.25">
      <c r="B22" s="17"/>
      <c r="D22" s="4"/>
      <c r="E22" s="4"/>
      <c r="F22" s="4"/>
      <c r="AB22" s="5"/>
      <c r="AC22" s="8"/>
      <c r="AD22" s="8"/>
      <c r="AE22" s="8"/>
      <c r="AI22" s="1"/>
      <c r="AJ22" s="20"/>
      <c r="AK22" s="2"/>
    </row>
    <row r="23" spans="2:37" ht="11.25">
      <c r="B23" s="17"/>
      <c r="C23" s="3"/>
      <c r="D23" s="13"/>
      <c r="E23" s="13"/>
      <c r="F23" s="13"/>
      <c r="AB23" s="5"/>
      <c r="AC23" s="8"/>
      <c r="AD23" s="8"/>
      <c r="AE23" s="8"/>
      <c r="AI23" s="1"/>
      <c r="AJ23" s="20"/>
      <c r="AK23" s="2"/>
    </row>
    <row r="24" spans="2:37" ht="11.25">
      <c r="B24" s="17"/>
      <c r="C24" s="2"/>
      <c r="D24" s="34"/>
      <c r="E24" s="34"/>
      <c r="F24" s="34"/>
      <c r="H24" s="6"/>
      <c r="I24" s="6"/>
      <c r="J24" s="6"/>
      <c r="K24" s="6"/>
      <c r="L24" s="6"/>
      <c r="M24" s="6"/>
      <c r="N24" s="6"/>
      <c r="O24" s="6"/>
      <c r="P24" s="6"/>
      <c r="Q24" s="6"/>
      <c r="R24" s="6"/>
      <c r="S24" s="6"/>
      <c r="T24" s="6"/>
      <c r="U24" s="6"/>
      <c r="V24" s="6"/>
      <c r="W24" s="6"/>
      <c r="X24" s="6"/>
      <c r="Y24" s="6"/>
      <c r="Z24" s="6"/>
      <c r="AA24" s="6"/>
      <c r="AB24" s="6"/>
      <c r="AC24" s="6"/>
      <c r="AD24" s="6"/>
      <c r="AE24" s="6"/>
      <c r="AF24" s="2"/>
      <c r="AH24" s="2"/>
      <c r="AI24" s="2"/>
      <c r="AJ24" s="21"/>
      <c r="AK24" s="2"/>
    </row>
    <row r="25" spans="2:37" ht="11.25">
      <c r="B25" s="28"/>
      <c r="C25" s="29"/>
      <c r="D25" s="37"/>
      <c r="E25" s="37"/>
      <c r="F25" s="37"/>
      <c r="G25" s="32"/>
      <c r="H25" s="30"/>
      <c r="I25" s="30"/>
      <c r="J25" s="30"/>
      <c r="K25" s="30"/>
      <c r="L25" s="30"/>
      <c r="M25" s="30"/>
      <c r="N25" s="30"/>
      <c r="O25" s="30"/>
      <c r="P25" s="30"/>
      <c r="Q25" s="30"/>
      <c r="R25" s="30"/>
      <c r="S25" s="30"/>
      <c r="T25" s="30"/>
      <c r="U25" s="30"/>
      <c r="V25" s="30"/>
      <c r="W25" s="30"/>
      <c r="X25" s="30"/>
      <c r="Y25" s="30"/>
      <c r="Z25" s="30"/>
      <c r="AA25" s="30"/>
      <c r="AB25" s="30"/>
      <c r="AC25" s="31"/>
      <c r="AD25" s="31"/>
      <c r="AE25" s="31"/>
      <c r="AF25" s="32"/>
      <c r="AG25" s="32"/>
      <c r="AH25" s="32"/>
      <c r="AI25" s="32"/>
      <c r="AJ25" s="33"/>
      <c r="AK25" s="39"/>
    </row>
    <row r="26" spans="2:37">
      <c r="B26"/>
      <c r="C26"/>
      <c r="D26"/>
      <c r="E26"/>
      <c r="F26"/>
      <c r="G26"/>
      <c r="H26"/>
      <c r="I26"/>
      <c r="J26"/>
      <c r="K26"/>
      <c r="L26"/>
      <c r="M26"/>
      <c r="N26"/>
      <c r="O26"/>
      <c r="P26"/>
      <c r="Q26"/>
      <c r="R26"/>
      <c r="S26"/>
      <c r="T26"/>
      <c r="U26"/>
      <c r="V26"/>
      <c r="W26"/>
      <c r="X26"/>
      <c r="Y26"/>
      <c r="Z26"/>
      <c r="AA26"/>
      <c r="AB26"/>
      <c r="AC26"/>
      <c r="AD26"/>
      <c r="AF26"/>
      <c r="AG26"/>
      <c r="AH26"/>
      <c r="AJ26"/>
      <c r="AK26"/>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sheetPr>
    <pageSetUpPr fitToPage="1"/>
  </sheetPr>
  <dimension ref="A1:AK10"/>
  <sheetViews>
    <sheetView zoomScale="120" zoomScaleNormal="120" workbookViewId="0">
      <pane xSplit="3" ySplit="2" topLeftCell="W3" activePane="bottomRight" state="frozen"/>
      <selection activeCell="H3" sqref="H3"/>
      <selection pane="topRight" activeCell="H3" sqref="H3"/>
      <selection pane="bottomLeft" activeCell="H3" sqref="H3"/>
      <selection pane="bottomRight" activeCell="H3" sqref="H3"/>
    </sheetView>
  </sheetViews>
  <sheetFormatPr defaultRowHeight="15"/>
  <cols>
    <col min="1" max="1" width="9.85546875" style="1" customWidth="1"/>
    <col min="2" max="2" width="11.28515625" style="1" customWidth="1"/>
    <col min="3" max="3" width="37.42578125" style="1" customWidth="1"/>
    <col min="4" max="4" width="6.85546875" style="1" customWidth="1"/>
    <col min="5" max="6" width="4.7109375" style="1" customWidth="1"/>
    <col min="7" max="7" width="10.7109375" style="1" customWidth="1"/>
    <col min="8" max="8" width="5.7109375" style="5" customWidth="1"/>
    <col min="9" max="9" width="5.85546875" style="5" customWidth="1"/>
    <col min="10" max="10" width="5.5703125" style="5" customWidth="1"/>
    <col min="11" max="11" width="4.28515625" style="5" customWidth="1"/>
    <col min="12" max="12" width="4.85546875" style="5" customWidth="1"/>
    <col min="13" max="13" width="5.5703125" style="5" customWidth="1"/>
    <col min="14" max="14" width="5.28515625" style="5" customWidth="1"/>
    <col min="15" max="15" width="6.7109375" style="5" customWidth="1"/>
    <col min="16" max="16" width="5.5703125" style="5" customWidth="1"/>
    <col min="17" max="17" width="4.85546875" style="5" customWidth="1"/>
    <col min="18" max="18" width="4.140625" style="5" customWidth="1"/>
    <col min="19" max="19" width="4.5703125" style="5" customWidth="1"/>
    <col min="20" max="20" width="5" style="5" customWidth="1"/>
    <col min="21" max="21" width="4.42578125" style="5" customWidth="1"/>
    <col min="22" max="22" width="4.7109375" style="5" customWidth="1"/>
    <col min="23" max="23" width="4.140625" style="5" customWidth="1"/>
    <col min="24" max="24" width="4.85546875" style="5" customWidth="1"/>
    <col min="25" max="25" width="5" style="5" customWidth="1"/>
    <col min="26" max="26" width="4.85546875" style="5" customWidth="1"/>
    <col min="27" max="27" width="4.42578125" style="5" customWidth="1"/>
    <col min="28" max="28" width="4.85546875" style="15" customWidth="1"/>
    <col min="29" max="30" width="10" style="15" customWidth="1"/>
    <col min="31" max="31" width="9.140625" customWidth="1"/>
    <col min="32" max="32" width="8" style="1" customWidth="1"/>
    <col min="33" max="33" width="6.85546875" style="1" customWidth="1"/>
    <col min="34" max="34" width="12.42578125" style="1" customWidth="1"/>
    <col min="36" max="36" width="8.85546875" style="1" customWidth="1"/>
    <col min="37" max="37" width="20.140625" style="1" customWidth="1"/>
    <col min="38" max="38" width="13.28515625" style="1" customWidth="1"/>
    <col min="39" max="39" width="23.7109375" style="1" customWidth="1"/>
    <col min="40" max="16384" width="9.140625" style="1"/>
  </cols>
  <sheetData>
    <row r="1" spans="1:37">
      <c r="E1" s="44"/>
      <c r="F1" s="44"/>
      <c r="H1" s="542" t="s">
        <v>3</v>
      </c>
      <c r="I1" s="542"/>
      <c r="J1" s="542"/>
      <c r="K1" s="542"/>
      <c r="L1" s="542"/>
      <c r="M1" s="542"/>
      <c r="N1" s="542"/>
      <c r="O1" s="542"/>
      <c r="P1" s="542"/>
      <c r="Q1" s="542"/>
      <c r="R1" s="542"/>
      <c r="S1" s="542"/>
      <c r="T1" s="542"/>
      <c r="U1" s="542"/>
      <c r="V1" s="542"/>
      <c r="W1" s="542"/>
      <c r="X1" s="538"/>
      <c r="Y1" s="543"/>
      <c r="Z1" s="543"/>
      <c r="AA1" s="543"/>
      <c r="AB1" s="544"/>
      <c r="AE1" s="1"/>
      <c r="AI1" s="1"/>
    </row>
    <row r="2" spans="1:37" ht="110.25" customHeight="1">
      <c r="A2" s="7" t="s">
        <v>5</v>
      </c>
      <c r="B2" s="23" t="s">
        <v>7</v>
      </c>
      <c r="C2" s="24" t="s">
        <v>6</v>
      </c>
      <c r="D2" s="25" t="s">
        <v>13</v>
      </c>
      <c r="E2" s="57" t="s">
        <v>621</v>
      </c>
      <c r="F2" s="57" t="s">
        <v>622</v>
      </c>
      <c r="G2" s="26" t="s">
        <v>4</v>
      </c>
      <c r="H2" s="25" t="s">
        <v>15</v>
      </c>
      <c r="I2" s="25" t="s">
        <v>0</v>
      </c>
      <c r="J2" s="25" t="s">
        <v>1</v>
      </c>
      <c r="K2" s="25" t="s">
        <v>16</v>
      </c>
      <c r="L2" s="25" t="s">
        <v>32</v>
      </c>
      <c r="M2" s="25" t="s">
        <v>31</v>
      </c>
      <c r="N2" s="25" t="s">
        <v>30</v>
      </c>
      <c r="O2" s="25" t="s">
        <v>19</v>
      </c>
      <c r="P2" s="25" t="s">
        <v>2</v>
      </c>
      <c r="Q2" s="43" t="s">
        <v>17</v>
      </c>
      <c r="R2" s="40" t="s">
        <v>18</v>
      </c>
      <c r="S2" s="40" t="s">
        <v>20</v>
      </c>
      <c r="T2" s="41" t="s">
        <v>21</v>
      </c>
      <c r="U2" s="41" t="s">
        <v>22</v>
      </c>
      <c r="V2" s="41" t="s">
        <v>33</v>
      </c>
      <c r="W2" s="41" t="s">
        <v>34</v>
      </c>
      <c r="X2" s="25" t="s">
        <v>23</v>
      </c>
      <c r="Y2" s="25" t="s">
        <v>26</v>
      </c>
      <c r="Z2" s="25" t="s">
        <v>24</v>
      </c>
      <c r="AA2" s="25" t="s">
        <v>27</v>
      </c>
      <c r="AB2" s="25" t="s">
        <v>25</v>
      </c>
      <c r="AC2" s="42" t="s">
        <v>28</v>
      </c>
      <c r="AD2" s="42" t="s">
        <v>29</v>
      </c>
      <c r="AE2" s="24" t="s">
        <v>11</v>
      </c>
      <c r="AF2" s="24" t="s">
        <v>10</v>
      </c>
      <c r="AG2" s="24" t="s">
        <v>9</v>
      </c>
      <c r="AH2" s="24" t="s">
        <v>12</v>
      </c>
      <c r="AI2" s="24" t="s">
        <v>8</v>
      </c>
      <c r="AJ2" s="27" t="s">
        <v>620</v>
      </c>
      <c r="AK2" s="24" t="s">
        <v>14</v>
      </c>
    </row>
    <row r="3" spans="1:37" ht="11.25">
      <c r="A3" s="1" t="s">
        <v>1366</v>
      </c>
      <c r="B3" s="16" t="s">
        <v>1367</v>
      </c>
      <c r="C3" s="1" t="s">
        <v>1365</v>
      </c>
      <c r="D3" s="4" t="s">
        <v>739</v>
      </c>
      <c r="E3" s="4"/>
      <c r="F3" s="4"/>
      <c r="G3" s="112" t="s">
        <v>743</v>
      </c>
      <c r="M3" s="5" t="s">
        <v>388</v>
      </c>
      <c r="AB3" s="5"/>
      <c r="AC3" s="8"/>
      <c r="AD3" s="8"/>
      <c r="AE3" s="8" t="s">
        <v>648</v>
      </c>
      <c r="AF3" s="1" t="s">
        <v>389</v>
      </c>
      <c r="AG3" s="1" t="s">
        <v>1368</v>
      </c>
      <c r="AI3" s="1"/>
      <c r="AJ3" s="20"/>
      <c r="AK3" s="2"/>
    </row>
    <row r="4" spans="1:37" ht="11.25">
      <c r="A4" s="1" t="s">
        <v>1371</v>
      </c>
      <c r="B4" s="17" t="s">
        <v>1370</v>
      </c>
      <c r="C4" s="1" t="s">
        <v>1369</v>
      </c>
      <c r="D4" s="4" t="s">
        <v>739</v>
      </c>
      <c r="E4" s="4"/>
      <c r="F4" s="4"/>
      <c r="G4" s="112">
        <v>1</v>
      </c>
      <c r="M4" s="5" t="s">
        <v>388</v>
      </c>
      <c r="O4" s="5" t="s">
        <v>388</v>
      </c>
      <c r="U4" s="5" t="s">
        <v>388</v>
      </c>
      <c r="AB4" s="5"/>
      <c r="AC4" s="8"/>
      <c r="AD4" s="8"/>
      <c r="AE4" s="8" t="s">
        <v>648</v>
      </c>
      <c r="AF4" s="1" t="s">
        <v>394</v>
      </c>
      <c r="AG4" s="1" t="s">
        <v>1372</v>
      </c>
      <c r="AI4" s="1" t="s">
        <v>1373</v>
      </c>
      <c r="AJ4" s="20"/>
      <c r="AK4" s="2"/>
    </row>
    <row r="5" spans="1:37" ht="11.25">
      <c r="A5" s="1" t="s">
        <v>1374</v>
      </c>
      <c r="B5" s="17" t="s">
        <v>1376</v>
      </c>
      <c r="C5" s="1" t="s">
        <v>1375</v>
      </c>
      <c r="D5" s="4" t="s">
        <v>739</v>
      </c>
      <c r="E5" s="4"/>
      <c r="F5" s="4"/>
      <c r="G5" s="112">
        <v>1</v>
      </c>
      <c r="L5" s="5" t="s">
        <v>388</v>
      </c>
      <c r="M5" s="5" t="s">
        <v>388</v>
      </c>
      <c r="R5" s="5" t="s">
        <v>388</v>
      </c>
      <c r="U5" s="5" t="s">
        <v>388</v>
      </c>
      <c r="Z5" s="5" t="s">
        <v>388</v>
      </c>
      <c r="AB5" s="5"/>
      <c r="AC5" s="8"/>
      <c r="AD5" s="8"/>
      <c r="AE5" s="8" t="s">
        <v>648</v>
      </c>
      <c r="AF5" s="1" t="s">
        <v>394</v>
      </c>
      <c r="AG5" s="1" t="s">
        <v>1378</v>
      </c>
      <c r="AI5" s="1" t="s">
        <v>1377</v>
      </c>
      <c r="AJ5" s="20"/>
      <c r="AK5" s="2"/>
    </row>
    <row r="6" spans="1:37" ht="11.25">
      <c r="A6" s="1" t="s">
        <v>1381</v>
      </c>
      <c r="B6" s="16" t="s">
        <v>1380</v>
      </c>
      <c r="C6" s="1" t="s">
        <v>1379</v>
      </c>
      <c r="D6" s="4" t="s">
        <v>739</v>
      </c>
      <c r="E6" s="4"/>
      <c r="F6" s="4"/>
      <c r="G6" s="112">
        <v>1</v>
      </c>
      <c r="M6" s="5" t="s">
        <v>388</v>
      </c>
      <c r="U6" s="5" t="s">
        <v>388</v>
      </c>
      <c r="AB6" s="5"/>
      <c r="AC6" s="8"/>
      <c r="AD6" s="8"/>
      <c r="AE6" s="8" t="s">
        <v>648</v>
      </c>
      <c r="AF6" s="1" t="s">
        <v>389</v>
      </c>
      <c r="AG6" s="1" t="s">
        <v>1382</v>
      </c>
      <c r="AI6" s="1" t="s">
        <v>1383</v>
      </c>
      <c r="AJ6" s="20"/>
      <c r="AK6" s="2"/>
    </row>
    <row r="7" spans="1:37" ht="11.25">
      <c r="A7" s="1" t="s">
        <v>1386</v>
      </c>
      <c r="B7" s="28" t="s">
        <v>1385</v>
      </c>
      <c r="C7" s="86" t="s">
        <v>1384</v>
      </c>
      <c r="D7" s="103" t="s">
        <v>387</v>
      </c>
      <c r="E7" s="103"/>
      <c r="F7" s="103"/>
      <c r="G7" s="114" t="s">
        <v>664</v>
      </c>
      <c r="H7" s="115"/>
      <c r="I7" s="115"/>
      <c r="J7" s="115"/>
      <c r="K7" s="115"/>
      <c r="L7" s="115" t="s">
        <v>388</v>
      </c>
      <c r="M7" s="115"/>
      <c r="N7" s="30"/>
      <c r="O7" s="115"/>
      <c r="P7" s="30"/>
      <c r="Q7" s="115"/>
      <c r="R7" s="30"/>
      <c r="S7" s="30"/>
      <c r="T7" s="30"/>
      <c r="U7" s="30"/>
      <c r="V7" s="30"/>
      <c r="W7" s="30"/>
      <c r="X7" s="30"/>
      <c r="Y7" s="30"/>
      <c r="Z7" s="30"/>
      <c r="AA7" s="30"/>
      <c r="AB7" s="30"/>
      <c r="AC7" s="114"/>
      <c r="AD7" s="31"/>
      <c r="AE7" s="31" t="s">
        <v>648</v>
      </c>
      <c r="AF7" s="39" t="s">
        <v>394</v>
      </c>
      <c r="AG7" s="39" t="s">
        <v>1387</v>
      </c>
      <c r="AH7" s="39"/>
      <c r="AI7" s="39" t="s">
        <v>1388</v>
      </c>
      <c r="AJ7" s="116"/>
      <c r="AK7" s="39"/>
    </row>
    <row r="8" spans="1:37" ht="11.25">
      <c r="A8" s="1" t="s">
        <v>1391</v>
      </c>
      <c r="B8" s="28" t="s">
        <v>1390</v>
      </c>
      <c r="C8" s="86" t="s">
        <v>1389</v>
      </c>
      <c r="D8" s="103" t="s">
        <v>387</v>
      </c>
      <c r="E8" s="103"/>
      <c r="F8" s="103"/>
      <c r="G8" s="114" t="s">
        <v>664</v>
      </c>
      <c r="H8" s="115"/>
      <c r="I8" s="115"/>
      <c r="J8" s="115"/>
      <c r="K8" s="115"/>
      <c r="L8" s="115" t="s">
        <v>388</v>
      </c>
      <c r="M8" s="115"/>
      <c r="N8" s="30"/>
      <c r="O8" s="115"/>
      <c r="P8" s="30"/>
      <c r="Q8" s="115"/>
      <c r="R8" s="30"/>
      <c r="S8" s="30"/>
      <c r="T8" s="30"/>
      <c r="U8" s="30"/>
      <c r="V8" s="30"/>
      <c r="W8" s="30"/>
      <c r="X8" s="30"/>
      <c r="Y8" s="30"/>
      <c r="Z8" s="30"/>
      <c r="AA8" s="30"/>
      <c r="AB8" s="30"/>
      <c r="AC8" s="114"/>
      <c r="AD8" s="31"/>
      <c r="AE8" s="31" t="s">
        <v>648</v>
      </c>
      <c r="AF8" s="39" t="s">
        <v>394</v>
      </c>
      <c r="AG8" s="39"/>
      <c r="AH8" s="39"/>
      <c r="AI8" s="39"/>
      <c r="AJ8" s="116"/>
      <c r="AK8" s="39"/>
    </row>
    <row r="9" spans="1:37" ht="11.25">
      <c r="A9" s="1" t="s">
        <v>1030</v>
      </c>
      <c r="B9" s="110" t="s">
        <v>1436</v>
      </c>
      <c r="C9" s="71" t="s">
        <v>1435</v>
      </c>
      <c r="D9" s="103" t="s">
        <v>1306</v>
      </c>
      <c r="E9" s="32"/>
      <c r="F9" s="32"/>
      <c r="G9" s="104" t="s">
        <v>674</v>
      </c>
      <c r="H9" s="105"/>
      <c r="I9" s="105"/>
      <c r="J9" s="105"/>
      <c r="K9" s="105"/>
      <c r="L9" s="105"/>
      <c r="M9" s="105"/>
      <c r="N9" s="106"/>
      <c r="O9" s="105"/>
      <c r="P9" s="106" t="s">
        <v>388</v>
      </c>
      <c r="Q9" s="105"/>
      <c r="R9" s="106"/>
      <c r="S9" s="106"/>
      <c r="T9" s="106"/>
      <c r="U9" s="106"/>
      <c r="V9" s="106"/>
      <c r="W9" s="106"/>
      <c r="X9" s="106"/>
      <c r="Y9" s="106"/>
      <c r="Z9" s="106"/>
      <c r="AA9" s="106"/>
      <c r="AB9" s="107"/>
      <c r="AC9" s="104"/>
      <c r="AD9" s="107"/>
      <c r="AE9" s="107" t="s">
        <v>648</v>
      </c>
      <c r="AF9" s="108" t="s">
        <v>394</v>
      </c>
      <c r="AG9" s="108" t="s">
        <v>1437</v>
      </c>
      <c r="AH9" s="108"/>
      <c r="AI9" s="108" t="s">
        <v>1438</v>
      </c>
      <c r="AJ9" s="109"/>
      <c r="AK9" s="108"/>
    </row>
    <row r="10" spans="1:37" ht="11.25">
      <c r="A10" s="1" t="s">
        <v>1490</v>
      </c>
      <c r="B10" s="17" t="s">
        <v>1491</v>
      </c>
      <c r="C10" s="1" t="s">
        <v>1492</v>
      </c>
      <c r="D10" s="4" t="s">
        <v>387</v>
      </c>
      <c r="E10" s="4"/>
      <c r="F10" s="4"/>
      <c r="G10" s="1" t="s">
        <v>743</v>
      </c>
      <c r="O10" s="5" t="s">
        <v>388</v>
      </c>
      <c r="AB10" s="5"/>
      <c r="AC10" s="8"/>
      <c r="AD10" s="8" t="s">
        <v>388</v>
      </c>
      <c r="AE10" s="8"/>
      <c r="AF10" s="1" t="s">
        <v>389</v>
      </c>
      <c r="AG10" s="1" t="s">
        <v>1493</v>
      </c>
      <c r="AI10" s="1"/>
      <c r="AJ10" s="20"/>
      <c r="AK10" s="2"/>
    </row>
  </sheetData>
  <mergeCells count="2">
    <mergeCell ref="H1:W1"/>
    <mergeCell ref="X1:AB1"/>
  </mergeCells>
  <pageMargins left="0.25" right="0.25" top="0.25" bottom="0.25" header="0.3" footer="0.3"/>
  <pageSetup paperSize="5" scale="42" fitToHeight="6" orientation="landscape" r:id="rId1"/>
  <legacyDrawing r:id="rId2"/>
  <tableParts count="1">
    <tablePart r:id="rId3"/>
  </tableParts>
</worksheet>
</file>

<file path=xl/worksheets/sheet20.xml><?xml version="1.0" encoding="utf-8"?>
<worksheet xmlns="http://schemas.openxmlformats.org/spreadsheetml/2006/main" xmlns:r="http://schemas.openxmlformats.org/officeDocument/2006/relationships">
  <dimension ref="A1:J1"/>
  <sheetViews>
    <sheetView zoomScale="40" zoomScaleNormal="40" zoomScalePageLayoutView="70" workbookViewId="0">
      <selection activeCell="AH46" sqref="AH46"/>
    </sheetView>
  </sheetViews>
  <sheetFormatPr defaultRowHeight="15"/>
  <cols>
    <col min="1" max="1" width="13.140625" style="250" customWidth="1"/>
    <col min="2" max="2" width="11.5703125" style="250" customWidth="1"/>
    <col min="3" max="3" width="10.85546875" style="250" customWidth="1"/>
    <col min="4" max="10" width="9.140625" style="250"/>
    <col min="11" max="16384" width="9.140625" style="177"/>
  </cols>
  <sheetData/>
  <pageMargins left="0.7" right="0.7" top="0.75" bottom="0.75" header="0.3" footer="0.3"/>
  <pageSetup orientation="portrait" horizontalDpi="200" verticalDpi="200" r:id="rId1"/>
  <drawing r:id="rId2"/>
</worksheet>
</file>

<file path=xl/worksheets/sheet21.xml><?xml version="1.0" encoding="utf-8"?>
<worksheet xmlns="http://schemas.openxmlformats.org/spreadsheetml/2006/main" xmlns:r="http://schemas.openxmlformats.org/officeDocument/2006/relationships">
  <dimension ref="A1:O60"/>
  <sheetViews>
    <sheetView zoomScale="60" zoomScaleNormal="60" workbookViewId="0">
      <selection activeCell="H2" sqref="H2"/>
    </sheetView>
  </sheetViews>
  <sheetFormatPr defaultRowHeight="15"/>
  <cols>
    <col min="1" max="1" width="8.42578125" style="382" customWidth="1"/>
    <col min="2" max="2" width="50.28515625" style="382" customWidth="1"/>
    <col min="3" max="3" width="36.7109375" style="382" customWidth="1"/>
    <col min="4" max="4" width="23" style="382" customWidth="1"/>
    <col min="5" max="5" width="20.85546875" style="382" customWidth="1"/>
    <col min="6" max="6" width="20.7109375" style="382" customWidth="1"/>
    <col min="7" max="7" width="25.5703125" style="382" customWidth="1"/>
    <col min="8" max="8" width="26.7109375" style="382" customWidth="1"/>
    <col min="9" max="9" width="26.140625" style="382" customWidth="1"/>
    <col min="10" max="10" width="22.85546875" style="382" customWidth="1"/>
    <col min="11" max="11" width="16.5703125" style="382" customWidth="1"/>
    <col min="12" max="12" width="34.42578125" style="382" customWidth="1"/>
    <col min="13" max="13" width="21" style="382" customWidth="1"/>
    <col min="14" max="14" width="28.7109375" style="382" customWidth="1"/>
    <col min="15" max="15" width="23.140625" style="382" customWidth="1"/>
    <col min="16" max="16384" width="9.140625" style="382"/>
  </cols>
  <sheetData>
    <row r="1" spans="1:15" ht="61.5" customHeight="1">
      <c r="A1" s="545" t="s">
        <v>2330</v>
      </c>
      <c r="B1" s="546"/>
      <c r="C1" s="546"/>
      <c r="D1" s="547"/>
      <c r="E1" s="547"/>
      <c r="F1" s="547"/>
      <c r="G1" s="548"/>
      <c r="H1" s="448" t="s">
        <v>2415</v>
      </c>
      <c r="I1" s="448" t="s">
        <v>2414</v>
      </c>
      <c r="J1" s="448" t="s">
        <v>2368</v>
      </c>
      <c r="K1" s="478"/>
      <c r="L1" s="438" t="s">
        <v>1994</v>
      </c>
      <c r="M1" s="439"/>
      <c r="N1" s="439"/>
      <c r="O1" s="439"/>
    </row>
    <row r="2" spans="1:15" ht="30">
      <c r="A2" s="449" t="s">
        <v>2017</v>
      </c>
      <c r="B2" s="449" t="s">
        <v>2369</v>
      </c>
      <c r="C2" s="449" t="s">
        <v>2408</v>
      </c>
      <c r="D2" s="449" t="s">
        <v>2412</v>
      </c>
      <c r="E2" s="449" t="s">
        <v>2409</v>
      </c>
      <c r="F2" s="449" t="s">
        <v>2410</v>
      </c>
      <c r="G2" s="449" t="s">
        <v>2411</v>
      </c>
      <c r="H2" s="449" t="s">
        <v>1995</v>
      </c>
      <c r="I2" s="449" t="s">
        <v>1995</v>
      </c>
      <c r="J2" s="449" t="s">
        <v>1995</v>
      </c>
      <c r="L2" s="427" t="s">
        <v>2356</v>
      </c>
      <c r="M2" s="413" t="s">
        <v>2357</v>
      </c>
      <c r="N2" s="423" t="s">
        <v>2355</v>
      </c>
      <c r="O2" s="428" t="s">
        <v>2354</v>
      </c>
    </row>
    <row r="3" spans="1:15" ht="15.75">
      <c r="A3" s="446">
        <v>1</v>
      </c>
      <c r="B3" s="447" t="s">
        <v>2317</v>
      </c>
      <c r="C3" s="524">
        <v>0.23</v>
      </c>
      <c r="D3" s="425">
        <v>0.34</v>
      </c>
      <c r="E3" s="425">
        <v>0.21</v>
      </c>
      <c r="F3" s="425">
        <v>0.16</v>
      </c>
      <c r="G3" s="425">
        <v>0.26</v>
      </c>
      <c r="H3" s="522"/>
      <c r="I3" s="522"/>
      <c r="J3" s="524">
        <f t="array" ref="J3:J16">TRANSPOSE(All!AM424:AP424)</f>
        <v>0.31372549019607843</v>
      </c>
      <c r="L3" s="429" t="s">
        <v>2347</v>
      </c>
      <c r="M3" s="425">
        <v>0.57999999999999996</v>
      </c>
      <c r="N3" s="424" t="s">
        <v>1996</v>
      </c>
      <c r="O3" s="430">
        <v>0.28000000000000003</v>
      </c>
    </row>
    <row r="4" spans="1:15" ht="15.75">
      <c r="A4" s="446">
        <v>2</v>
      </c>
      <c r="B4" s="450" t="s">
        <v>2318</v>
      </c>
      <c r="C4" s="524">
        <v>0.04</v>
      </c>
      <c r="D4" s="425">
        <v>0.04</v>
      </c>
      <c r="E4" s="425">
        <v>0.13</v>
      </c>
      <c r="F4" s="425">
        <v>0.03</v>
      </c>
      <c r="G4" s="425">
        <v>0.03</v>
      </c>
      <c r="H4" s="523"/>
      <c r="I4" s="523"/>
      <c r="J4" s="524">
        <v>0.37254901960784315</v>
      </c>
      <c r="L4" s="431" t="s">
        <v>1997</v>
      </c>
      <c r="M4" s="425">
        <v>0.56000000000000005</v>
      </c>
      <c r="N4" s="424" t="s">
        <v>1998</v>
      </c>
      <c r="O4" s="430">
        <v>0.31</v>
      </c>
    </row>
    <row r="5" spans="1:15" ht="15.75">
      <c r="A5" s="446">
        <v>3</v>
      </c>
      <c r="B5" s="447" t="s">
        <v>2319</v>
      </c>
      <c r="C5" s="524">
        <v>0.19</v>
      </c>
      <c r="D5" s="425">
        <v>0.28000000000000003</v>
      </c>
      <c r="E5" s="425">
        <v>0.19</v>
      </c>
      <c r="F5" s="425">
        <v>0.16</v>
      </c>
      <c r="G5" s="425">
        <v>0.18</v>
      </c>
      <c r="H5" s="522">
        <f>D27</f>
        <v>0.56000000000000005</v>
      </c>
      <c r="I5" s="522">
        <v>0.19</v>
      </c>
      <c r="J5" s="524">
        <v>0.32107843137254904</v>
      </c>
      <c r="L5" s="431" t="s">
        <v>1999</v>
      </c>
      <c r="M5" s="425">
        <v>0.44</v>
      </c>
      <c r="N5" s="424" t="s">
        <v>2000</v>
      </c>
      <c r="O5" s="430">
        <v>0.3</v>
      </c>
    </row>
    <row r="6" spans="1:15" ht="15.75">
      <c r="A6" s="446">
        <v>4</v>
      </c>
      <c r="B6" s="447" t="s">
        <v>2320</v>
      </c>
      <c r="C6" s="524">
        <v>0.24</v>
      </c>
      <c r="D6" s="425">
        <v>0.19</v>
      </c>
      <c r="E6" s="425">
        <v>0.43</v>
      </c>
      <c r="F6" s="425">
        <v>0.24</v>
      </c>
      <c r="G6" s="425">
        <v>0.23</v>
      </c>
      <c r="H6" s="522">
        <f>D28</f>
        <v>0.14000000000000001</v>
      </c>
      <c r="I6" s="522"/>
      <c r="J6" s="524">
        <v>0.4264705882352941</v>
      </c>
      <c r="L6" s="429" t="s">
        <v>2346</v>
      </c>
      <c r="M6" s="425">
        <v>0.25</v>
      </c>
      <c r="N6" s="424" t="s">
        <v>2001</v>
      </c>
      <c r="O6" s="430">
        <v>0.28000000000000003</v>
      </c>
    </row>
    <row r="7" spans="1:15" ht="15.75">
      <c r="A7" s="446">
        <v>5</v>
      </c>
      <c r="B7" s="447" t="s">
        <v>2321</v>
      </c>
      <c r="C7" s="524">
        <v>0.02</v>
      </c>
      <c r="D7" s="425">
        <v>0</v>
      </c>
      <c r="E7" s="425">
        <v>0.02</v>
      </c>
      <c r="F7" s="425">
        <v>0.02</v>
      </c>
      <c r="G7" s="425">
        <v>0.03</v>
      </c>
      <c r="H7" s="522">
        <f>D29</f>
        <v>0.12</v>
      </c>
      <c r="I7" s="522"/>
      <c r="J7" s="524" t="e">
        <v>#N/A</v>
      </c>
      <c r="L7" s="429" t="s">
        <v>2350</v>
      </c>
      <c r="M7" s="425">
        <v>0.2</v>
      </c>
      <c r="N7" s="424" t="s">
        <v>2002</v>
      </c>
      <c r="O7" s="430">
        <v>0.2</v>
      </c>
    </row>
    <row r="8" spans="1:15" ht="30">
      <c r="A8" s="446">
        <v>6</v>
      </c>
      <c r="B8" s="447" t="s">
        <v>2322</v>
      </c>
      <c r="C8" s="524">
        <v>0.1</v>
      </c>
      <c r="D8" s="425">
        <v>0.09</v>
      </c>
      <c r="E8" s="425">
        <v>0.06</v>
      </c>
      <c r="F8" s="425">
        <v>0.18</v>
      </c>
      <c r="G8" s="425">
        <v>0.05</v>
      </c>
      <c r="H8" s="522">
        <f>D30</f>
        <v>0.17</v>
      </c>
      <c r="I8" s="522">
        <v>0.16</v>
      </c>
      <c r="J8" s="524" t="e">
        <v>#N/A</v>
      </c>
      <c r="L8" s="429" t="s">
        <v>2217</v>
      </c>
      <c r="M8" s="425">
        <v>0.17</v>
      </c>
      <c r="N8" s="424" t="s">
        <v>2003</v>
      </c>
      <c r="O8" s="430">
        <v>0.24</v>
      </c>
    </row>
    <row r="9" spans="1:15" ht="15.75">
      <c r="A9" s="446">
        <v>7</v>
      </c>
      <c r="B9" s="447" t="s">
        <v>2323</v>
      </c>
      <c r="C9" s="524">
        <v>0.31</v>
      </c>
      <c r="D9" s="425">
        <v>0.32</v>
      </c>
      <c r="E9" s="425">
        <v>0.21</v>
      </c>
      <c r="F9" s="425">
        <v>0.35</v>
      </c>
      <c r="G9" s="425">
        <v>0.33</v>
      </c>
      <c r="H9" s="522">
        <f>D32</f>
        <v>0.44</v>
      </c>
      <c r="I9" s="522">
        <v>0.28000000000000003</v>
      </c>
      <c r="J9" s="524" t="e">
        <v>#N/A</v>
      </c>
      <c r="L9" s="431" t="s">
        <v>2004</v>
      </c>
      <c r="M9" s="425">
        <v>0.13</v>
      </c>
      <c r="N9" s="424" t="s">
        <v>2005</v>
      </c>
      <c r="O9" s="430">
        <v>0.28999999999999998</v>
      </c>
    </row>
    <row r="10" spans="1:15" ht="15.75">
      <c r="A10" s="446">
        <v>8</v>
      </c>
      <c r="B10" s="447" t="s">
        <v>2331</v>
      </c>
      <c r="C10" s="524">
        <v>0.12</v>
      </c>
      <c r="D10" s="425">
        <v>0.06</v>
      </c>
      <c r="E10" s="425">
        <v>0.02</v>
      </c>
      <c r="F10" s="425">
        <v>0.09</v>
      </c>
      <c r="G10" s="425">
        <v>0.21</v>
      </c>
      <c r="H10" s="522">
        <f>D36</f>
        <v>0.25</v>
      </c>
      <c r="I10" s="522">
        <v>7.0000000000000007E-2</v>
      </c>
      <c r="J10" s="524" t="e">
        <v>#N/A</v>
      </c>
      <c r="L10" s="431" t="s">
        <v>2006</v>
      </c>
      <c r="M10" s="425">
        <v>0.11</v>
      </c>
      <c r="N10" s="424" t="s">
        <v>2007</v>
      </c>
      <c r="O10" s="430">
        <v>0.27</v>
      </c>
    </row>
    <row r="11" spans="1:15" ht="30">
      <c r="A11" s="446">
        <v>9</v>
      </c>
      <c r="B11" s="447" t="s">
        <v>2332</v>
      </c>
      <c r="C11" s="524">
        <v>0.08</v>
      </c>
      <c r="D11" s="425">
        <v>0.08</v>
      </c>
      <c r="E11" s="425">
        <v>0</v>
      </c>
      <c r="F11" s="425">
        <v>0.13</v>
      </c>
      <c r="G11" s="425">
        <v>0.09</v>
      </c>
      <c r="H11" s="522">
        <f>D37</f>
        <v>0.57999999999999996</v>
      </c>
      <c r="I11" s="522">
        <v>0.38</v>
      </c>
      <c r="J11" s="524" t="e">
        <v>#N/A</v>
      </c>
      <c r="L11" s="429" t="s">
        <v>2349</v>
      </c>
      <c r="M11" s="425">
        <v>0.18</v>
      </c>
      <c r="N11" s="424" t="s">
        <v>2008</v>
      </c>
      <c r="O11" s="430">
        <v>0.11</v>
      </c>
    </row>
    <row r="12" spans="1:15" ht="15.75">
      <c r="A12" s="446">
        <v>10</v>
      </c>
      <c r="B12" s="447" t="s">
        <v>2324</v>
      </c>
      <c r="C12" s="524">
        <v>0.05</v>
      </c>
      <c r="D12" s="425">
        <v>0.02</v>
      </c>
      <c r="E12" s="425">
        <v>0.06</v>
      </c>
      <c r="F12" s="425">
        <v>0.05</v>
      </c>
      <c r="G12" s="425">
        <v>0.06</v>
      </c>
      <c r="H12" s="522">
        <f>D38</f>
        <v>0.27</v>
      </c>
      <c r="I12" s="522"/>
      <c r="J12" s="524" t="e">
        <v>#N/A</v>
      </c>
      <c r="L12" s="429" t="s">
        <v>2348</v>
      </c>
      <c r="M12" s="425">
        <v>0.06</v>
      </c>
      <c r="N12" s="424" t="s">
        <v>2009</v>
      </c>
      <c r="O12" s="430">
        <v>0.27</v>
      </c>
    </row>
    <row r="13" spans="1:15" ht="30">
      <c r="A13" s="446">
        <v>11</v>
      </c>
      <c r="B13" s="447" t="s">
        <v>2325</v>
      </c>
      <c r="C13" s="524">
        <v>0.1</v>
      </c>
      <c r="D13" s="425">
        <v>0.11</v>
      </c>
      <c r="E13" s="425">
        <v>0.09</v>
      </c>
      <c r="F13" s="425">
        <v>0.11</v>
      </c>
      <c r="G13" s="425">
        <v>0.11</v>
      </c>
      <c r="H13" s="522">
        <f>D39</f>
        <v>0.24</v>
      </c>
      <c r="I13" s="522">
        <v>0.4</v>
      </c>
      <c r="J13" s="524" t="e">
        <v>#N/A</v>
      </c>
      <c r="L13" s="429" t="s">
        <v>2353</v>
      </c>
      <c r="M13" s="425">
        <v>0.12</v>
      </c>
      <c r="N13" s="424" t="s">
        <v>2010</v>
      </c>
      <c r="O13" s="430">
        <v>0.15</v>
      </c>
    </row>
    <row r="14" spans="1:15" ht="30">
      <c r="A14" s="446">
        <v>12</v>
      </c>
      <c r="B14" s="447" t="s">
        <v>2326</v>
      </c>
      <c r="C14" s="524">
        <v>0.5</v>
      </c>
      <c r="D14" s="425">
        <v>0.56999999999999995</v>
      </c>
      <c r="E14" s="425">
        <v>0.55000000000000004</v>
      </c>
      <c r="F14" s="425">
        <v>0.62</v>
      </c>
      <c r="G14" s="425">
        <v>0.4</v>
      </c>
      <c r="H14" s="522">
        <f>D45</f>
        <v>0.28999999999999998</v>
      </c>
      <c r="I14" s="522">
        <v>0.4</v>
      </c>
      <c r="J14" s="524" t="e">
        <v>#N/A</v>
      </c>
      <c r="L14" s="429" t="s">
        <v>2351</v>
      </c>
      <c r="M14" s="425">
        <v>0.14000000000000001</v>
      </c>
      <c r="N14" s="424" t="s">
        <v>2011</v>
      </c>
      <c r="O14" s="430">
        <v>0.11</v>
      </c>
    </row>
    <row r="15" spans="1:15" ht="15.75">
      <c r="A15" s="446">
        <v>13</v>
      </c>
      <c r="B15" s="447" t="s">
        <v>2327</v>
      </c>
      <c r="C15" s="524">
        <v>0.73</v>
      </c>
      <c r="D15" s="425">
        <v>0.68</v>
      </c>
      <c r="E15" s="425">
        <v>0.81</v>
      </c>
      <c r="F15" s="425">
        <v>0.67</v>
      </c>
      <c r="G15" s="425">
        <v>0.76</v>
      </c>
      <c r="H15" s="522">
        <f>D48</f>
        <v>0.28000000000000003</v>
      </c>
      <c r="I15" s="522">
        <v>0.6</v>
      </c>
      <c r="J15" s="524" t="e">
        <v>#N/A</v>
      </c>
      <c r="L15" s="431" t="s">
        <v>2012</v>
      </c>
      <c r="M15" s="425">
        <v>0.05</v>
      </c>
      <c r="N15" s="424" t="s">
        <v>2013</v>
      </c>
      <c r="O15" s="430">
        <v>0.14000000000000001</v>
      </c>
    </row>
    <row r="16" spans="1:15" ht="16.5" thickBot="1">
      <c r="A16" s="446">
        <v>14</v>
      </c>
      <c r="B16" s="447" t="s">
        <v>2328</v>
      </c>
      <c r="C16" s="524">
        <v>0.2</v>
      </c>
      <c r="D16" s="425">
        <v>0.23</v>
      </c>
      <c r="E16" s="425">
        <v>0.21</v>
      </c>
      <c r="F16" s="425">
        <v>0.17</v>
      </c>
      <c r="G16" s="425">
        <v>0.24</v>
      </c>
      <c r="H16" s="522">
        <f>D52</f>
        <v>0.31</v>
      </c>
      <c r="I16" s="522">
        <v>0.17</v>
      </c>
      <c r="J16" s="524" t="e">
        <v>#N/A</v>
      </c>
      <c r="L16" s="432"/>
      <c r="M16" s="433"/>
      <c r="N16" s="426" t="s">
        <v>2014</v>
      </c>
      <c r="O16" s="434">
        <v>0.04</v>
      </c>
    </row>
    <row r="17" spans="2:15">
      <c r="C17" s="477">
        <f>SUM(C3:C16)</f>
        <v>2.91</v>
      </c>
      <c r="D17" s="477">
        <f>SUM(D3:D16)</f>
        <v>3.0100000000000002</v>
      </c>
      <c r="E17" s="477">
        <f t="shared" ref="E17:G17" si="0">SUM(E3:E16)</f>
        <v>2.99</v>
      </c>
      <c r="F17" s="477">
        <f t="shared" si="0"/>
        <v>2.9800000000000004</v>
      </c>
      <c r="G17" s="477">
        <f t="shared" si="0"/>
        <v>2.9800000000000004</v>
      </c>
      <c r="H17" s="477">
        <f>SUM(H1:H16)</f>
        <v>3.6500000000000008</v>
      </c>
      <c r="I17" s="477">
        <f>SUM(I1:I16)</f>
        <v>2.65</v>
      </c>
      <c r="J17" s="477" t="e">
        <f>SUM(J3:J16)</f>
        <v>#N/A</v>
      </c>
    </row>
    <row r="19" spans="2:15" ht="15.75">
      <c r="B19" s="445" t="s">
        <v>2367</v>
      </c>
    </row>
    <row r="20" spans="2:15" ht="15.75" thickBot="1"/>
    <row r="21" spans="2:15" ht="15.75" thickBot="1">
      <c r="B21" s="440" t="s">
        <v>2340</v>
      </c>
      <c r="C21" s="551" t="s">
        <v>2363</v>
      </c>
      <c r="D21" s="552"/>
      <c r="E21" s="552"/>
      <c r="F21" s="552"/>
      <c r="G21" s="552"/>
      <c r="H21" s="553"/>
    </row>
    <row r="22" spans="2:15" ht="45.75" thickBot="1">
      <c r="B22" s="441" t="s">
        <v>2341</v>
      </c>
      <c r="C22" s="444" t="s">
        <v>2360</v>
      </c>
      <c r="D22" s="435" t="s">
        <v>1995</v>
      </c>
      <c r="E22" s="489" t="s">
        <v>2358</v>
      </c>
      <c r="F22" s="489" t="s">
        <v>2359</v>
      </c>
      <c r="G22" s="490" t="s">
        <v>2364</v>
      </c>
      <c r="H22" s="491" t="s">
        <v>2366</v>
      </c>
      <c r="I22" s="492" t="s">
        <v>2413</v>
      </c>
    </row>
    <row r="23" spans="2:15" ht="30">
      <c r="B23" s="563" t="s">
        <v>2317</v>
      </c>
      <c r="C23" s="405" t="s">
        <v>2004</v>
      </c>
      <c r="D23" s="418">
        <f>M9</f>
        <v>0.13</v>
      </c>
      <c r="E23" s="493">
        <v>369</v>
      </c>
      <c r="F23" s="494">
        <f>D23*E23</f>
        <v>47.97</v>
      </c>
      <c r="G23" s="549">
        <f>F23+F24+F25</f>
        <v>162.36000000000001</v>
      </c>
      <c r="H23" s="557">
        <f>G23/SUM(E23:E25)</f>
        <v>0.14666666666666667</v>
      </c>
      <c r="I23" s="567">
        <f>G23/$F$55</f>
        <v>8.1288927162397606E-2</v>
      </c>
      <c r="J23" s="383"/>
      <c r="K23" s="383"/>
      <c r="L23" s="383"/>
      <c r="M23" s="383"/>
      <c r="N23" s="383"/>
      <c r="O23" s="383"/>
    </row>
    <row r="24" spans="2:15">
      <c r="B24" s="564"/>
      <c r="C24" s="404" t="s">
        <v>2350</v>
      </c>
      <c r="D24" s="414">
        <f>M7</f>
        <v>0.2</v>
      </c>
      <c r="E24" s="495">
        <v>369</v>
      </c>
      <c r="F24" s="496">
        <f t="shared" ref="F24:F52" si="1">D24*E24</f>
        <v>73.8</v>
      </c>
      <c r="G24" s="550"/>
      <c r="H24" s="558"/>
      <c r="I24" s="568"/>
      <c r="J24" s="383"/>
      <c r="K24" s="383"/>
      <c r="L24" s="383"/>
      <c r="M24" s="383"/>
      <c r="N24" s="383"/>
      <c r="O24" s="383"/>
    </row>
    <row r="25" spans="2:15" ht="15.75" thickBot="1">
      <c r="B25" s="565"/>
      <c r="C25" s="406" t="s">
        <v>2006</v>
      </c>
      <c r="D25" s="415">
        <f>M10</f>
        <v>0.11</v>
      </c>
      <c r="E25" s="497">
        <v>369</v>
      </c>
      <c r="F25" s="498">
        <f t="shared" si="1"/>
        <v>40.590000000000003</v>
      </c>
      <c r="G25" s="550"/>
      <c r="H25" s="558"/>
      <c r="I25" s="568"/>
      <c r="J25" s="383"/>
      <c r="K25" s="383"/>
      <c r="L25" s="383"/>
      <c r="M25" s="383"/>
      <c r="N25" s="383"/>
      <c r="O25" s="383"/>
    </row>
    <row r="26" spans="2:15" ht="15.75" thickBot="1">
      <c r="B26" s="442" t="s">
        <v>2318</v>
      </c>
      <c r="C26" s="409"/>
      <c r="D26" s="416"/>
      <c r="E26" s="499"/>
      <c r="F26" s="500"/>
      <c r="G26" s="501">
        <f>F26</f>
        <v>0</v>
      </c>
      <c r="H26" s="502"/>
      <c r="I26" s="503">
        <f>G26/$F$55</f>
        <v>0</v>
      </c>
      <c r="J26" s="383"/>
      <c r="K26" s="383"/>
      <c r="L26" s="383"/>
      <c r="M26" s="383"/>
      <c r="N26" s="383"/>
      <c r="O26" s="383"/>
    </row>
    <row r="27" spans="2:15" ht="15.75" thickBot="1">
      <c r="B27" s="442" t="s">
        <v>2319</v>
      </c>
      <c r="C27" s="408" t="s">
        <v>1997</v>
      </c>
      <c r="D27" s="417">
        <f>M4</f>
        <v>0.56000000000000005</v>
      </c>
      <c r="E27" s="499">
        <v>369</v>
      </c>
      <c r="F27" s="500">
        <f t="shared" si="1"/>
        <v>206.64000000000001</v>
      </c>
      <c r="G27" s="501">
        <f>F27</f>
        <v>206.64000000000001</v>
      </c>
      <c r="H27" s="502">
        <f>G27/E27</f>
        <v>0.56000000000000005</v>
      </c>
      <c r="I27" s="503">
        <f>G27/$F$55</f>
        <v>0.10345863457032424</v>
      </c>
      <c r="J27" s="383"/>
      <c r="K27" s="383"/>
      <c r="L27" s="383"/>
      <c r="M27" s="383"/>
      <c r="N27" s="383"/>
      <c r="O27" s="383"/>
    </row>
    <row r="28" spans="2:15" ht="30.75" thickBot="1">
      <c r="B28" s="442" t="s">
        <v>2320</v>
      </c>
      <c r="C28" s="408" t="s">
        <v>2351</v>
      </c>
      <c r="D28" s="417">
        <f>M14</f>
        <v>0.14000000000000001</v>
      </c>
      <c r="E28" s="499">
        <v>369</v>
      </c>
      <c r="F28" s="500">
        <f t="shared" si="1"/>
        <v>51.660000000000004</v>
      </c>
      <c r="G28" s="504">
        <f>F28</f>
        <v>51.660000000000004</v>
      </c>
      <c r="H28" s="505">
        <f>G28/E28</f>
        <v>0.14000000000000001</v>
      </c>
      <c r="I28" s="506">
        <f>G28/$F$55</f>
        <v>2.586465864258106E-2</v>
      </c>
      <c r="J28" s="383"/>
      <c r="K28" s="383"/>
      <c r="L28" s="383"/>
      <c r="M28" s="383"/>
      <c r="N28" s="383"/>
      <c r="O28" s="383"/>
    </row>
    <row r="29" spans="2:15" ht="30.75" thickBot="1">
      <c r="B29" s="443" t="s">
        <v>2321</v>
      </c>
      <c r="C29" s="436" t="s">
        <v>2353</v>
      </c>
      <c r="D29" s="421">
        <f>M13</f>
        <v>0.12</v>
      </c>
      <c r="E29" s="507">
        <v>369</v>
      </c>
      <c r="F29" s="508">
        <f t="shared" si="1"/>
        <v>44.28</v>
      </c>
      <c r="G29" s="509">
        <f>F29</f>
        <v>44.28</v>
      </c>
      <c r="H29" s="510">
        <f>G29/E29</f>
        <v>0.12000000000000001</v>
      </c>
      <c r="I29" s="511">
        <f>G29/$F$55</f>
        <v>2.216970740792662E-2</v>
      </c>
      <c r="J29" s="383"/>
      <c r="K29" s="383"/>
      <c r="L29" s="383"/>
      <c r="M29" s="383"/>
      <c r="N29" s="383"/>
      <c r="O29" s="383"/>
    </row>
    <row r="30" spans="2:15" ht="30">
      <c r="B30" s="563" t="s">
        <v>2339</v>
      </c>
      <c r="C30" s="405" t="s">
        <v>2352</v>
      </c>
      <c r="D30" s="418">
        <f>M8</f>
        <v>0.17</v>
      </c>
      <c r="E30" s="493">
        <v>369</v>
      </c>
      <c r="F30" s="494">
        <f t="shared" si="1"/>
        <v>62.730000000000004</v>
      </c>
      <c r="G30" s="554">
        <f>F30+F31</f>
        <v>129.15</v>
      </c>
      <c r="H30" s="557">
        <f>G30/SUM(E30:E31)</f>
        <v>0.17500000000000002</v>
      </c>
      <c r="I30" s="567">
        <f>G30/$F$55</f>
        <v>6.4661646606452641E-2</v>
      </c>
      <c r="J30" s="383"/>
      <c r="K30" s="383"/>
      <c r="L30" s="383"/>
      <c r="M30" s="383"/>
      <c r="N30" s="383"/>
      <c r="O30" s="383"/>
    </row>
    <row r="31" spans="2:15" ht="15.75" thickBot="1">
      <c r="B31" s="566"/>
      <c r="C31" s="407" t="s">
        <v>2349</v>
      </c>
      <c r="D31" s="419">
        <f>M11</f>
        <v>0.18</v>
      </c>
      <c r="E31" s="512">
        <v>369</v>
      </c>
      <c r="F31" s="513">
        <f t="shared" si="1"/>
        <v>66.42</v>
      </c>
      <c r="G31" s="556"/>
      <c r="H31" s="559"/>
      <c r="I31" s="569"/>
      <c r="J31" s="383"/>
      <c r="K31" s="383"/>
      <c r="L31" s="383"/>
      <c r="M31" s="383"/>
      <c r="N31" s="383"/>
      <c r="O31" s="383"/>
    </row>
    <row r="32" spans="2:15">
      <c r="B32" s="563" t="s">
        <v>2323</v>
      </c>
      <c r="C32" s="405" t="s">
        <v>1999</v>
      </c>
      <c r="D32" s="418">
        <f>M5</f>
        <v>0.44</v>
      </c>
      <c r="E32" s="493">
        <v>369</v>
      </c>
      <c r="F32" s="494">
        <f t="shared" si="1"/>
        <v>162.36000000000001</v>
      </c>
      <c r="G32" s="554">
        <f>F32+F33+F34+F35</f>
        <v>283.68</v>
      </c>
      <c r="H32" s="557">
        <f>G32/SUM(E32:E35)</f>
        <v>0.20176386913229019</v>
      </c>
      <c r="I32" s="567">
        <f>G32/$F$55</f>
        <v>0.14203032062964371</v>
      </c>
      <c r="J32" s="383"/>
      <c r="K32" s="383"/>
      <c r="L32" s="383"/>
      <c r="M32" s="383"/>
      <c r="N32" s="383"/>
      <c r="O32" s="383"/>
    </row>
    <row r="33" spans="2:15">
      <c r="B33" s="564"/>
      <c r="C33" s="404" t="s">
        <v>2012</v>
      </c>
      <c r="D33" s="414">
        <f>M15</f>
        <v>0.05</v>
      </c>
      <c r="E33" s="495">
        <v>369</v>
      </c>
      <c r="F33" s="496">
        <f t="shared" si="1"/>
        <v>18.45</v>
      </c>
      <c r="G33" s="555"/>
      <c r="H33" s="558"/>
      <c r="I33" s="568"/>
      <c r="J33" s="383"/>
      <c r="K33" s="383"/>
      <c r="L33" s="383"/>
      <c r="M33" s="383"/>
      <c r="N33" s="383"/>
      <c r="O33" s="383"/>
    </row>
    <row r="34" spans="2:15">
      <c r="B34" s="564"/>
      <c r="C34" s="404" t="s">
        <v>2348</v>
      </c>
      <c r="D34" s="414">
        <f>M12</f>
        <v>0.06</v>
      </c>
      <c r="E34" s="495">
        <v>369</v>
      </c>
      <c r="F34" s="496">
        <f t="shared" si="1"/>
        <v>22.14</v>
      </c>
      <c r="G34" s="555"/>
      <c r="H34" s="558"/>
      <c r="I34" s="568"/>
      <c r="J34" s="383"/>
      <c r="K34" s="383"/>
      <c r="L34" s="383"/>
      <c r="M34" s="383"/>
      <c r="N34" s="383"/>
      <c r="O34" s="383"/>
    </row>
    <row r="35" spans="2:15" ht="15.75" thickBot="1">
      <c r="B35" s="566"/>
      <c r="C35" s="403" t="s">
        <v>2007</v>
      </c>
      <c r="D35" s="419">
        <f>O10</f>
        <v>0.27</v>
      </c>
      <c r="E35" s="512">
        <v>299</v>
      </c>
      <c r="F35" s="513">
        <f t="shared" si="1"/>
        <v>80.73</v>
      </c>
      <c r="G35" s="556"/>
      <c r="H35" s="559"/>
      <c r="I35" s="569"/>
      <c r="J35" s="383"/>
      <c r="K35" s="383"/>
      <c r="L35" s="383"/>
      <c r="M35" s="383"/>
      <c r="N35" s="383"/>
      <c r="O35" s="383"/>
    </row>
    <row r="36" spans="2:15" ht="15.75" thickBot="1">
      <c r="B36" s="442" t="s">
        <v>2331</v>
      </c>
      <c r="C36" s="408" t="s">
        <v>2346</v>
      </c>
      <c r="D36" s="417">
        <f>M6</f>
        <v>0.25</v>
      </c>
      <c r="E36" s="499">
        <v>369</v>
      </c>
      <c r="F36" s="500">
        <f t="shared" si="1"/>
        <v>92.25</v>
      </c>
      <c r="G36" s="504">
        <f>F36</f>
        <v>92.25</v>
      </c>
      <c r="H36" s="505">
        <f>G36/E36</f>
        <v>0.25</v>
      </c>
      <c r="I36" s="506">
        <f>G36/$F$55</f>
        <v>4.6186890433180458E-2</v>
      </c>
      <c r="J36" s="383"/>
      <c r="K36" s="383"/>
      <c r="L36" s="383"/>
      <c r="M36" s="383"/>
      <c r="N36" s="383"/>
      <c r="O36" s="383"/>
    </row>
    <row r="37" spans="2:15" ht="15.75" thickBot="1">
      <c r="B37" s="442" t="s">
        <v>2332</v>
      </c>
      <c r="C37" s="408" t="s">
        <v>2347</v>
      </c>
      <c r="D37" s="417">
        <f>M3</f>
        <v>0.57999999999999996</v>
      </c>
      <c r="E37" s="499">
        <v>369</v>
      </c>
      <c r="F37" s="500">
        <f t="shared" si="1"/>
        <v>214.01999999999998</v>
      </c>
      <c r="G37" s="504">
        <f>F37</f>
        <v>214.01999999999998</v>
      </c>
      <c r="H37" s="505">
        <f>G37/E37</f>
        <v>0.57999999999999996</v>
      </c>
      <c r="I37" s="506">
        <f>G37/$F$55</f>
        <v>0.10715358580497865</v>
      </c>
      <c r="J37" s="383"/>
      <c r="K37" s="383"/>
      <c r="L37" s="383"/>
      <c r="M37" s="383"/>
      <c r="N37" s="383"/>
      <c r="O37" s="383"/>
    </row>
    <row r="38" spans="2:15" ht="15.75" thickBot="1">
      <c r="B38" s="442" t="s">
        <v>2324</v>
      </c>
      <c r="C38" s="437" t="s">
        <v>2009</v>
      </c>
      <c r="D38" s="417">
        <f>O12</f>
        <v>0.27</v>
      </c>
      <c r="E38" s="499">
        <v>299</v>
      </c>
      <c r="F38" s="500">
        <f t="shared" si="1"/>
        <v>80.73</v>
      </c>
      <c r="G38" s="504">
        <f>F38</f>
        <v>80.73</v>
      </c>
      <c r="H38" s="505">
        <f>G38/E38</f>
        <v>0.27</v>
      </c>
      <c r="I38" s="506">
        <f>G38/$F$55</f>
        <v>4.0419161676646706E-2</v>
      </c>
      <c r="J38" s="383"/>
      <c r="K38" s="383"/>
      <c r="L38" s="383"/>
      <c r="M38" s="383"/>
      <c r="N38" s="383"/>
      <c r="O38" s="383"/>
    </row>
    <row r="39" spans="2:15">
      <c r="B39" s="560" t="s">
        <v>2325</v>
      </c>
      <c r="C39" s="410" t="s">
        <v>2003</v>
      </c>
      <c r="D39" s="421">
        <f>O8</f>
        <v>0.24</v>
      </c>
      <c r="E39" s="493">
        <v>299</v>
      </c>
      <c r="F39" s="494">
        <f t="shared" si="1"/>
        <v>71.759999999999991</v>
      </c>
      <c r="G39" s="554">
        <f>F39+F42</f>
        <v>116.60999999999999</v>
      </c>
      <c r="H39" s="557">
        <f>G39/SUM(E39:E42)</f>
        <v>0.19499999999999998</v>
      </c>
      <c r="I39" s="567">
        <f>G39/$F$55</f>
        <v>5.838323353293412E-2</v>
      </c>
      <c r="J39" s="383"/>
      <c r="K39" s="383"/>
      <c r="L39" s="383"/>
      <c r="M39" s="383"/>
      <c r="N39" s="383"/>
      <c r="O39" s="383"/>
    </row>
    <row r="40" spans="2:15">
      <c r="B40" s="561"/>
      <c r="E40" s="514"/>
      <c r="F40" s="514"/>
      <c r="G40" s="555"/>
      <c r="H40" s="558"/>
      <c r="I40" s="568"/>
      <c r="J40" s="383"/>
      <c r="K40" s="383"/>
      <c r="L40" s="383"/>
      <c r="M40" s="383"/>
      <c r="N40" s="383"/>
      <c r="O40" s="383"/>
    </row>
    <row r="41" spans="2:15">
      <c r="B41" s="561"/>
      <c r="E41" s="514"/>
      <c r="F41" s="514"/>
      <c r="G41" s="555"/>
      <c r="H41" s="558"/>
      <c r="I41" s="568"/>
      <c r="J41" s="383"/>
      <c r="K41" s="383"/>
      <c r="L41" s="383"/>
      <c r="M41" s="383"/>
      <c r="N41" s="383"/>
      <c r="O41" s="383"/>
    </row>
    <row r="42" spans="2:15" ht="15.75" thickBot="1">
      <c r="B42" s="562"/>
      <c r="C42" s="412" t="s">
        <v>2010</v>
      </c>
      <c r="D42" s="422">
        <f>O13</f>
        <v>0.15</v>
      </c>
      <c r="E42" s="512">
        <v>299</v>
      </c>
      <c r="F42" s="513">
        <f t="shared" si="1"/>
        <v>44.85</v>
      </c>
      <c r="G42" s="556"/>
      <c r="H42" s="559"/>
      <c r="I42" s="569"/>
      <c r="J42" s="383"/>
      <c r="K42" s="383"/>
      <c r="L42" s="383"/>
      <c r="M42" s="383"/>
      <c r="N42" s="383"/>
      <c r="O42" s="383"/>
    </row>
    <row r="43" spans="2:15">
      <c r="B43" s="560" t="s">
        <v>2326</v>
      </c>
      <c r="C43" s="410" t="s">
        <v>2002</v>
      </c>
      <c r="D43" s="421">
        <f>O7</f>
        <v>0.2</v>
      </c>
      <c r="E43" s="493">
        <v>299</v>
      </c>
      <c r="F43" s="494">
        <f t="shared" si="1"/>
        <v>59.800000000000004</v>
      </c>
      <c r="G43" s="554">
        <f>F43+F44+F45+F46+F47</f>
        <v>310.95999999999998</v>
      </c>
      <c r="H43" s="557">
        <f>G43/SUM(E43:E47)</f>
        <v>0.20799999999999999</v>
      </c>
      <c r="I43" s="567">
        <f>G43/$F$55</f>
        <v>0.155688622754491</v>
      </c>
      <c r="J43" s="383"/>
      <c r="K43" s="383"/>
      <c r="L43" s="383"/>
      <c r="M43" s="383"/>
      <c r="N43" s="383"/>
      <c r="O43" s="383"/>
    </row>
    <row r="44" spans="2:15">
      <c r="B44" s="561"/>
      <c r="C44" s="411" t="s">
        <v>2000</v>
      </c>
      <c r="D44" s="420">
        <f>O5</f>
        <v>0.3</v>
      </c>
      <c r="E44" s="495">
        <v>299</v>
      </c>
      <c r="F44" s="496">
        <f t="shared" si="1"/>
        <v>89.7</v>
      </c>
      <c r="G44" s="555"/>
      <c r="H44" s="558"/>
      <c r="I44" s="568"/>
      <c r="J44" s="383"/>
      <c r="K44" s="383"/>
      <c r="L44" s="383"/>
      <c r="M44" s="383"/>
      <c r="N44" s="383"/>
      <c r="O44" s="383"/>
    </row>
    <row r="45" spans="2:15">
      <c r="B45" s="561"/>
      <c r="C45" s="411" t="s">
        <v>2005</v>
      </c>
      <c r="D45" s="420">
        <f>O9</f>
        <v>0.28999999999999998</v>
      </c>
      <c r="E45" s="495">
        <v>299</v>
      </c>
      <c r="F45" s="496">
        <f>D45*E45</f>
        <v>86.71</v>
      </c>
      <c r="G45" s="555"/>
      <c r="H45" s="558"/>
      <c r="I45" s="568"/>
      <c r="J45" s="383"/>
      <c r="K45" s="383"/>
      <c r="L45" s="383"/>
      <c r="M45" s="383"/>
      <c r="N45" s="383"/>
      <c r="O45" s="383"/>
    </row>
    <row r="46" spans="2:15">
      <c r="B46" s="561"/>
      <c r="C46" s="411" t="s">
        <v>2013</v>
      </c>
      <c r="D46" s="420">
        <f>O15</f>
        <v>0.14000000000000001</v>
      </c>
      <c r="E46" s="495">
        <v>299</v>
      </c>
      <c r="F46" s="496">
        <f>D46*E46</f>
        <v>41.860000000000007</v>
      </c>
      <c r="G46" s="555"/>
      <c r="H46" s="558"/>
      <c r="I46" s="568"/>
      <c r="J46" s="383"/>
      <c r="K46" s="383"/>
      <c r="L46" s="383"/>
      <c r="M46" s="383"/>
      <c r="N46" s="383"/>
      <c r="O46" s="383"/>
    </row>
    <row r="47" spans="2:15" ht="15.75" thickBot="1">
      <c r="B47" s="561"/>
      <c r="C47" s="411" t="s">
        <v>2008</v>
      </c>
      <c r="D47" s="420">
        <f>O11</f>
        <v>0.11</v>
      </c>
      <c r="E47" s="497">
        <v>299</v>
      </c>
      <c r="F47" s="498">
        <f t="shared" si="1"/>
        <v>32.89</v>
      </c>
      <c r="G47" s="555"/>
      <c r="H47" s="558"/>
      <c r="I47" s="568"/>
      <c r="J47" s="383"/>
      <c r="K47" s="383"/>
      <c r="L47" s="383"/>
      <c r="M47" s="383"/>
      <c r="N47" s="383"/>
      <c r="O47" s="383"/>
    </row>
    <row r="48" spans="2:15" ht="30">
      <c r="B48" s="560" t="s">
        <v>2327</v>
      </c>
      <c r="C48" s="410" t="s">
        <v>1996</v>
      </c>
      <c r="D48" s="421">
        <f>O3</f>
        <v>0.28000000000000003</v>
      </c>
      <c r="E48" s="493">
        <v>299</v>
      </c>
      <c r="F48" s="494">
        <f t="shared" si="1"/>
        <v>83.720000000000013</v>
      </c>
      <c r="G48" s="554">
        <f>F48+F49+F50+F51</f>
        <v>212.29000000000005</v>
      </c>
      <c r="H48" s="557">
        <f>G48/SUM(E48:E51)</f>
        <v>0.17750000000000005</v>
      </c>
      <c r="I48" s="567">
        <f>G48/$F$55</f>
        <v>0.10628742514970062</v>
      </c>
    </row>
    <row r="49" spans="2:9" ht="30">
      <c r="B49" s="561"/>
      <c r="C49" s="411" t="s">
        <v>2001</v>
      </c>
      <c r="D49" s="420">
        <f>O6</f>
        <v>0.28000000000000003</v>
      </c>
      <c r="E49" s="495">
        <v>299</v>
      </c>
      <c r="F49" s="496">
        <f t="shared" si="1"/>
        <v>83.720000000000013</v>
      </c>
      <c r="G49" s="555"/>
      <c r="H49" s="558"/>
      <c r="I49" s="568"/>
    </row>
    <row r="50" spans="2:9">
      <c r="B50" s="561"/>
      <c r="C50" s="411" t="s">
        <v>2011</v>
      </c>
      <c r="D50" s="420">
        <f>O14</f>
        <v>0.11</v>
      </c>
      <c r="E50" s="495">
        <v>299</v>
      </c>
      <c r="F50" s="496">
        <f t="shared" si="1"/>
        <v>32.89</v>
      </c>
      <c r="G50" s="555"/>
      <c r="H50" s="558"/>
      <c r="I50" s="568"/>
    </row>
    <row r="51" spans="2:9" ht="15.75" thickBot="1">
      <c r="B51" s="562"/>
      <c r="C51" s="412" t="s">
        <v>2014</v>
      </c>
      <c r="D51" s="422">
        <f>O16</f>
        <v>0.04</v>
      </c>
      <c r="E51" s="512">
        <v>299</v>
      </c>
      <c r="F51" s="513">
        <f t="shared" si="1"/>
        <v>11.96</v>
      </c>
      <c r="G51" s="556"/>
      <c r="H51" s="559"/>
      <c r="I51" s="569"/>
    </row>
    <row r="52" spans="2:9" ht="15.75" thickBot="1">
      <c r="B52" s="442" t="s">
        <v>2328</v>
      </c>
      <c r="C52" s="437" t="s">
        <v>1998</v>
      </c>
      <c r="D52" s="417">
        <f>O4</f>
        <v>0.31</v>
      </c>
      <c r="E52" s="499">
        <v>299</v>
      </c>
      <c r="F52" s="500">
        <f t="shared" si="1"/>
        <v>92.69</v>
      </c>
      <c r="G52" s="504">
        <f>F52</f>
        <v>92.69</v>
      </c>
      <c r="H52" s="505">
        <f>G52/E52</f>
        <v>0.31</v>
      </c>
      <c r="I52" s="506">
        <f>G52/$F$55</f>
        <v>4.6407185628742513E-2</v>
      </c>
    </row>
    <row r="53" spans="2:9" ht="15.75" thickBot="1">
      <c r="D53" s="402"/>
      <c r="E53" s="515" t="s">
        <v>2361</v>
      </c>
      <c r="F53" s="516">
        <f>F23+F24+F25+F27+F28+F29+F30+F31+F32+F33+F34+F36+F37</f>
        <v>1103.31</v>
      </c>
      <c r="G53" s="517">
        <f>SUM(G23:G52)</f>
        <v>1997.32</v>
      </c>
      <c r="H53" s="514"/>
      <c r="I53" s="518">
        <f>SUM(I23:I52)</f>
        <v>0.99999999999999989</v>
      </c>
    </row>
    <row r="54" spans="2:9" ht="15.75" thickBot="1">
      <c r="D54" s="402"/>
      <c r="E54" s="519" t="s">
        <v>2362</v>
      </c>
      <c r="F54" s="520">
        <f>F35+F38+F39+F45+F46+F42+F43+F44+F47+F48+F49+F50+F51+F52</f>
        <v>894.01000000000022</v>
      </c>
      <c r="G54" s="514"/>
      <c r="H54" s="514"/>
      <c r="I54" s="514"/>
    </row>
    <row r="55" spans="2:9" ht="15.75" thickBot="1">
      <c r="D55" s="402"/>
      <c r="E55" s="521" t="s">
        <v>2365</v>
      </c>
      <c r="F55" s="516">
        <f>F54+F53</f>
        <v>1997.3200000000002</v>
      </c>
      <c r="G55" s="514"/>
      <c r="H55" s="514"/>
      <c r="I55" s="514"/>
    </row>
    <row r="57" spans="2:9">
      <c r="B57" t="s">
        <v>2342</v>
      </c>
    </row>
    <row r="58" spans="2:9">
      <c r="B58" t="s">
        <v>2343</v>
      </c>
    </row>
    <row r="59" spans="2:9">
      <c r="B59" t="s">
        <v>2344</v>
      </c>
    </row>
    <row r="60" spans="2:9">
      <c r="B60" t="s">
        <v>2345</v>
      </c>
    </row>
  </sheetData>
  <mergeCells count="26">
    <mergeCell ref="I23:I25"/>
    <mergeCell ref="I30:I31"/>
    <mergeCell ref="I32:I35"/>
    <mergeCell ref="I39:I42"/>
    <mergeCell ref="I43:I47"/>
    <mergeCell ref="B30:B31"/>
    <mergeCell ref="B32:B35"/>
    <mergeCell ref="B39:B42"/>
    <mergeCell ref="B43:B47"/>
    <mergeCell ref="I48:I51"/>
    <mergeCell ref="A1:G1"/>
    <mergeCell ref="G23:G25"/>
    <mergeCell ref="C21:H21"/>
    <mergeCell ref="G48:G51"/>
    <mergeCell ref="G43:G47"/>
    <mergeCell ref="G39:G42"/>
    <mergeCell ref="G32:G35"/>
    <mergeCell ref="G30:G31"/>
    <mergeCell ref="H48:H51"/>
    <mergeCell ref="H23:H25"/>
    <mergeCell ref="H30:H31"/>
    <mergeCell ref="H32:H35"/>
    <mergeCell ref="H39:H42"/>
    <mergeCell ref="H43:H47"/>
    <mergeCell ref="B48:B51"/>
    <mergeCell ref="B23:B25"/>
  </mergeCells>
  <pageMargins left="0.7" right="0.7" top="0.75" bottom="0.75" header="0.3" footer="0.3"/>
  <pageSetup paperSize="32767" orientation="portrait" r:id="rId1"/>
  <legacyDrawing r:id="rId2"/>
</worksheet>
</file>

<file path=xl/worksheets/sheet22.xml><?xml version="1.0" encoding="utf-8"?>
<worksheet xmlns="http://schemas.openxmlformats.org/spreadsheetml/2006/main" xmlns:r="http://schemas.openxmlformats.org/officeDocument/2006/relationships">
  <dimension ref="B1:I25"/>
  <sheetViews>
    <sheetView zoomScale="70" zoomScaleNormal="70" workbookViewId="0">
      <selection activeCell="H7" sqref="H7"/>
    </sheetView>
  </sheetViews>
  <sheetFormatPr defaultRowHeight="15"/>
  <cols>
    <col min="2" max="2" width="15.5703125" customWidth="1"/>
    <col min="3" max="3" width="14.28515625" customWidth="1"/>
    <col min="4" max="4" width="43.85546875" customWidth="1"/>
    <col min="5" max="5" width="11.28515625" bestFit="1" customWidth="1"/>
    <col min="6" max="6" width="11.85546875" customWidth="1"/>
    <col min="7" max="7" width="12.7109375" style="161" customWidth="1"/>
  </cols>
  <sheetData>
    <row r="1" spans="2:7" ht="15.75" thickBot="1"/>
    <row r="2" spans="2:7" ht="48" thickBot="1">
      <c r="B2" s="328" t="s">
        <v>2207</v>
      </c>
      <c r="C2" s="329" t="s">
        <v>2017</v>
      </c>
      <c r="D2" s="329" t="s">
        <v>2208</v>
      </c>
      <c r="E2" s="338" t="s">
        <v>2209</v>
      </c>
      <c r="F2" s="338" t="s">
        <v>2210</v>
      </c>
      <c r="G2" s="343" t="s">
        <v>2214</v>
      </c>
    </row>
    <row r="3" spans="2:7" ht="16.5" thickBot="1">
      <c r="B3" s="330"/>
      <c r="C3" s="331"/>
      <c r="D3" s="331"/>
      <c r="E3" s="332" t="s">
        <v>2211</v>
      </c>
      <c r="F3" s="332" t="s">
        <v>2211</v>
      </c>
    </row>
    <row r="4" spans="2:7" ht="16.5" thickBot="1">
      <c r="B4" s="333" t="s">
        <v>526</v>
      </c>
      <c r="C4" s="334" t="s">
        <v>527</v>
      </c>
      <c r="D4" s="334" t="s">
        <v>528</v>
      </c>
      <c r="E4" s="332">
        <v>18</v>
      </c>
      <c r="F4" s="332">
        <v>5</v>
      </c>
      <c r="G4" s="344">
        <f>(F4-E4)/E4</f>
        <v>-0.72222222222222221</v>
      </c>
    </row>
    <row r="5" spans="2:7" ht="16.5" thickBot="1">
      <c r="B5" s="335" t="s">
        <v>1871</v>
      </c>
      <c r="C5" s="336" t="s">
        <v>1870</v>
      </c>
      <c r="D5" s="336" t="s">
        <v>1868</v>
      </c>
      <c r="E5" s="337">
        <v>25</v>
      </c>
      <c r="F5" s="337">
        <v>29</v>
      </c>
      <c r="G5" s="344">
        <f>(F5-E5)/E5</f>
        <v>0.16</v>
      </c>
    </row>
    <row r="6" spans="2:7" ht="15" customHeight="1" thickBot="1">
      <c r="B6" s="339" t="s">
        <v>432</v>
      </c>
      <c r="C6" s="339" t="s">
        <v>433</v>
      </c>
      <c r="D6" s="339" t="s">
        <v>434</v>
      </c>
      <c r="E6" s="340">
        <v>46</v>
      </c>
      <c r="F6" s="340">
        <v>68</v>
      </c>
      <c r="G6" s="344">
        <f>(F6-E6)/E6</f>
        <v>0.47826086956521741</v>
      </c>
    </row>
    <row r="7" spans="2:7" ht="15" customHeight="1">
      <c r="B7" s="341" t="s">
        <v>2086</v>
      </c>
      <c r="C7" s="341" t="s">
        <v>2085</v>
      </c>
      <c r="D7" s="341" t="s">
        <v>2084</v>
      </c>
      <c r="E7" s="342">
        <v>9</v>
      </c>
      <c r="F7" s="342" t="s">
        <v>2212</v>
      </c>
      <c r="G7" s="344" t="s">
        <v>2215</v>
      </c>
    </row>
    <row r="8" spans="2:7" ht="16.5" thickBot="1">
      <c r="B8" s="333" t="s">
        <v>1664</v>
      </c>
      <c r="C8" s="334" t="s">
        <v>423</v>
      </c>
      <c r="D8" s="334" t="s">
        <v>424</v>
      </c>
      <c r="E8" s="332">
        <v>23</v>
      </c>
      <c r="F8" s="332">
        <v>34</v>
      </c>
      <c r="G8" s="344">
        <f>(F8-E8)/E8</f>
        <v>0.47826086956521741</v>
      </c>
    </row>
    <row r="9" spans="2:7" ht="16.5" thickBot="1">
      <c r="B9" s="335" t="s">
        <v>328</v>
      </c>
      <c r="C9" s="336" t="s">
        <v>2116</v>
      </c>
      <c r="D9" s="336" t="s">
        <v>398</v>
      </c>
      <c r="E9" s="337">
        <v>20</v>
      </c>
      <c r="F9" s="337">
        <v>26</v>
      </c>
      <c r="G9" s="344">
        <f>(F9-E9)/E9</f>
        <v>0.3</v>
      </c>
    </row>
    <row r="10" spans="2:7" ht="16.5" thickBot="1">
      <c r="B10" s="335" t="s">
        <v>2132</v>
      </c>
      <c r="C10" s="336" t="s">
        <v>578</v>
      </c>
      <c r="D10" s="336" t="s">
        <v>579</v>
      </c>
      <c r="E10" s="337">
        <v>28</v>
      </c>
      <c r="F10" s="337">
        <v>25</v>
      </c>
      <c r="G10" s="344">
        <f>(F10-E10)/E10</f>
        <v>-0.10714285714285714</v>
      </c>
    </row>
    <row r="11" spans="2:7" ht="16.5" thickBot="1">
      <c r="B11" s="333" t="s">
        <v>2114</v>
      </c>
      <c r="C11" s="334" t="s">
        <v>426</v>
      </c>
      <c r="D11" s="334" t="s">
        <v>427</v>
      </c>
      <c r="E11" s="332" t="s">
        <v>2212</v>
      </c>
      <c r="F11" s="332">
        <v>68</v>
      </c>
      <c r="G11" s="344" t="s">
        <v>2215</v>
      </c>
    </row>
    <row r="12" spans="2:7" ht="16.5" thickBot="1">
      <c r="B12" s="335" t="s">
        <v>2113</v>
      </c>
      <c r="C12" s="336" t="s">
        <v>559</v>
      </c>
      <c r="D12" s="336" t="s">
        <v>560</v>
      </c>
      <c r="E12" s="337">
        <v>22</v>
      </c>
      <c r="F12" s="337">
        <v>33</v>
      </c>
      <c r="G12" s="344">
        <f>(F12-E12)/E12</f>
        <v>0.5</v>
      </c>
    </row>
    <row r="13" spans="2:7" ht="32.25" thickBot="1">
      <c r="B13" s="333" t="s">
        <v>1654</v>
      </c>
      <c r="C13" s="334" t="s">
        <v>581</v>
      </c>
      <c r="D13" s="334" t="s">
        <v>582</v>
      </c>
      <c r="E13" s="332" t="s">
        <v>2213</v>
      </c>
      <c r="F13" s="332"/>
      <c r="G13" s="161" t="s">
        <v>2215</v>
      </c>
    </row>
    <row r="14" spans="2:7" ht="16.5" thickBot="1">
      <c r="B14" s="335" t="s">
        <v>677</v>
      </c>
      <c r="C14" s="336" t="s">
        <v>501</v>
      </c>
      <c r="D14" s="336" t="s">
        <v>502</v>
      </c>
      <c r="E14" s="337">
        <v>9</v>
      </c>
      <c r="F14" s="337">
        <v>1</v>
      </c>
      <c r="G14" s="344">
        <f>(F14-E14)/E14</f>
        <v>-0.88888888888888884</v>
      </c>
    </row>
    <row r="15" spans="2:7" ht="15.75" thickBot="1"/>
    <row r="16" spans="2:7" ht="48" thickBot="1">
      <c r="B16" s="328" t="s">
        <v>2207</v>
      </c>
      <c r="C16" s="329" t="s">
        <v>2017</v>
      </c>
      <c r="D16" s="349" t="s">
        <v>2208</v>
      </c>
      <c r="E16" s="338" t="s">
        <v>2209</v>
      </c>
      <c r="F16" s="338" t="s">
        <v>2210</v>
      </c>
      <c r="G16" s="346" t="s">
        <v>2214</v>
      </c>
    </row>
    <row r="17" spans="2:9" ht="16.5" thickBot="1">
      <c r="B17" s="330"/>
      <c r="C17" s="331"/>
      <c r="D17" s="350"/>
      <c r="E17" s="332" t="s">
        <v>2211</v>
      </c>
      <c r="F17" s="332" t="s">
        <v>2211</v>
      </c>
      <c r="G17" s="347"/>
    </row>
    <row r="18" spans="2:9" ht="16.5" thickBot="1">
      <c r="B18" s="333" t="s">
        <v>526</v>
      </c>
      <c r="C18" s="334" t="s">
        <v>527</v>
      </c>
      <c r="D18" s="351"/>
      <c r="E18" s="332">
        <v>18</v>
      </c>
      <c r="F18" s="332">
        <v>5</v>
      </c>
      <c r="G18" s="348">
        <f t="shared" ref="G18:G25" si="0">(F18-E18)/E18</f>
        <v>-0.72222222222222221</v>
      </c>
      <c r="H18" s="353">
        <v>-9.9999999999999994E-12</v>
      </c>
      <c r="I18" s="334" t="s">
        <v>528</v>
      </c>
    </row>
    <row r="19" spans="2:9" ht="16.5" thickBot="1">
      <c r="B19" s="335" t="s">
        <v>1871</v>
      </c>
      <c r="C19" s="336" t="s">
        <v>1870</v>
      </c>
      <c r="D19" s="351"/>
      <c r="E19" s="337">
        <v>25</v>
      </c>
      <c r="F19" s="337">
        <v>29</v>
      </c>
      <c r="G19" s="348">
        <f t="shared" si="0"/>
        <v>0.16</v>
      </c>
      <c r="H19" s="353">
        <v>1.0000000000000001E-9</v>
      </c>
      <c r="I19" s="336" t="s">
        <v>1868</v>
      </c>
    </row>
    <row r="20" spans="2:9" ht="15.75">
      <c r="B20" s="339" t="s">
        <v>432</v>
      </c>
      <c r="C20" s="339" t="s">
        <v>433</v>
      </c>
      <c r="D20" s="352"/>
      <c r="E20" s="340">
        <v>46</v>
      </c>
      <c r="F20" s="340">
        <v>68</v>
      </c>
      <c r="G20" s="348">
        <f t="shared" si="0"/>
        <v>0.47826086956521741</v>
      </c>
      <c r="H20" s="353">
        <v>1.0000000000000001E-9</v>
      </c>
      <c r="I20" s="339" t="s">
        <v>434</v>
      </c>
    </row>
    <row r="21" spans="2:9" ht="16.5" thickBot="1">
      <c r="B21" s="333" t="s">
        <v>1664</v>
      </c>
      <c r="C21" s="334" t="s">
        <v>423</v>
      </c>
      <c r="D21" s="351"/>
      <c r="E21" s="332">
        <v>23</v>
      </c>
      <c r="F21" s="332">
        <v>34</v>
      </c>
      <c r="G21" s="348">
        <f t="shared" si="0"/>
        <v>0.47826086956521741</v>
      </c>
      <c r="H21" s="353">
        <v>1.0000000000000001E-9</v>
      </c>
      <c r="I21" s="334" t="s">
        <v>424</v>
      </c>
    </row>
    <row r="22" spans="2:9" ht="16.5" thickBot="1">
      <c r="B22" s="335" t="s">
        <v>328</v>
      </c>
      <c r="C22" s="336" t="s">
        <v>2116</v>
      </c>
      <c r="D22" s="351"/>
      <c r="E22" s="337">
        <v>20</v>
      </c>
      <c r="F22" s="337">
        <v>26</v>
      </c>
      <c r="G22" s="348">
        <f t="shared" si="0"/>
        <v>0.3</v>
      </c>
      <c r="H22" s="353">
        <v>1.0000000000000001E-9</v>
      </c>
      <c r="I22" s="336" t="s">
        <v>398</v>
      </c>
    </row>
    <row r="23" spans="2:9" ht="16.5" thickBot="1">
      <c r="B23" s="335" t="s">
        <v>2132</v>
      </c>
      <c r="C23" s="336" t="s">
        <v>578</v>
      </c>
      <c r="D23" s="351"/>
      <c r="E23" s="337">
        <v>28</v>
      </c>
      <c r="F23" s="337">
        <v>25</v>
      </c>
      <c r="G23" s="348">
        <f t="shared" si="0"/>
        <v>-0.10714285714285714</v>
      </c>
      <c r="H23" s="353">
        <v>-9.9999999999999994E-12</v>
      </c>
      <c r="I23" s="336" t="s">
        <v>579</v>
      </c>
    </row>
    <row r="24" spans="2:9" ht="16.5" thickBot="1">
      <c r="B24" s="335" t="s">
        <v>2113</v>
      </c>
      <c r="C24" s="336" t="s">
        <v>559</v>
      </c>
      <c r="D24" s="351"/>
      <c r="E24" s="337">
        <v>22</v>
      </c>
      <c r="F24" s="337">
        <v>33</v>
      </c>
      <c r="G24" s="348">
        <f t="shared" si="0"/>
        <v>0.5</v>
      </c>
      <c r="H24" s="353">
        <v>1.0000000000000001E-9</v>
      </c>
      <c r="I24" s="336" t="s">
        <v>560</v>
      </c>
    </row>
    <row r="25" spans="2:9" ht="16.5" thickBot="1">
      <c r="B25" s="335" t="s">
        <v>677</v>
      </c>
      <c r="C25" s="336" t="s">
        <v>501</v>
      </c>
      <c r="D25" s="351"/>
      <c r="E25" s="337">
        <v>9</v>
      </c>
      <c r="F25" s="337">
        <v>1</v>
      </c>
      <c r="G25" s="348">
        <f t="shared" si="0"/>
        <v>-0.88888888888888884</v>
      </c>
      <c r="H25" s="353">
        <v>-9.9999999999999994E-12</v>
      </c>
      <c r="I25" s="336" t="s">
        <v>502</v>
      </c>
    </row>
  </sheetData>
  <pageMargins left="0.7" right="0.7" top="0.75" bottom="0.75" header="0.3" footer="0.3"/>
  <pageSetup paperSize="256"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All</vt:lpstr>
      <vt:lpstr>charts</vt:lpstr>
      <vt:lpstr>bub All</vt:lpstr>
      <vt:lpstr>All Courses at Yale</vt:lpstr>
      <vt:lpstr>bub-Top5-Rank 1-3</vt:lpstr>
      <vt:lpstr>bub-Top5-Rank 3</vt:lpstr>
      <vt:lpstr>Economics</vt:lpstr>
      <vt:lpstr>EVST</vt:lpstr>
      <vt:lpstr>EEB + MCDB</vt:lpstr>
      <vt:lpstr>Engineering</vt:lpstr>
      <vt:lpstr>G&amp;G</vt:lpstr>
      <vt:lpstr>Public Health</vt:lpstr>
      <vt:lpstr>Law</vt:lpstr>
      <vt:lpstr>IR</vt:lpstr>
      <vt:lpstr>Arch</vt:lpstr>
      <vt:lpstr>Anth</vt:lpstr>
      <vt:lpstr>SOCY</vt:lpstr>
      <vt:lpstr>Psych</vt:lpstr>
      <vt:lpstr>Other</vt:lpstr>
      <vt:lpstr>Actual vs Survey skills</vt:lpstr>
      <vt:lpstr>FES Survey skills chart</vt:lpstr>
      <vt:lpstr>SOM-CourseDemand</vt:lpstr>
      <vt:lpstr>rel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naina</dc:creator>
  <cp:lastModifiedBy>ITS</cp:lastModifiedBy>
  <cp:lastPrinted>2010-10-19T20:04:23Z</cp:lastPrinted>
  <dcterms:created xsi:type="dcterms:W3CDTF">2007-11-01T21:26:58Z</dcterms:created>
  <dcterms:modified xsi:type="dcterms:W3CDTF">2011-05-17T13:19:00Z</dcterms:modified>
</cp:coreProperties>
</file>