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ashag\Box\Sustainability\Sustainability Data\REPORTS\2018 AASHE STARS\"/>
    </mc:Choice>
  </mc:AlternateContent>
  <bookViews>
    <workbookView xWindow="2475" yWindow="465" windowWidth="16725" windowHeight="6600" tabRatio="500" activeTab="1"/>
  </bookViews>
  <sheets>
    <sheet name="Sheet1" sheetId="1" r:id="rId1"/>
    <sheet name="AASHE Waste Data" sheetId="5" r:id="rId2"/>
    <sheet name="Formulas" sheetId="2" r:id="rId3"/>
    <sheet name="Vendor Contacts" sheetId="3" r:id="rId4"/>
    <sheet name="Green Events" sheetId="4" r:id="rId5"/>
  </sheets>
  <definedNames>
    <definedName name="_xlnm.Print_Area" localSheetId="0">Sheet1!$A$6:$O$79</definedName>
  </definedNames>
  <calcPr calcId="152511"/>
</workbook>
</file>

<file path=xl/calcChain.xml><?xml version="1.0" encoding="utf-8"?>
<calcChain xmlns="http://schemas.openxmlformats.org/spreadsheetml/2006/main">
  <c r="B16" i="5" l="1"/>
  <c r="B20" i="5"/>
  <c r="C4" i="5"/>
  <c r="B11" i="5"/>
  <c r="C11" i="5" s="1"/>
  <c r="B4" i="5"/>
  <c r="C5" i="5"/>
  <c r="C6" i="5"/>
  <c r="C7" i="5"/>
  <c r="C8" i="5"/>
  <c r="C9" i="5"/>
  <c r="C12" i="5"/>
  <c r="C13" i="5"/>
  <c r="C14" i="5"/>
  <c r="C16" i="5"/>
  <c r="C18" i="5"/>
  <c r="B18" i="5"/>
  <c r="B13" i="5"/>
  <c r="B7" i="5"/>
  <c r="B9" i="5"/>
  <c r="B14" i="5"/>
  <c r="B12" i="5"/>
  <c r="B8" i="5"/>
  <c r="B5" i="5"/>
  <c r="B6" i="5"/>
  <c r="N19" i="1" l="1"/>
  <c r="B2" i="5"/>
  <c r="C2" i="5" s="1"/>
  <c r="B70" i="1" l="1"/>
  <c r="B69" i="1"/>
  <c r="V39" i="1"/>
  <c r="X32" i="1" l="1"/>
  <c r="X14" i="1" l="1"/>
  <c r="V16" i="1"/>
  <c r="N69" i="1"/>
  <c r="N59" i="1" l="1"/>
  <c r="M59" i="1" l="1"/>
  <c r="T32" i="1" l="1"/>
  <c r="T26" i="1" l="1"/>
  <c r="T46" i="1" l="1"/>
  <c r="T44" i="1"/>
  <c r="N60" i="1" l="1"/>
  <c r="T43" i="1" l="1"/>
  <c r="T41" i="1"/>
  <c r="N79" i="1" l="1"/>
  <c r="M79" i="1"/>
  <c r="L79" i="1"/>
  <c r="K79" i="1"/>
  <c r="J79" i="1"/>
  <c r="I79" i="1"/>
  <c r="H79" i="1"/>
  <c r="G79" i="1"/>
  <c r="F79" i="1"/>
  <c r="E79" i="1"/>
  <c r="D79" i="1"/>
  <c r="C79" i="1"/>
  <c r="B79" i="1"/>
  <c r="N77" i="1"/>
  <c r="N76" i="1"/>
  <c r="N75" i="1"/>
  <c r="N74" i="1"/>
  <c r="N73" i="1"/>
  <c r="L70" i="1"/>
  <c r="J70" i="1"/>
  <c r="G70" i="1"/>
  <c r="F70" i="1"/>
  <c r="E70" i="1"/>
  <c r="D70" i="1"/>
  <c r="C70" i="1"/>
  <c r="M69" i="1"/>
  <c r="M70" i="1" s="1"/>
  <c r="L69" i="1"/>
  <c r="K69" i="1"/>
  <c r="K70" i="1" s="1"/>
  <c r="J69" i="1"/>
  <c r="I69" i="1"/>
  <c r="I70" i="1" s="1"/>
  <c r="H69" i="1"/>
  <c r="H70" i="1" s="1"/>
  <c r="G69" i="1"/>
  <c r="F69" i="1"/>
  <c r="E69" i="1"/>
  <c r="D69" i="1"/>
  <c r="C69" i="1"/>
  <c r="N67" i="1"/>
  <c r="N65" i="1"/>
  <c r="N64" i="1"/>
  <c r="N63" i="1"/>
  <c r="N62" i="1"/>
  <c r="N61" i="1"/>
  <c r="N70" i="1"/>
  <c r="V13" i="1" s="1"/>
  <c r="N58" i="1"/>
  <c r="N57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N53" i="1"/>
  <c r="E53" i="1"/>
  <c r="D53" i="1"/>
  <c r="C53" i="1"/>
  <c r="B53" i="1"/>
  <c r="N52" i="1"/>
  <c r="T51" i="1"/>
  <c r="T50" i="1"/>
  <c r="P49" i="1"/>
  <c r="T45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AG39" i="1"/>
  <c r="AC39" i="1"/>
  <c r="Y39" i="1"/>
  <c r="N39" i="1"/>
  <c r="N38" i="1"/>
  <c r="N37" i="1"/>
  <c r="N36" i="1"/>
  <c r="N35" i="1"/>
  <c r="AF39" i="1"/>
  <c r="V32" i="1"/>
  <c r="N32" i="1"/>
  <c r="X13" i="1" s="1"/>
  <c r="M32" i="1"/>
  <c r="L32" i="1"/>
  <c r="K32" i="1"/>
  <c r="J32" i="1"/>
  <c r="I32" i="1"/>
  <c r="H32" i="1"/>
  <c r="G32" i="1"/>
  <c r="F32" i="1"/>
  <c r="E32" i="1"/>
  <c r="D32" i="1"/>
  <c r="C32" i="1"/>
  <c r="B32" i="1"/>
  <c r="V31" i="1"/>
  <c r="T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29" i="1"/>
  <c r="N28" i="1"/>
  <c r="N27" i="1"/>
  <c r="V26" i="1"/>
  <c r="N26" i="1"/>
  <c r="N25" i="1"/>
  <c r="X24" i="1"/>
  <c r="N24" i="1"/>
  <c r="X23" i="1"/>
  <c r="N23" i="1"/>
  <c r="X22" i="1"/>
  <c r="AD39" i="1" s="1"/>
  <c r="N22" i="1"/>
  <c r="N21" i="1"/>
  <c r="X20" i="1"/>
  <c r="N20" i="1"/>
  <c r="X19" i="1"/>
  <c r="V19" i="1"/>
  <c r="T19" i="1"/>
  <c r="X17" i="1"/>
  <c r="V17" i="1"/>
  <c r="T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X16" i="1"/>
  <c r="AH39" i="1" s="1"/>
  <c r="T16" i="1"/>
  <c r="N16" i="1"/>
  <c r="L16" i="1"/>
  <c r="N15" i="1"/>
  <c r="T14" i="1"/>
  <c r="N14" i="1"/>
  <c r="T13" i="1"/>
  <c r="X12" i="1"/>
  <c r="W39" i="1" s="1"/>
  <c r="V12" i="1"/>
  <c r="T12" i="1"/>
  <c r="X11" i="1"/>
  <c r="V11" i="1"/>
  <c r="T11" i="1"/>
  <c r="X39" i="1" l="1"/>
  <c r="V14" i="1"/>
  <c r="AA39" i="1" s="1"/>
</calcChain>
</file>

<file path=xl/comments1.xml><?xml version="1.0" encoding="utf-8"?>
<comments xmlns="http://schemas.openxmlformats.org/spreadsheetml/2006/main">
  <authors>
    <author>Washington University in St. Louis</author>
    <author>Megan Krause</author>
  </authors>
  <commentList>
    <comment ref="L16" authorId="0" shapeId="0">
      <text>
        <r>
          <rPr>
            <b/>
            <sz val="9"/>
            <color indexed="81"/>
            <rFont val="Tahoma"/>
            <family val="2"/>
          </rPr>
          <t>Washington University in St. Louis:</t>
        </r>
        <r>
          <rPr>
            <sz val="9"/>
            <color indexed="81"/>
            <rFont val="Tahoma"/>
            <family val="2"/>
          </rPr>
          <t xml:space="preserve">
Commencement and Staff Day</t>
        </r>
      </text>
    </comment>
    <comment ref="X25" authorId="0" shapeId="0">
      <text>
        <r>
          <rPr>
            <b/>
            <sz val="9"/>
            <color indexed="81"/>
            <rFont val="Tahoma"/>
            <family val="2"/>
          </rPr>
          <t>Washington University in St. Louis:</t>
        </r>
        <r>
          <rPr>
            <sz val="9"/>
            <color indexed="81"/>
            <rFont val="Tahoma"/>
            <family val="2"/>
          </rPr>
          <t xml:space="preserve">
See Comparison Data Rejected Loads for calculations</t>
        </r>
      </text>
    </comment>
    <comment ref="A26" authorId="1" shapeId="0">
      <text>
        <r>
          <rPr>
            <sz val="9"/>
            <color indexed="81"/>
            <rFont val="Calibri"/>
            <family val="2"/>
          </rPr>
          <t>This information can be found in that year's corresponding "Donation Items FY__"
 excel spreadsheet</t>
        </r>
      </text>
    </comment>
    <comment ref="T27" authorId="1" shapeId="0">
      <text>
        <r>
          <rPr>
            <b/>
            <sz val="9"/>
            <color indexed="81"/>
            <rFont val="Calibri"/>
            <family val="2"/>
          </rPr>
          <t xml:space="preserve">TAKE NOTE THAT THE VALUES ARE IN CALENDAR YEAR ON THE SPREADSHEETS AND WE NEED FISCAL YEARS
</t>
        </r>
      </text>
    </comment>
    <comment ref="V27" authorId="1" shapeId="0">
      <text>
        <r>
          <rPr>
            <sz val="9"/>
            <color indexed="81"/>
            <rFont val="Calibri"/>
            <family val="2"/>
          </rPr>
          <t xml:space="preserve">TAKE NOTE THAT THE VALUES ARE IN CALENDAR YEAR ON THE SPREADSHEETS AND WE NEED FISCAL YEARS
</t>
        </r>
      </text>
    </comment>
    <comment ref="X27" authorId="1" shapeId="0">
      <text>
        <r>
          <rPr>
            <sz val="9"/>
            <color indexed="81"/>
            <rFont val="Calibri"/>
            <family val="2"/>
          </rPr>
          <t xml:space="preserve">TAKE NOTE THAT THE VALUES ARE IN CALENDAR YEAR ON THE SPREADSHEETS AND WE NEED FISCAL YEARS
</t>
        </r>
      </text>
    </comment>
    <comment ref="N29" authorId="0" shapeId="0">
      <text>
        <r>
          <rPr>
            <b/>
            <sz val="9"/>
            <color indexed="81"/>
            <rFont val="Tahoma"/>
            <family val="2"/>
          </rPr>
          <t>Washington University in St. Louis:</t>
        </r>
        <r>
          <rPr>
            <sz val="9"/>
            <color indexed="81"/>
            <rFont val="Tahoma"/>
            <family val="2"/>
          </rPr>
          <t xml:space="preserve">
This number is an average between data reported for landscape in FY14 and 15. FY16 seemed like an anomoly and the contractor did not provide data for FY17</t>
        </r>
      </text>
    </comment>
    <comment ref="S37" authorId="1" shapeId="0">
      <text>
        <r>
          <rPr>
            <sz val="9"/>
            <color indexed="81"/>
            <rFont val="Calibri"/>
            <family val="2"/>
          </rPr>
          <t xml:space="preserve">**To find this information go to "Sustainability Data" -&gt; "WUSTL Population Data"
</t>
        </r>
      </text>
    </comment>
    <comment ref="S50" authorId="1" shapeId="0">
      <text>
        <r>
          <rPr>
            <b/>
            <sz val="9"/>
            <color indexed="81"/>
            <rFont val="Calibri"/>
            <family val="2"/>
          </rPr>
          <t xml:space="preserve"> This is an estimate based on the AASHE Weighted Campus User, which is listed in the "Formulas" tab
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51" authorId="1" shapeId="0">
      <text>
        <r>
          <rPr>
            <sz val="9"/>
            <color indexed="81"/>
            <rFont val="Calibri"/>
            <family val="2"/>
          </rPr>
          <t xml:space="preserve"> This is an estimate based on the AASHE Weighted Campus User, which is listed in the "Formulas" tab
</t>
        </r>
      </text>
    </comment>
    <comment ref="N59" authorId="0" shapeId="0">
      <text>
        <r>
          <rPr>
            <b/>
            <sz val="9"/>
            <color indexed="81"/>
            <rFont val="Tahoma"/>
            <family val="2"/>
          </rPr>
          <t>Washington University in St. Louis:</t>
        </r>
        <r>
          <rPr>
            <sz val="9"/>
            <color indexed="81"/>
            <rFont val="Tahoma"/>
            <family val="2"/>
          </rPr>
          <t xml:space="preserve">
Requested data for 7/16-12/16</t>
        </r>
      </text>
    </comment>
    <comment ref="A60" authorId="0" shapeId="0">
      <text>
        <r>
          <rPr>
            <b/>
            <sz val="9"/>
            <color indexed="81"/>
            <rFont val="Tahoma"/>
            <family val="2"/>
          </rPr>
          <t>Washington University in St. Louis:</t>
        </r>
        <r>
          <rPr>
            <sz val="9"/>
            <color indexed="81"/>
            <rFont val="Tahoma"/>
            <family val="2"/>
          </rPr>
          <t xml:space="preserve">
MCC C&amp;D, FY17 only</t>
        </r>
      </text>
    </comment>
    <comment ref="A64" authorId="1" shapeId="0">
      <text>
        <r>
          <rPr>
            <sz val="9"/>
            <color indexed="81"/>
            <rFont val="Calibri"/>
            <family val="2"/>
          </rPr>
          <t xml:space="preserve">This information can be found in that year's corresponding "Donation Items FY__"
 excel spreadsheet
</t>
        </r>
      </text>
    </comment>
    <comment ref="N67" authorId="0" shapeId="0">
      <text>
        <r>
          <rPr>
            <b/>
            <sz val="9"/>
            <color indexed="81"/>
            <rFont val="Tahoma"/>
            <family val="2"/>
          </rPr>
          <t>Washington University in St. Louis:</t>
        </r>
        <r>
          <rPr>
            <sz val="9"/>
            <color indexed="81"/>
            <rFont val="Tahoma"/>
            <family val="2"/>
          </rPr>
          <t xml:space="preserve">
This number is an average between data reported for landscape in FY14, 15. and 16. The contractor did not provide data for FY17</t>
        </r>
      </text>
    </comment>
  </commentList>
</comments>
</file>

<file path=xl/sharedStrings.xml><?xml version="1.0" encoding="utf-8"?>
<sst xmlns="http://schemas.openxmlformats.org/spreadsheetml/2006/main" count="436" uniqueCount="283">
  <si>
    <t>Recycling, Waste and Diversion</t>
  </si>
  <si>
    <t>Danforth Campus</t>
  </si>
  <si>
    <t xml:space="preserve"> STREAMS</t>
  </si>
  <si>
    <t>RECYCLED/DIVERTED STREAMS</t>
  </si>
  <si>
    <t>Post-Consumer Recycling</t>
  </si>
  <si>
    <t>Other</t>
  </si>
  <si>
    <t>Confidential Paper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</si>
  <si>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</si>
  <si>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</si>
  <si>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</si>
  <si>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</si>
  <si>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</si>
  <si>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</si>
  <si>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</si>
  <si>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</si>
  <si>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</si>
  <si>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</si>
  <si>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</si>
  <si>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</si>
  <si>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WASTE STREAMS</t>
  </si>
  <si>
    <t xml:space="preserve">Medical School </t>
  </si>
  <si>
    <t>Total</t>
  </si>
  <si>
    <t>Total Waste</t>
  </si>
  <si>
    <t>Single Stream***</t>
  </si>
  <si>
    <t>EPS Recycling</t>
  </si>
  <si>
    <t>Organics Composting - Special Event</t>
  </si>
  <si>
    <t>Electronics/ Equip</t>
  </si>
  <si>
    <t>Recycleable Universal Wastes</t>
  </si>
  <si>
    <t>Recycled Metal</t>
  </si>
  <si>
    <t>C &amp; D*</t>
  </si>
  <si>
    <t>Cooking Oil</t>
  </si>
  <si>
    <t>Organics Composting</t>
  </si>
  <si>
    <t>Fuels Blended solvents/oils</t>
  </si>
  <si>
    <t>Donated Items</t>
  </si>
  <si>
    <t>Skids (wood recycling)</t>
  </si>
  <si>
    <t>Industrial Plastics</t>
  </si>
  <si>
    <t>Landscaping **</t>
  </si>
  <si>
    <t>Solid Waste to Landfill</t>
  </si>
  <si>
    <t>Clean Waste (Landscaping)</t>
  </si>
  <si>
    <t>Biological Waste</t>
  </si>
  <si>
    <t>Chemical Waste^</t>
  </si>
  <si>
    <t>Radioactive Waste</t>
  </si>
  <si>
    <t>C &amp; D* Waste</t>
  </si>
  <si>
    <t xml:space="preserve"> Total Waste</t>
  </si>
  <si>
    <t xml:space="preserve">Organics Composting - Special Event </t>
  </si>
  <si>
    <t xml:space="preserve">Electronics/ Equip </t>
  </si>
  <si>
    <t xml:space="preserve">Chemical Waste^ </t>
  </si>
  <si>
    <t>Post- Consumer Diversion Rate</t>
  </si>
  <si>
    <t>Total Diversion Rate</t>
  </si>
  <si>
    <t>Medical School</t>
  </si>
  <si>
    <t>C&amp;D Diversion Rate</t>
  </si>
  <si>
    <t>Lbs of Compost</t>
  </si>
  <si>
    <t>Diversion Rates</t>
  </si>
  <si>
    <t># of Rejected Loads</t>
  </si>
  <si>
    <t>Total Number of Diverted Loads</t>
  </si>
  <si>
    <t>Weight (in lbs) of rejected Loads</t>
  </si>
  <si>
    <t>Weight (in lbs) of rejected loads</t>
  </si>
  <si>
    <t>Important Metrics</t>
  </si>
  <si>
    <t>E-waste tonnage</t>
  </si>
  <si>
    <t># of Green Events</t>
  </si>
  <si>
    <t>Tonnage</t>
  </si>
  <si>
    <t>Metric</t>
  </si>
  <si>
    <t>Total Diverted Materials and Waste Weight (in lb) - Post Consumer Recycling Weight (in lb)</t>
  </si>
  <si>
    <t>Confidential Paper Recycling+Single Stream + EPS Recycling + Organics Composting + Special Events + Electronics/Equip + Recyclable Universal Wastes + Recycled Metal + C&amp;D + Cooking Oil + Organics Composting + Fuels Blended solvents/oils + Donated items + Skids (wood recycling) + recycled textiles + industrial plastics + Landscaping</t>
  </si>
  <si>
    <t>Total Waste Streams</t>
  </si>
  <si>
    <t>Solid Waste to Landfill + Clean Waste (Landscaping) + Biological Waste + Chemical Waste + Radioactive Waste + C&amp;D Waste</t>
  </si>
  <si>
    <t>(Gallons of Oil) *7.5 pounds/gallon</t>
  </si>
  <si>
    <t>KEY</t>
  </si>
  <si>
    <t>* Construction &amp; Demolition materials</t>
  </si>
  <si>
    <t>** Yard waste: plants, mulch, lumber, etc. NOTE: all campuses are factored into DF figure (impossible to separate out)</t>
  </si>
  <si>
    <t>*** Pippette tip holders and chemical bottles in transitioned into single stream recycling as of FY14</t>
  </si>
  <si>
    <t>^ Less chemicals diverted for fuels blending</t>
  </si>
  <si>
    <t>Red Font indicates est./averaged numbers</t>
  </si>
  <si>
    <t>Blue Font indicates numbers in 6 mo increments</t>
  </si>
  <si>
    <t>Notes:</t>
  </si>
  <si>
    <t>(note: Confidential Paper totals by campus are estimated according to accurately measured WUSTL total provided by vendor, Shred-It</t>
  </si>
  <si>
    <t>C &amp; D waste totals are inclusive of projects pursuing LEED certification only</t>
  </si>
  <si>
    <t>"Clean Waste" refers to soils and concrete that are sent to landfill to use as cover. This is still considered a landfill stream (waste is mix of soil and small bits of concrete)</t>
  </si>
  <si>
    <t>Contact</t>
  </si>
  <si>
    <t>Shred-It</t>
  </si>
  <si>
    <t>Progressive</t>
  </si>
  <si>
    <t>Donna Hall</t>
  </si>
  <si>
    <t>Total Organics Composting</t>
  </si>
  <si>
    <t>Wanda Heartling</t>
  </si>
  <si>
    <t>EH&amp;S</t>
  </si>
  <si>
    <t>Facilities- Jen Shade/Ace Metal Processors</t>
  </si>
  <si>
    <t>Facilities - Matt Conlon</t>
  </si>
  <si>
    <t>Kelley Green</t>
  </si>
  <si>
    <t>Jan Schade</t>
  </si>
  <si>
    <t>TBD</t>
  </si>
  <si>
    <t>Top Care</t>
  </si>
  <si>
    <t>Waste Connections</t>
  </si>
  <si>
    <t>Facilities - Leo Lewis</t>
  </si>
  <si>
    <t>Facilities - Steve Sobo</t>
  </si>
  <si>
    <t>VENDOR CONTACT INFORMATION</t>
  </si>
  <si>
    <t>Organization</t>
  </si>
  <si>
    <t>Materials</t>
  </si>
  <si>
    <t>Name</t>
  </si>
  <si>
    <t>Email</t>
  </si>
  <si>
    <t>Phone</t>
  </si>
  <si>
    <t>Notes</t>
  </si>
  <si>
    <t>recyclables, trash</t>
  </si>
  <si>
    <t>Linda Jones</t>
  </si>
  <si>
    <t>linda.jones@progressivewaste.com</t>
  </si>
  <si>
    <t>Cynthia Owens</t>
  </si>
  <si>
    <t>Cynthia Owens &lt;cynthia.owens@progressivewaste.com&gt;</t>
  </si>
  <si>
    <t>636.321.2144</t>
  </si>
  <si>
    <t>Formerly IESI, Progressive</t>
  </si>
  <si>
    <t>compostables (front/back house; food &amp; serviceware)</t>
  </si>
  <si>
    <t>Tyler Loucky</t>
  </si>
  <si>
    <t>tloucky@stlcompost.com</t>
  </si>
  <si>
    <t>636.861.3344</t>
  </si>
  <si>
    <t>Formerly St Louis Composting</t>
  </si>
  <si>
    <t>Facilities/Housekeeping - DF</t>
  </si>
  <si>
    <t> jschade@wustl.edu</t>
  </si>
  <si>
    <t>314.935.5564</t>
  </si>
  <si>
    <t>Facilities C&amp;D - DF</t>
  </si>
  <si>
    <t>Matt Conlon</t>
  </si>
  <si>
    <t>conlon@wustl.edu</t>
  </si>
  <si>
    <t>314.935.9167</t>
  </si>
  <si>
    <t>Facilities C&amp;D - MS</t>
  </si>
  <si>
    <t>Steve Sobo</t>
  </si>
  <si>
    <t>sobos@wustl.edu</t>
  </si>
  <si>
    <t>314.362.5251</t>
  </si>
  <si>
    <t>EPS Recycling - DF</t>
  </si>
  <si>
    <t>styrofoam</t>
  </si>
  <si>
    <t>DHall22@WUSTL.EDU</t>
  </si>
  <si>
    <t>314.935.4650</t>
  </si>
  <si>
    <t>EPS Recycling - MS</t>
  </si>
  <si>
    <t>Wanda Haertling</t>
  </si>
  <si>
    <t>Haertlingw@wusm.wustl.edu</t>
  </si>
  <si>
    <t xml:space="preserve">314.362.0128  </t>
  </si>
  <si>
    <t>Metals - DF</t>
  </si>
  <si>
    <t>Metals - MS</t>
  </si>
  <si>
    <t>Leo Lewis</t>
  </si>
  <si>
    <t>lewisle@wusm.wustl.edu</t>
  </si>
  <si>
    <t>314.362.2293</t>
  </si>
  <si>
    <t>Skids - DF</t>
  </si>
  <si>
    <t>Skids - MS</t>
  </si>
  <si>
    <t>Industrial Plastics - MS</t>
  </si>
  <si>
    <t>Collect from Cope Plastics</t>
  </si>
  <si>
    <t>Industrial Plastics - DF</t>
  </si>
  <si>
    <t>Jay Shaw</t>
  </si>
  <si>
    <t>jshaw@shredit.com</t>
  </si>
  <si>
    <t>314.787.2865</t>
  </si>
  <si>
    <t>cooking oil</t>
  </si>
  <si>
    <t>Kristopher Kelley</t>
  </si>
  <si>
    <t>k.kristopher@gmail.com</t>
  </si>
  <si>
    <t>314.690.3631</t>
  </si>
  <si>
    <t>Jerry Brandt</t>
  </si>
  <si>
    <t>jbrandt@topcareinc.com</t>
  </si>
  <si>
    <t>P:  314.721.5306
C:  314.568.5398</t>
  </si>
  <si>
    <t>Operation Food Search</t>
  </si>
  <si>
    <t>Gary Wells</t>
  </si>
  <si>
    <t>gary.wells@OperationFoodSearch.org</t>
  </si>
  <si>
    <t>314.726.5355  x14</t>
  </si>
  <si>
    <t>MERS Goodwill</t>
  </si>
  <si>
    <t>Sharon Summers</t>
  </si>
  <si>
    <t>ssummers@mersgoodwill.org</t>
  </si>
  <si>
    <t>314.982.8917</t>
  </si>
  <si>
    <t>St. Louis Green</t>
  </si>
  <si>
    <t>Jo Ann</t>
  </si>
  <si>
    <t xml:space="preserve">joann@stlouisgreen.com </t>
  </si>
  <si>
    <t>no staff to provide info</t>
  </si>
  <si>
    <t xml:space="preserve">Tonnage </t>
  </si>
  <si>
    <t>1 ton= 2000 pounds</t>
  </si>
  <si>
    <t>Total Electronics/Equip Waste/2000</t>
  </si>
  <si>
    <t>Organic Composting- Special Events + Organic Composting</t>
  </si>
  <si>
    <t>Confidential Paper Recycling + Single Stream + EPS Recycling + Organics Composting: Special Events</t>
  </si>
  <si>
    <t>Total Diversion Rate without C&amp;D</t>
  </si>
  <si>
    <t>POPULATION &amp; CAMPUS SIZE STATISTICS</t>
  </si>
  <si>
    <t>FTE Students (spring) (WUSM)</t>
  </si>
  <si>
    <t>FTE Students (spring) (DF)</t>
  </si>
  <si>
    <t>Part-time Faculty &amp; Staff (WUSM)</t>
  </si>
  <si>
    <t>Part-time Faculty &amp; Staff (DF)</t>
  </si>
  <si>
    <t>Full-time Faculty &amp; Staff (WUSM)</t>
  </si>
  <si>
    <t>Full-time Faculty &amp; Staff (DF)</t>
  </si>
  <si>
    <t>Total Faculty, Staff &amp; Students (WUSM)</t>
  </si>
  <si>
    <t>Total Faculty, Staff &amp; Students (DF)</t>
  </si>
  <si>
    <t>Total Campus Users</t>
  </si>
  <si>
    <t>Gross Square Feet (WUSM)</t>
  </si>
  <si>
    <t>Gross Square Feet (DF, N, W Campuses)</t>
  </si>
  <si>
    <t>Total Gross Square Feet****</t>
  </si>
  <si>
    <t>Post Consumer Recycling refers to habitual, daily decisions that  people make when faced with the waste infrastrucutre</t>
  </si>
  <si>
    <t>Quick Guide</t>
  </si>
  <si>
    <t xml:space="preserve">                       </t>
  </si>
  <si>
    <t>All boxes of the blue color must be filled in -&gt;</t>
  </si>
  <si>
    <r>
      <t xml:space="preserve">Post-Consumer is not reported on by other Univeristies because it is too hard to track, our numbers do not honestly represent our post-consumer waste because all compost in BD and the Village are not represented, Therefore </t>
    </r>
    <r>
      <rPr>
        <b/>
        <sz val="12"/>
        <color theme="1"/>
        <rFont val="Calibri"/>
        <family val="2"/>
        <scheme val="minor"/>
      </rPr>
      <t>Post Consumer</t>
    </r>
    <r>
      <rPr>
        <sz val="12"/>
        <color theme="1"/>
        <rFont val="Calibri"/>
        <family val="2"/>
        <scheme val="minor"/>
      </rPr>
      <t xml:space="preserve"> data will only be an </t>
    </r>
    <r>
      <rPr>
        <b/>
        <sz val="12"/>
        <color theme="1"/>
        <rFont val="Calibri"/>
        <family val="2"/>
        <scheme val="minor"/>
      </rPr>
      <t>internal metric</t>
    </r>
  </si>
  <si>
    <t>Operational Recycling</t>
  </si>
  <si>
    <t>Subtotal Post-Consumer Recycling</t>
  </si>
  <si>
    <t>Subtotal Operational Recycling</t>
  </si>
  <si>
    <t>Total Diversion rate without C&amp;D</t>
  </si>
  <si>
    <t xml:space="preserve">(Total Diverted Matierials (in lbs)- C&amp;D Diverted materials (in lbs))/((Total Diverted Matierials (in lbs)- C&amp;D Diverted materials (in lbs))+ (Total Diverted Materials and Waste (in lbs) - Total C&amp;D Waste (in lbs)) </t>
  </si>
  <si>
    <t>Total Diverted Materials (in lbs)/(Total Waste Streams (in lbs)+Total Diverted Materials (in lbs))</t>
  </si>
  <si>
    <t>(C&amp;D Operational Recycling (in lbs))/(C&amp;D Operational Recycling (in lbs) + C&amp;D Waste(in lbs))</t>
  </si>
  <si>
    <t>Post Consumer Recycling Weight (in lb)/ (Landfill Waste (in lb) + Post Consumer Recycling Weight (in lb))</t>
  </si>
  <si>
    <t xml:space="preserve">Total Diversion Rate without C&amp;D - Total </t>
  </si>
  <si>
    <t>Total Diversion Rate without C&amp;D - Danforth</t>
  </si>
  <si>
    <t>Progress (in %) to Danforth 55% Diversion Goal w/o C&amp;D</t>
  </si>
  <si>
    <t>Total Diversion Rate without C&amp;D - WUSM</t>
  </si>
  <si>
    <t>Progress (in %) to WUSM 45% Diversion Goal w/o C&amp;D</t>
  </si>
  <si>
    <t xml:space="preserve">Progress (in %) to 35% decrease from 2010 baseline to 2020 Consumer Waste Tonnage </t>
  </si>
  <si>
    <t>Formulas, Conversions, and Definitions</t>
  </si>
  <si>
    <t>Formula/Conversion/Definition</t>
  </si>
  <si>
    <t>Rejection Rate (in lbs)</t>
  </si>
  <si>
    <t>Rejected Totes (in lbs)/Total Totes (in lbs)</t>
  </si>
  <si>
    <t>Rejection Rate Recycling (in lbs)</t>
  </si>
  <si>
    <t>Rejection Rate Recycling (# of loads)</t>
  </si>
  <si>
    <t>Rejection Rate Compost (in lbs)</t>
  </si>
  <si>
    <t>Rejected Loads- Recycling</t>
  </si>
  <si>
    <t>Rejected Loads- Compost</t>
  </si>
  <si>
    <t>Rejection Rate - Recycling (in loads)</t>
  </si>
  <si>
    <t>Rejection Rate - Recycling (in lbs)</t>
  </si>
  <si>
    <t>Rejection Rate- Compost (in lbs)</t>
  </si>
  <si>
    <t># of Rejected Totes</t>
  </si>
  <si>
    <t>Rejection Rate Compost (# of totes)</t>
  </si>
  <si>
    <t>Total Number of Diverted Totes</t>
  </si>
  <si>
    <t>Weight (in lbs) of Rejected Totes</t>
  </si>
  <si>
    <t>Rejection Rate - Compost (in totes)</t>
  </si>
  <si>
    <t>**Copy and Paste yellow box area into "Comparison DATA FY2010- FY__" Document</t>
  </si>
  <si>
    <t>See Spreadsheet "Donation Items FY__"</t>
  </si>
  <si>
    <t>To find this information go to "Sustainability Data" -&gt; "WUSTL Population Data"</t>
  </si>
  <si>
    <t>Rejection Rate (in loads or totes)</t>
  </si>
  <si>
    <t>Rejected Totes (by load or tote)/Total Totes (by load or tote)</t>
  </si>
  <si>
    <t>Approx Weighted Campus User (DF)</t>
  </si>
  <si>
    <t>Approx Weighted Campus User (WUSM)</t>
  </si>
  <si>
    <t>AASHE Weighted Campus User</t>
  </si>
  <si>
    <r>
      <t>(# Students Resident on site</t>
    </r>
    <r>
      <rPr>
        <sz val="12"/>
        <color indexed="206"/>
        <rFont val="Calibri"/>
        <family val="2"/>
      </rPr>
      <t>)</t>
    </r>
    <r>
      <rPr>
        <sz val="12"/>
        <color theme="1"/>
        <rFont val="Calibri"/>
        <family val="2"/>
        <scheme val="minor"/>
      </rPr>
      <t xml:space="preserve"> + </t>
    </r>
    <r>
      <rPr>
        <sz val="12"/>
        <color indexed="206"/>
        <rFont val="Calibri"/>
        <family val="2"/>
      </rPr>
      <t>(</t>
    </r>
    <r>
      <rPr>
        <sz val="12"/>
        <color theme="1"/>
        <rFont val="Calibri"/>
        <family val="2"/>
        <scheme val="minor"/>
      </rPr>
      <t># Employees Resident on site</t>
    </r>
    <r>
      <rPr>
        <sz val="12"/>
        <color indexed="206"/>
        <rFont val="Calibri"/>
        <family val="2"/>
      </rPr>
      <t>)</t>
    </r>
    <r>
      <rPr>
        <sz val="12"/>
        <color theme="1"/>
        <rFont val="Calibri"/>
        <family val="2"/>
        <scheme val="minor"/>
      </rPr>
      <t xml:space="preserve"> + </t>
    </r>
    <r>
      <rPr>
        <sz val="12"/>
        <color indexed="206"/>
        <rFont val="Calibri"/>
        <family val="2"/>
      </rPr>
      <t>(</t>
    </r>
    <r>
      <rPr>
        <sz val="12"/>
        <color theme="1"/>
        <rFont val="Calibri"/>
        <family val="2"/>
        <scheme val="minor"/>
      </rPr>
      <t>Individuals resident on site/staffed in hospital beds</t>
    </r>
    <r>
      <rPr>
        <sz val="12"/>
        <color indexed="206"/>
        <rFont val="Calibri"/>
        <family val="2"/>
      </rPr>
      <t>)</t>
    </r>
    <r>
      <rPr>
        <sz val="12"/>
        <color theme="1"/>
        <rFont val="Calibri"/>
        <family val="2"/>
        <scheme val="minor"/>
      </rPr>
      <t xml:space="preserve"> + 0.75[(Full time equivalent student enrollment - # of Students Resident on site) + (Full time equivalent employees - # of Employees resident on site) -( Full time equivalent of students enrolled in distance education)]</t>
    </r>
  </si>
  <si>
    <t>Approx Weighted Campus User</t>
  </si>
  <si>
    <t>FTE Students + 0.75 (Full Time Employees)</t>
  </si>
  <si>
    <t>Total Diverted Materials</t>
  </si>
  <si>
    <t>Consumer Waste Tonnage Per Capita</t>
  </si>
  <si>
    <t>Green Events</t>
  </si>
  <si>
    <t>Estimated Attendance</t>
  </si>
  <si>
    <t>Estimated Diversion Rate</t>
  </si>
  <si>
    <t>Event Name</t>
  </si>
  <si>
    <t>Date</t>
  </si>
  <si>
    <t>(Total Solid Waste to Landfill + Post Consumer Recycling (in lbs) / 2000) / (Total Faculty, Staff &amp; Students (WUSM) + Total Faculty, Staff &amp; Students (DF))</t>
  </si>
  <si>
    <t>To find this information go to "Sustainability Data" -&gt; "Waste" -&gt; "WUSTL Waste Diversion Data" -&gt; "FY__" -&gt; "Compost"</t>
  </si>
  <si>
    <r>
      <t xml:space="preserve">FOR COMPOST: To find the information go to "Sustainability Data" -&gt; "Waste" -&gt; "WUSTL Waste Diversion Data" -&gt; "FY__" -&gt; "Compost" </t>
    </r>
    <r>
      <rPr>
        <sz val="8"/>
        <color theme="1"/>
        <rFont val="Calibri"/>
        <family val="2"/>
        <scheme val="minor"/>
      </rPr>
      <t>(TAKE NOTE THAT THE VALUES ARE IN CALENDAR YEAR ON THE SPREADSHEETS AND WE NEED FISCAL YEARS</t>
    </r>
    <r>
      <rPr>
        <sz val="12"/>
        <color theme="1"/>
        <rFont val="Calibri"/>
        <family val="2"/>
        <scheme val="minor"/>
      </rPr>
      <t>)</t>
    </r>
  </si>
  <si>
    <r>
      <t xml:space="preserve">FOR COMPOST: To find the information go to "Sustainability Data" -&gt; "Waste" -&gt; "WUSTL Waste Diversion Data" -&gt; "FY__" -&gt; "Compost" </t>
    </r>
    <r>
      <rPr>
        <sz val="8"/>
        <color theme="1"/>
        <rFont val="Calibri"/>
        <family val="2"/>
        <scheme val="minor"/>
      </rPr>
      <t>(TAKE NOTE THAT THE VALUES ARE IN CALENDAR YEAR ON THE SPREADSHEETS AND WE NEED FISCAL YEARS)</t>
    </r>
  </si>
  <si>
    <t>Comments</t>
  </si>
  <si>
    <t>Corresponding Cell in "Sheet1"</t>
  </si>
  <si>
    <t>Subtotal Post-Consumer Recycling  (in lb)</t>
  </si>
  <si>
    <t>N17 and N55</t>
  </si>
  <si>
    <t>Subtotal Operational Recycling  (in lb)</t>
  </si>
  <si>
    <t>N31 and N69</t>
  </si>
  <si>
    <t>Total Diverted Materials  (in lb)</t>
  </si>
  <si>
    <t>N32 and N70</t>
  </si>
  <si>
    <t>N41 and N79</t>
  </si>
  <si>
    <t>T11, V11, and X11</t>
  </si>
  <si>
    <t>T12, V12, and X12</t>
  </si>
  <si>
    <t>T13, V13, and X13</t>
  </si>
  <si>
    <t>T14, V14, and X14</t>
  </si>
  <si>
    <t>T16, V16, and X16</t>
  </si>
  <si>
    <t>T17, V17, and X17</t>
  </si>
  <si>
    <t>T19, V19, and X19</t>
  </si>
  <si>
    <t>T25, V25, X25, T31, V31, and X31</t>
  </si>
  <si>
    <t>T26, V26, X26, T32, V32,and  X32</t>
  </si>
  <si>
    <t>B23, C23, D23, E23, F23, G23, H23, I23, J23, K23, L23, M23, B61, C61, D61, E61, F61, G61, H61, I61, J61, K61, L61, M61</t>
  </si>
  <si>
    <t>T50 and T51</t>
  </si>
  <si>
    <t>Post Consumer Recycling Rate</t>
  </si>
  <si>
    <t>FY17 Weight (lbs)</t>
  </si>
  <si>
    <t>Grease Masters</t>
  </si>
  <si>
    <t>UPDATED: 11/22/17. Just waiting for C&amp;D data from both campuses.</t>
  </si>
  <si>
    <t>Subtract 25% of total, as it is a waste product that is landfilled.</t>
  </si>
  <si>
    <t>Electronic Waste</t>
  </si>
  <si>
    <t>lbs</t>
  </si>
  <si>
    <t>tons</t>
  </si>
  <si>
    <t>Includes appliances</t>
  </si>
  <si>
    <t>Materials Recycled</t>
  </si>
  <si>
    <t>-Single Stream</t>
  </si>
  <si>
    <t>-Shredded Papers</t>
  </si>
  <si>
    <t>-Cooking oil</t>
  </si>
  <si>
    <t>Compost</t>
  </si>
  <si>
    <t>-pre consumer</t>
  </si>
  <si>
    <t>-post consumer</t>
  </si>
  <si>
    <t>-yardwaste</t>
  </si>
  <si>
    <t>Donated materials</t>
  </si>
  <si>
    <t>Landfill</t>
  </si>
  <si>
    <t>-EPS</t>
  </si>
  <si>
    <t>-Metal</t>
  </si>
  <si>
    <t>Diversion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</si>
</sst>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rgb="FF000000"/>
      <name val="Georgia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b/>
      <sz val="13"/>
      <color rgb="FF000000"/>
      <name val="Calibri"/>
      <family val="2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DD0806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9"/>
      <color rgb="FF000000"/>
      <name val="Verdana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indexed="81"/>
      <name val="Calibri"/>
      <family val="2"/>
    </font>
    <font>
      <sz val="12"/>
      <color indexed="206"/>
      <name val="Calibri"/>
      <family val="2"/>
    </font>
    <font>
      <sz val="12"/>
      <color theme="1"/>
      <name val="Calibri"/>
      <family val="2"/>
    </font>
    <font>
      <b/>
      <sz val="22"/>
      <name val="Georgia"/>
      <family val="1"/>
    </font>
    <font>
      <b/>
      <sz val="9"/>
      <color indexed="81"/>
      <name val="Calibri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2D69B"/>
        <bgColor rgb="FFC2D69B"/>
      </patternFill>
    </fill>
    <fill>
      <patternFill patternType="solid">
        <fgColor rgb="FFEEECE1"/>
        <bgColor rgb="FFEEECE1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D69B"/>
        <bgColor rgb="FFFFFFFF"/>
      </patternFill>
    </fill>
    <fill>
      <patternFill patternType="solid">
        <fgColor rgb="FFFCFF8A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EAF1DD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rgb="FFCFE2F3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3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6" fillId="0" borderId="1" xfId="0" applyFont="1" applyBorder="1" applyAlignment="1">
      <alignment horizontal="center" wrapText="1"/>
    </xf>
    <xf numFmtId="0" fontId="6" fillId="7" borderId="5" xfId="0" applyFont="1" applyFill="1" applyBorder="1" applyAlignment="1">
      <alignment horizontal="left" wrapText="1"/>
    </xf>
    <xf numFmtId="0" fontId="11" fillId="9" borderId="6" xfId="0" applyFont="1" applyFill="1" applyBorder="1" applyAlignment="1">
      <alignment horizontal="right" wrapText="1"/>
    </xf>
    <xf numFmtId="0" fontId="2" fillId="10" borderId="6" xfId="0" applyFont="1" applyFill="1" applyBorder="1"/>
    <xf numFmtId="0" fontId="2" fillId="11" borderId="7" xfId="0" applyFont="1" applyFill="1" applyBorder="1"/>
    <xf numFmtId="0" fontId="2" fillId="11" borderId="6" xfId="0" applyFont="1" applyFill="1" applyBorder="1"/>
    <xf numFmtId="0" fontId="11" fillId="13" borderId="6" xfId="0" applyFont="1" applyFill="1" applyBorder="1" applyAlignment="1">
      <alignment horizontal="right" wrapText="1"/>
    </xf>
    <xf numFmtId="0" fontId="2" fillId="13" borderId="0" xfId="0" applyFont="1" applyFill="1" applyAlignment="1">
      <alignment horizontal="right"/>
    </xf>
    <xf numFmtId="0" fontId="14" fillId="14" borderId="6" xfId="0" applyFont="1" applyFill="1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11" fillId="9" borderId="8" xfId="0" applyFont="1" applyFill="1" applyBorder="1" applyAlignment="1">
      <alignment horizontal="right" wrapText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3" fillId="12" borderId="6" xfId="0" applyFont="1" applyFill="1" applyBorder="1"/>
    <xf numFmtId="0" fontId="13" fillId="11" borderId="6" xfId="0" applyFont="1" applyFill="1" applyBorder="1"/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0" fillId="0" borderId="0" xfId="0" applyFont="1"/>
    <xf numFmtId="0" fontId="0" fillId="0" borderId="0" xfId="0" applyFont="1" applyFill="1" applyBorder="1"/>
    <xf numFmtId="0" fontId="2" fillId="11" borderId="8" xfId="0" applyFont="1" applyFill="1" applyBorder="1"/>
    <xf numFmtId="0" fontId="17" fillId="0" borderId="0" xfId="0" applyFont="1"/>
    <xf numFmtId="0" fontId="17" fillId="0" borderId="0" xfId="0" applyFont="1" applyAlignment="1">
      <alignment wrapText="1"/>
    </xf>
    <xf numFmtId="0" fontId="17" fillId="0" borderId="9" xfId="0" applyFont="1" applyBorder="1"/>
    <xf numFmtId="0" fontId="17" fillId="0" borderId="9" xfId="0" applyFont="1" applyBorder="1" applyAlignment="1">
      <alignment wrapText="1"/>
    </xf>
    <xf numFmtId="0" fontId="17" fillId="0" borderId="0" xfId="0" applyFont="1" applyBorder="1"/>
    <xf numFmtId="0" fontId="17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18" fillId="0" borderId="0" xfId="80"/>
    <xf numFmtId="0" fontId="19" fillId="0" borderId="0" xfId="0" applyFont="1" applyAlignment="1"/>
    <xf numFmtId="0" fontId="10" fillId="0" borderId="0" xfId="0" applyFont="1"/>
    <xf numFmtId="0" fontId="18" fillId="0" borderId="0" xfId="80" applyAlignment="1"/>
    <xf numFmtId="0" fontId="20" fillId="0" borderId="0" xfId="0" applyFont="1" applyAlignment="1">
      <alignment wrapText="1"/>
    </xf>
    <xf numFmtId="0" fontId="2" fillId="0" borderId="0" xfId="0" applyFont="1"/>
    <xf numFmtId="0" fontId="1" fillId="18" borderId="0" xfId="63" applyFill="1"/>
    <xf numFmtId="0" fontId="0" fillId="18" borderId="0" xfId="0" applyFill="1"/>
    <xf numFmtId="0" fontId="8" fillId="5" borderId="2" xfId="0" applyFont="1" applyFill="1" applyBorder="1" applyAlignment="1">
      <alignment wrapText="1"/>
    </xf>
    <xf numFmtId="0" fontId="8" fillId="5" borderId="10" xfId="0" applyFont="1" applyFill="1" applyBorder="1" applyAlignment="1">
      <alignment wrapText="1"/>
    </xf>
    <xf numFmtId="0" fontId="8" fillId="5" borderId="11" xfId="0" applyFont="1" applyFill="1" applyBorder="1" applyAlignment="1">
      <alignment horizontal="left" wrapText="1"/>
    </xf>
    <xf numFmtId="0" fontId="1" fillId="18" borderId="6" xfId="63" applyFill="1" applyBorder="1"/>
    <xf numFmtId="0" fontId="12" fillId="16" borderId="6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7" fillId="17" borderId="7" xfId="0" applyFont="1" applyFill="1" applyBorder="1"/>
    <xf numFmtId="0" fontId="21" fillId="0" borderId="7" xfId="0" applyFont="1" applyBorder="1" applyAlignment="1">
      <alignment horizontal="right"/>
    </xf>
    <xf numFmtId="0" fontId="0" fillId="0" borderId="0" xfId="0" applyFont="1" applyBorder="1"/>
    <xf numFmtId="0" fontId="8" fillId="0" borderId="0" xfId="0" applyFont="1" applyBorder="1"/>
    <xf numFmtId="0" fontId="0" fillId="0" borderId="0" xfId="0" applyFont="1" applyBorder="1" applyAlignment="1"/>
    <xf numFmtId="0" fontId="10" fillId="0" borderId="0" xfId="0" applyFont="1" applyBorder="1" applyAlignment="1"/>
    <xf numFmtId="0" fontId="16" fillId="0" borderId="0" xfId="0" applyFont="1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5" xfId="0" applyFont="1" applyBorder="1"/>
    <xf numFmtId="0" fontId="0" fillId="0" borderId="15" xfId="0" applyFont="1" applyBorder="1" applyAlignment="1"/>
    <xf numFmtId="0" fontId="16" fillId="0" borderId="15" xfId="0" applyFont="1" applyBorder="1"/>
    <xf numFmtId="0" fontId="0" fillId="0" borderId="17" xfId="0" applyBorder="1"/>
    <xf numFmtId="0" fontId="0" fillId="0" borderId="18" xfId="0" applyBorder="1"/>
    <xf numFmtId="0" fontId="7" fillId="17" borderId="12" xfId="0" applyFont="1" applyFill="1" applyBorder="1" applyAlignment="1">
      <alignment horizontal="left" wrapText="1"/>
    </xf>
    <xf numFmtId="0" fontId="8" fillId="17" borderId="13" xfId="0" applyFont="1" applyFill="1" applyBorder="1"/>
    <xf numFmtId="0" fontId="0" fillId="0" borderId="15" xfId="0" applyBorder="1"/>
    <xf numFmtId="0" fontId="0" fillId="0" borderId="0" xfId="0" applyFill="1" applyBorder="1"/>
    <xf numFmtId="0" fontId="0" fillId="0" borderId="17" xfId="0" applyFont="1" applyFill="1" applyBorder="1"/>
    <xf numFmtId="0" fontId="2" fillId="19" borderId="0" xfId="0" applyFont="1" applyFill="1" applyBorder="1"/>
    <xf numFmtId="0" fontId="0" fillId="18" borderId="0" xfId="0" applyFill="1" applyBorder="1"/>
    <xf numFmtId="0" fontId="0" fillId="0" borderId="0" xfId="0" applyFill="1" applyBorder="1" applyAlignment="1">
      <alignment wrapText="1"/>
    </xf>
    <xf numFmtId="0" fontId="8" fillId="5" borderId="19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21" fillId="0" borderId="20" xfId="0" applyFont="1" applyFill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10" fontId="14" fillId="0" borderId="6" xfId="0" applyNumberFormat="1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0" fillId="21" borderId="6" xfId="0" applyFill="1" applyBorder="1"/>
    <xf numFmtId="0" fontId="12" fillId="22" borderId="6" xfId="0" applyFont="1" applyFill="1" applyBorder="1" applyAlignment="1">
      <alignment horizontal="left"/>
    </xf>
    <xf numFmtId="0" fontId="2" fillId="22" borderId="6" xfId="0" applyFont="1" applyFill="1" applyBorder="1"/>
    <xf numFmtId="0" fontId="21" fillId="0" borderId="7" xfId="0" applyFont="1" applyFill="1" applyBorder="1" applyAlignment="1">
      <alignment horizontal="right"/>
    </xf>
    <xf numFmtId="0" fontId="24" fillId="0" borderId="6" xfId="0" applyFont="1" applyBorder="1"/>
    <xf numFmtId="0" fontId="2" fillId="0" borderId="6" xfId="0" applyFont="1" applyBorder="1"/>
    <xf numFmtId="0" fontId="2" fillId="0" borderId="21" xfId="0" applyFont="1" applyBorder="1"/>
    <xf numFmtId="0" fontId="28" fillId="0" borderId="6" xfId="0" applyFont="1" applyBorder="1" applyAlignment="1">
      <alignment wrapText="1"/>
    </xf>
    <xf numFmtId="0" fontId="0" fillId="0" borderId="6" xfId="0" applyBorder="1"/>
    <xf numFmtId="0" fontId="0" fillId="0" borderId="6" xfId="0" applyFont="1" applyBorder="1"/>
    <xf numFmtId="0" fontId="2" fillId="0" borderId="0" xfId="0" applyFont="1" applyAlignment="1">
      <alignment wrapText="1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24" borderId="6" xfId="0" applyFill="1" applyBorder="1"/>
    <xf numFmtId="0" fontId="8" fillId="5" borderId="2" xfId="0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left" wrapText="1"/>
    </xf>
    <xf numFmtId="0" fontId="0" fillId="8" borderId="6" xfId="0" applyFill="1" applyBorder="1"/>
    <xf numFmtId="3" fontId="29" fillId="25" borderId="6" xfId="0" applyNumberFormat="1" applyFont="1" applyFill="1" applyBorder="1" applyAlignment="1">
      <alignment horizontal="right"/>
    </xf>
    <xf numFmtId="3" fontId="30" fillId="25" borderId="6" xfId="0" applyNumberFormat="1" applyFont="1" applyFill="1" applyBorder="1" applyAlignment="1">
      <alignment horizontal="center"/>
    </xf>
    <xf numFmtId="3" fontId="8" fillId="25" borderId="1" xfId="0" applyNumberFormat="1" applyFont="1" applyFill="1" applyBorder="1" applyAlignment="1">
      <alignment horizontal="right"/>
    </xf>
    <xf numFmtId="3" fontId="29" fillId="25" borderId="1" xfId="0" applyNumberFormat="1" applyFont="1" applyFill="1" applyBorder="1" applyAlignment="1">
      <alignment horizontal="right"/>
    </xf>
    <xf numFmtId="3" fontId="8" fillId="25" borderId="2" xfId="0" applyNumberFormat="1" applyFont="1" applyFill="1" applyBorder="1" applyAlignment="1">
      <alignment horizontal="right"/>
    </xf>
    <xf numFmtId="3" fontId="20" fillId="25" borderId="6" xfId="0" applyNumberFormat="1" applyFont="1" applyFill="1" applyBorder="1" applyAlignment="1">
      <alignment horizontal="right"/>
    </xf>
    <xf numFmtId="3" fontId="7" fillId="25" borderId="6" xfId="0" applyNumberFormat="1" applyFont="1" applyFill="1" applyBorder="1" applyAlignment="1">
      <alignment horizontal="center"/>
    </xf>
    <xf numFmtId="3" fontId="10" fillId="25" borderId="6" xfId="0" applyNumberFormat="1" applyFont="1" applyFill="1" applyBorder="1" applyAlignment="1">
      <alignment horizontal="right"/>
    </xf>
    <xf numFmtId="3" fontId="7" fillId="26" borderId="6" xfId="0" applyNumberFormat="1" applyFont="1" applyFill="1" applyBorder="1" applyAlignment="1">
      <alignment horizontal="center"/>
    </xf>
    <xf numFmtId="3" fontId="8" fillId="25" borderId="10" xfId="0" applyNumberFormat="1" applyFont="1" applyFill="1" applyBorder="1" applyAlignment="1">
      <alignment horizontal="right"/>
    </xf>
    <xf numFmtId="3" fontId="8" fillId="27" borderId="3" xfId="0" applyNumberFormat="1" applyFont="1" applyFill="1" applyBorder="1" applyAlignment="1">
      <alignment horizontal="right"/>
    </xf>
    <xf numFmtId="3" fontId="7" fillId="25" borderId="6" xfId="0" applyNumberFormat="1" applyFont="1" applyFill="1" applyBorder="1" applyAlignment="1">
      <alignment horizontal="center" vertical="center"/>
    </xf>
    <xf numFmtId="3" fontId="8" fillId="27" borderId="6" xfId="0" applyNumberFormat="1" applyFont="1" applyFill="1" applyBorder="1" applyAlignment="1">
      <alignment horizontal="right"/>
    </xf>
    <xf numFmtId="3" fontId="7" fillId="27" borderId="6" xfId="0" applyNumberFormat="1" applyFont="1" applyFill="1" applyBorder="1" applyAlignment="1">
      <alignment horizontal="center" vertical="center"/>
    </xf>
    <xf numFmtId="0" fontId="0" fillId="24" borderId="25" xfId="0" applyFill="1" applyBorder="1"/>
    <xf numFmtId="0" fontId="0" fillId="10" borderId="26" xfId="0" applyFill="1" applyBorder="1"/>
    <xf numFmtId="0" fontId="0" fillId="10" borderId="8" xfId="0" applyFill="1" applyBorder="1"/>
    <xf numFmtId="0" fontId="0" fillId="10" borderId="21" xfId="0" applyFill="1" applyBorder="1"/>
    <xf numFmtId="0" fontId="0" fillId="24" borderId="27" xfId="0" applyFill="1" applyBorder="1"/>
    <xf numFmtId="0" fontId="0" fillId="0" borderId="25" xfId="0" applyBorder="1"/>
    <xf numFmtId="0" fontId="0" fillId="29" borderId="26" xfId="0" applyFill="1" applyBorder="1"/>
    <xf numFmtId="0" fontId="0" fillId="29" borderId="21" xfId="0" applyFill="1" applyBorder="1"/>
    <xf numFmtId="3" fontId="20" fillId="30" borderId="6" xfId="0" applyNumberFormat="1" applyFont="1" applyFill="1" applyBorder="1" applyAlignment="1">
      <alignment horizontal="right"/>
    </xf>
    <xf numFmtId="3" fontId="10" fillId="30" borderId="6" xfId="0" applyNumberFormat="1" applyFont="1" applyFill="1" applyBorder="1" applyAlignment="1">
      <alignment horizontal="right"/>
    </xf>
    <xf numFmtId="3" fontId="29" fillId="27" borderId="6" xfId="0" applyNumberFormat="1" applyFont="1" applyFill="1" applyBorder="1" applyAlignment="1">
      <alignment horizontal="right"/>
    </xf>
    <xf numFmtId="3" fontId="10" fillId="27" borderId="6" xfId="0" applyNumberFormat="1" applyFont="1" applyFill="1" applyBorder="1" applyAlignment="1">
      <alignment horizontal="right"/>
    </xf>
    <xf numFmtId="3" fontId="20" fillId="27" borderId="6" xfId="0" applyNumberFormat="1" applyFont="1" applyFill="1" applyBorder="1" applyAlignment="1">
      <alignment horizontal="right"/>
    </xf>
    <xf numFmtId="0" fontId="0" fillId="29" borderId="13" xfId="0" applyFill="1" applyBorder="1"/>
    <xf numFmtId="3" fontId="7" fillId="27" borderId="6" xfId="0" applyNumberFormat="1" applyFont="1" applyFill="1" applyBorder="1" applyAlignment="1">
      <alignment horizontal="center"/>
    </xf>
    <xf numFmtId="0" fontId="0" fillId="8" borderId="29" xfId="0" applyFill="1" applyBorder="1"/>
    <xf numFmtId="0" fontId="0" fillId="8" borderId="27" xfId="0" applyFill="1" applyBorder="1"/>
    <xf numFmtId="3" fontId="7" fillId="27" borderId="25" xfId="0" applyNumberFormat="1" applyFont="1" applyFill="1" applyBorder="1" applyAlignment="1">
      <alignment horizontal="center"/>
    </xf>
    <xf numFmtId="0" fontId="0" fillId="10" borderId="31" xfId="0" applyFill="1" applyBorder="1"/>
    <xf numFmtId="0" fontId="0" fillId="10" borderId="32" xfId="0" applyFill="1" applyBorder="1"/>
    <xf numFmtId="0" fontId="0" fillId="10" borderId="33" xfId="0" applyFill="1" applyBorder="1"/>
    <xf numFmtId="3" fontId="0" fillId="24" borderId="6" xfId="0" applyNumberFormat="1" applyFill="1" applyBorder="1"/>
    <xf numFmtId="3" fontId="29" fillId="27" borderId="2" xfId="0" applyNumberFormat="1" applyFont="1" applyFill="1" applyBorder="1"/>
    <xf numFmtId="3" fontId="8" fillId="27" borderId="2" xfId="0" applyNumberFormat="1" applyFont="1" applyFill="1" applyBorder="1"/>
    <xf numFmtId="3" fontId="8" fillId="25" borderId="10" xfId="0" applyNumberFormat="1" applyFont="1" applyFill="1" applyBorder="1"/>
    <xf numFmtId="3" fontId="29" fillId="27" borderId="1" xfId="0" applyNumberFormat="1" applyFont="1" applyFill="1" applyBorder="1" applyAlignment="1">
      <alignment horizontal="right"/>
    </xf>
    <xf numFmtId="3" fontId="29" fillId="25" borderId="3" xfId="0" applyNumberFormat="1" applyFont="1" applyFill="1" applyBorder="1" applyAlignment="1">
      <alignment horizontal="right"/>
    </xf>
    <xf numFmtId="3" fontId="8" fillId="25" borderId="3" xfId="0" applyNumberFormat="1" applyFont="1" applyFill="1" applyBorder="1" applyAlignment="1">
      <alignment horizontal="right"/>
    </xf>
    <xf numFmtId="3" fontId="29" fillId="25" borderId="10" xfId="0" applyNumberFormat="1" applyFont="1" applyFill="1" applyBorder="1" applyAlignment="1">
      <alignment horizontal="right"/>
    </xf>
    <xf numFmtId="3" fontId="8" fillId="25" borderId="1" xfId="0" applyNumberFormat="1" applyFont="1" applyFill="1" applyBorder="1"/>
    <xf numFmtId="3" fontId="24" fillId="25" borderId="1" xfId="0" applyNumberFormat="1" applyFont="1" applyFill="1" applyBorder="1"/>
    <xf numFmtId="3" fontId="24" fillId="27" borderId="1" xfId="0" applyNumberFormat="1" applyFont="1" applyFill="1" applyBorder="1"/>
    <xf numFmtId="3" fontId="8" fillId="25" borderId="4" xfId="0" applyNumberFormat="1" applyFont="1" applyFill="1" applyBorder="1" applyAlignment="1"/>
    <xf numFmtId="3" fontId="24" fillId="27" borderId="2" xfId="0" applyNumberFormat="1" applyFont="1" applyFill="1" applyBorder="1"/>
    <xf numFmtId="0" fontId="7" fillId="8" borderId="28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/>
    </xf>
    <xf numFmtId="0" fontId="6" fillId="20" borderId="7" xfId="0" applyFont="1" applyFill="1" applyBorder="1" applyAlignment="1">
      <alignment horizontal="left" wrapText="1"/>
    </xf>
    <xf numFmtId="0" fontId="7" fillId="6" borderId="4" xfId="0" applyFont="1" applyFill="1" applyBorder="1" applyAlignment="1">
      <alignment horizontal="left" wrapText="1"/>
    </xf>
    <xf numFmtId="0" fontId="11" fillId="7" borderId="30" xfId="0" applyFont="1" applyFill="1" applyBorder="1" applyAlignment="1">
      <alignment horizontal="left" wrapText="1"/>
    </xf>
    <xf numFmtId="0" fontId="11" fillId="28" borderId="6" xfId="0" applyFont="1" applyFill="1" applyBorder="1" applyAlignment="1">
      <alignment horizontal="left" wrapText="1"/>
    </xf>
    <xf numFmtId="0" fontId="7" fillId="8" borderId="4" xfId="0" applyFont="1" applyFill="1" applyBorder="1" applyAlignment="1">
      <alignment horizontal="left" wrapText="1"/>
    </xf>
    <xf numFmtId="0" fontId="8" fillId="5" borderId="6" xfId="0" applyFont="1" applyFill="1" applyBorder="1" applyAlignment="1">
      <alignment horizontal="left" wrapText="1"/>
    </xf>
    <xf numFmtId="0" fontId="8" fillId="5" borderId="22" xfId="0" applyFont="1" applyFill="1" applyBorder="1" applyAlignment="1">
      <alignment horizontal="left" wrapText="1"/>
    </xf>
    <xf numFmtId="0" fontId="8" fillId="5" borderId="23" xfId="0" applyFont="1" applyFill="1" applyBorder="1" applyAlignment="1">
      <alignment horizontal="left" wrapText="1"/>
    </xf>
    <xf numFmtId="0" fontId="7" fillId="8" borderId="24" xfId="0" applyFont="1" applyFill="1" applyBorder="1" applyAlignment="1">
      <alignment horizontal="left"/>
    </xf>
    <xf numFmtId="0" fontId="6" fillId="20" borderId="4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7" fillId="4" borderId="22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3" fontId="8" fillId="27" borderId="2" xfId="0" applyNumberFormat="1" applyFont="1" applyFill="1" applyBorder="1" applyAlignment="1"/>
    <xf numFmtId="3" fontId="1" fillId="18" borderId="6" xfId="63" applyNumberFormat="1" applyFill="1" applyBorder="1"/>
    <xf numFmtId="3" fontId="0" fillId="8" borderId="6" xfId="0" applyNumberFormat="1" applyFill="1" applyBorder="1"/>
    <xf numFmtId="164" fontId="0" fillId="24" borderId="6" xfId="136" applyNumberFormat="1" applyFont="1" applyFill="1" applyBorder="1"/>
    <xf numFmtId="164" fontId="0" fillId="8" borderId="27" xfId="136" applyNumberFormat="1" applyFont="1" applyFill="1" applyBorder="1"/>
    <xf numFmtId="43" fontId="0" fillId="24" borderId="25" xfId="136" applyFont="1" applyFill="1" applyBorder="1"/>
    <xf numFmtId="164" fontId="0" fillId="24" borderId="25" xfId="136" applyNumberFormat="1" applyFont="1" applyFill="1" applyBorder="1"/>
    <xf numFmtId="43" fontId="0" fillId="0" borderId="0" xfId="0" applyNumberFormat="1"/>
    <xf numFmtId="43" fontId="0" fillId="24" borderId="6" xfId="136" applyFont="1" applyFill="1" applyBorder="1"/>
    <xf numFmtId="9" fontId="0" fillId="0" borderId="0" xfId="137" applyFont="1"/>
    <xf numFmtId="9" fontId="0" fillId="0" borderId="0" xfId="137" applyFont="1" applyAlignment="1">
      <alignment horizontal="left"/>
    </xf>
    <xf numFmtId="9" fontId="2" fillId="0" borderId="0" xfId="137" applyFont="1"/>
    <xf numFmtId="164" fontId="0" fillId="10" borderId="6" xfId="136" applyNumberFormat="1" applyFont="1" applyFill="1" applyBorder="1"/>
    <xf numFmtId="164" fontId="0" fillId="23" borderId="6" xfId="136" applyNumberFormat="1" applyFont="1" applyFill="1" applyBorder="1"/>
    <xf numFmtId="164" fontId="0" fillId="8" borderId="6" xfId="136" applyNumberFormat="1" applyFont="1" applyFill="1" applyBorder="1"/>
    <xf numFmtId="0" fontId="3" fillId="0" borderId="0" xfId="0" applyFont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0" fillId="12" borderId="0" xfId="0" applyFont="1" applyFill="1" applyAlignment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/>
    <xf numFmtId="0" fontId="3" fillId="2" borderId="0" xfId="0" applyFont="1" applyFill="1" applyAlignment="1">
      <alignment horizontal="center" vertical="center" wrapText="1"/>
    </xf>
    <xf numFmtId="0" fontId="0" fillId="2" borderId="0" xfId="0" applyFont="1" applyFill="1" applyAlignment="1"/>
    <xf numFmtId="0" fontId="25" fillId="23" borderId="0" xfId="0" applyFont="1" applyFill="1" applyAlignment="1">
      <alignment horizontal="center" vertical="center" wrapText="1"/>
    </xf>
    <xf numFmtId="0" fontId="2" fillId="24" borderId="0" xfId="0" applyFont="1" applyFill="1"/>
    <xf numFmtId="3" fontId="2" fillId="24" borderId="0" xfId="0" applyNumberFormat="1" applyFont="1" applyFill="1"/>
    <xf numFmtId="0" fontId="0" fillId="24" borderId="0" xfId="0" applyFill="1"/>
    <xf numFmtId="0" fontId="2" fillId="16" borderId="0" xfId="0" applyFont="1" applyFill="1"/>
    <xf numFmtId="0" fontId="0" fillId="16" borderId="0" xfId="0" applyFill="1"/>
    <xf numFmtId="0" fontId="0" fillId="16" borderId="0" xfId="0" quotePrefix="1" applyFill="1"/>
    <xf numFmtId="9" fontId="0" fillId="16" borderId="0" xfId="137" applyFont="1" applyFill="1"/>
  </cellXfs>
  <cellStyles count="138">
    <cellStyle name="20% - Accent1" xfId="63" builtinId="30"/>
    <cellStyle name="Comma" xfId="136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/>
    <cellStyle name="Normal" xfId="0" builtinId="0"/>
    <cellStyle name="Percent" xfId="137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127001</xdr:rowOff>
    </xdr:from>
    <xdr:to>
      <xdr:col>1</xdr:col>
      <xdr:colOff>241300</xdr:colOff>
      <xdr:row>4</xdr:row>
      <xdr:rowOff>12700</xdr:rowOff>
    </xdr:to>
    <xdr:pic>
      <xdr:nvPicPr>
        <xdr:cNvPr id="2" name="image0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000" y="127001"/>
          <a:ext cx="3035300" cy="647699"/>
        </a:xfrm>
        <a:prstGeom prst="rect">
          <a:avLst/>
        </a:prstGeom>
        <a:noFill/>
      </xdr:spPr>
    </xdr:pic>
    <xdr:clientData fLocksWithSheet="0"/>
  </xdr:twoCellAnchor>
  <xdr:twoCellAnchor>
    <xdr:from>
      <xdr:col>15</xdr:col>
      <xdr:colOff>190500</xdr:colOff>
      <xdr:row>1</xdr:row>
      <xdr:rowOff>12700</xdr:rowOff>
    </xdr:from>
    <xdr:to>
      <xdr:col>18</xdr:col>
      <xdr:colOff>742950</xdr:colOff>
      <xdr:row>3</xdr:row>
      <xdr:rowOff>165100</xdr:rowOff>
    </xdr:to>
    <xdr:pic>
      <xdr:nvPicPr>
        <xdr:cNvPr id="3" name="image00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573000" y="203200"/>
          <a:ext cx="3028950" cy="5334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jbrandt@topcarein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I103"/>
  <sheetViews>
    <sheetView topLeftCell="A15" zoomScale="75" zoomScaleNormal="85" zoomScalePageLayoutView="85" workbookViewId="0">
      <pane xSplit="1" topLeftCell="B1" activePane="topRight" state="frozen"/>
      <selection pane="topRight" activeCell="A19" sqref="A19"/>
    </sheetView>
  </sheetViews>
  <sheetFormatPr defaultColWidth="11" defaultRowHeight="15.75" x14ac:dyDescent="0.25"/>
  <cols>
    <col min="1" max="1" width="42" customWidth="1"/>
    <col min="2" max="2" width="16" customWidth="1"/>
    <col min="3" max="3" width="13" customWidth="1"/>
    <col min="4" max="4" width="13.125" customWidth="1"/>
    <col min="5" max="5" width="12.875" customWidth="1"/>
    <col min="6" max="6" width="12.375" customWidth="1"/>
    <col min="7" max="7" width="14.875" customWidth="1"/>
    <col min="8" max="8" width="12.5" customWidth="1"/>
    <col min="9" max="9" width="14" customWidth="1"/>
    <col min="10" max="10" width="13.875" customWidth="1"/>
    <col min="11" max="11" width="10.125" customWidth="1"/>
    <col min="12" max="12" width="11.375" customWidth="1"/>
    <col min="13" max="13" width="12.875" customWidth="1"/>
    <col min="14" max="14" width="19" customWidth="1"/>
    <col min="15" max="15" width="36.625" customWidth="1"/>
    <col min="16" max="16" width="29.875" customWidth="1"/>
    <col min="19" max="19" width="33.375" customWidth="1"/>
    <col min="20" max="20" width="32" customWidth="1"/>
    <col min="21" max="21" width="33.125" customWidth="1"/>
    <col min="22" max="22" width="32" customWidth="1"/>
    <col min="23" max="23" width="35.625" customWidth="1"/>
    <col min="24" max="24" width="29.375" customWidth="1"/>
    <col min="25" max="25" width="20.625" customWidth="1"/>
    <col min="26" max="26" width="28" customWidth="1"/>
    <col min="27" max="27" width="19.375" customWidth="1"/>
    <col min="28" max="28" width="26.125" customWidth="1"/>
    <col min="29" max="29" width="14.5" customWidth="1"/>
    <col min="30" max="30" width="19.125" customWidth="1"/>
    <col min="31" max="33" width="19.375" customWidth="1"/>
    <col min="34" max="34" width="15.5" customWidth="1"/>
    <col min="35" max="35" width="38" customWidth="1"/>
    <col min="36" max="36" width="14" customWidth="1"/>
    <col min="38" max="38" width="16" customWidth="1"/>
    <col min="39" max="39" width="40.875" customWidth="1"/>
  </cols>
  <sheetData>
    <row r="2" spans="1:30" ht="15" customHeight="1" x14ac:dyDescent="0.25">
      <c r="E2" s="174" t="s">
        <v>0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30" x14ac:dyDescent="0.25"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</row>
    <row r="4" spans="1:30" x14ac:dyDescent="0.25"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W4" s="10"/>
      <c r="X4" s="10"/>
      <c r="Y4" s="10"/>
    </row>
    <row r="5" spans="1:30" x14ac:dyDescent="0.25">
      <c r="W5" s="11"/>
      <c r="X5" s="10"/>
      <c r="Y5" s="10"/>
    </row>
    <row r="6" spans="1:30" x14ac:dyDescent="0.25">
      <c r="A6" s="175" t="s">
        <v>1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W6" s="11"/>
      <c r="X6" s="10"/>
      <c r="Y6" s="10"/>
    </row>
    <row r="7" spans="1:30" s="18" customFormat="1" x14ac:dyDescent="0.25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W7" s="70"/>
      <c r="X7" s="71"/>
      <c r="Y7" s="71"/>
    </row>
    <row r="8" spans="1:30" x14ac:dyDescent="0.25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W8" s="12"/>
      <c r="X8" s="10"/>
      <c r="Y8" s="10"/>
    </row>
    <row r="9" spans="1:30" ht="21" x14ac:dyDescent="0.3">
      <c r="B9" s="177" t="s">
        <v>262</v>
      </c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P9" t="s">
        <v>264</v>
      </c>
      <c r="S9" s="16" t="s">
        <v>1</v>
      </c>
      <c r="U9" s="16" t="s">
        <v>49</v>
      </c>
      <c r="W9" s="17" t="s">
        <v>21</v>
      </c>
      <c r="X9" s="10"/>
    </row>
    <row r="10" spans="1:30" ht="18.75" x14ac:dyDescent="0.3">
      <c r="A10" s="1" t="s">
        <v>2</v>
      </c>
      <c r="B10" s="5" t="s">
        <v>7</v>
      </c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6" t="s">
        <v>13</v>
      </c>
      <c r="I10" s="6" t="s">
        <v>14</v>
      </c>
      <c r="J10" s="6" t="s">
        <v>15</v>
      </c>
      <c r="K10" s="6" t="s">
        <v>16</v>
      </c>
      <c r="L10" s="6" t="s">
        <v>17</v>
      </c>
      <c r="M10" s="6" t="s">
        <v>18</v>
      </c>
      <c r="N10" s="6" t="s">
        <v>21</v>
      </c>
      <c r="O10" s="6" t="s">
        <v>78</v>
      </c>
      <c r="S10" s="4" t="s">
        <v>52</v>
      </c>
      <c r="U10" s="9" t="s">
        <v>52</v>
      </c>
      <c r="W10" s="9" t="s">
        <v>52</v>
      </c>
      <c r="AB10" s="62"/>
      <c r="AC10" s="62"/>
      <c r="AD10" s="62"/>
    </row>
    <row r="11" spans="1:30" ht="18.75" x14ac:dyDescent="0.3">
      <c r="A11" s="154" t="s">
        <v>3</v>
      </c>
      <c r="S11" s="3" t="s">
        <v>47</v>
      </c>
      <c r="T11">
        <f>N17/(N17+N35)</f>
        <v>0.34242476588275017</v>
      </c>
      <c r="U11" s="3" t="s">
        <v>47</v>
      </c>
      <c r="V11">
        <f>N55/(N55+N73)</f>
        <v>0.42737983761723702</v>
      </c>
      <c r="W11" s="13" t="s">
        <v>47</v>
      </c>
      <c r="X11" s="10">
        <f>(N17+N55)/(N17+N55+N35+N73)</f>
        <v>0.3851549356885165</v>
      </c>
      <c r="AB11" s="62"/>
      <c r="AC11" s="62"/>
      <c r="AD11" s="62"/>
    </row>
    <row r="12" spans="1:30" x14ac:dyDescent="0.25">
      <c r="A12" s="155" t="s">
        <v>4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4"/>
      <c r="O12" s="10"/>
      <c r="S12" s="8" t="s">
        <v>50</v>
      </c>
      <c r="T12" s="15" t="e">
        <f>N22/(N22+N40)</f>
        <v>#DIV/0!</v>
      </c>
      <c r="U12" s="8" t="s">
        <v>50</v>
      </c>
      <c r="V12">
        <f>N60/(N60+N78)</f>
        <v>0.96000023121921896</v>
      </c>
      <c r="W12" s="8" t="s">
        <v>50</v>
      </c>
      <c r="X12" s="14">
        <f>(N22+N60)/(N22+N60+N40+N78)</f>
        <v>0.96000023121921896</v>
      </c>
      <c r="AB12" s="62"/>
      <c r="AC12" s="62"/>
      <c r="AD12" s="62"/>
    </row>
    <row r="13" spans="1:30" ht="17.25" x14ac:dyDescent="0.3">
      <c r="A13" s="38" t="s">
        <v>6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128">
        <v>451201</v>
      </c>
      <c r="O13" s="85" t="s">
        <v>79</v>
      </c>
      <c r="S13" s="7" t="s">
        <v>48</v>
      </c>
      <c r="T13">
        <f>(N32)/(N32+N41)</f>
        <v>0.41084615149971376</v>
      </c>
      <c r="U13" s="3" t="s">
        <v>48</v>
      </c>
      <c r="V13">
        <f>(N70)/(N70+N79)</f>
        <v>0.5226626574103469</v>
      </c>
      <c r="W13" s="3" t="s">
        <v>48</v>
      </c>
      <c r="X13">
        <f>(N32+N70)/(N32+N70+N79+N41)</f>
        <v>0.47263603479666294</v>
      </c>
      <c r="AB13" s="62"/>
      <c r="AC13" s="62"/>
      <c r="AD13" s="62"/>
    </row>
    <row r="14" spans="1:30" ht="21.95" customHeight="1" x14ac:dyDescent="0.3">
      <c r="A14" s="39" t="s">
        <v>23</v>
      </c>
      <c r="B14" s="131">
        <v>92280</v>
      </c>
      <c r="C14" s="131">
        <v>161960</v>
      </c>
      <c r="D14" s="131">
        <v>149960</v>
      </c>
      <c r="E14" s="131">
        <v>185760</v>
      </c>
      <c r="F14" s="131">
        <v>160460</v>
      </c>
      <c r="G14" s="131">
        <v>163860</v>
      </c>
      <c r="H14" s="131">
        <v>127100</v>
      </c>
      <c r="I14" s="131">
        <v>89840</v>
      </c>
      <c r="J14" s="131">
        <v>175860</v>
      </c>
      <c r="K14" s="131">
        <v>114780</v>
      </c>
      <c r="L14" s="131">
        <v>193320</v>
      </c>
      <c r="M14" s="131">
        <v>331940</v>
      </c>
      <c r="N14" s="128">
        <f>SUM(B14:M14)</f>
        <v>1947120</v>
      </c>
      <c r="O14" s="85" t="s">
        <v>80</v>
      </c>
      <c r="S14" s="7" t="s">
        <v>169</v>
      </c>
      <c r="T14">
        <f>(N17+SUM(N19:N21)+SUM(N23:N29))/((N17+SUM(N19:N21)+SUM(N23:N29)+N41))</f>
        <v>0.41084615149971376</v>
      </c>
      <c r="U14" s="7" t="s">
        <v>169</v>
      </c>
      <c r="V14">
        <f>(N55+SUM(N57:N59)+SUM(N61:N67))/(N55+SUM(N57:N59)+SUM(N61:N67)+N79)</f>
        <v>0.42491774033478419</v>
      </c>
      <c r="W14" s="7" t="s">
        <v>169</v>
      </c>
      <c r="X14">
        <f>((N17+SUM(N19:N21)+SUM(N23:N29))+(N55+SUM(N57:N59)+SUM(N61:N68)))/(((N17+SUM(N19:N21)+SUM(N23:N29))+(N55+SUM(N57:N59)+SUM(N61:N67)))+N41+N79)</f>
        <v>0.41796951839588353</v>
      </c>
      <c r="AB14" s="62"/>
      <c r="AC14" s="62"/>
      <c r="AD14" s="62"/>
    </row>
    <row r="15" spans="1:30" x14ac:dyDescent="0.25">
      <c r="A15" s="39" t="s">
        <v>24</v>
      </c>
      <c r="B15" s="89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f>SUM(B15:M15)</f>
        <v>0</v>
      </c>
      <c r="O15" s="85" t="s">
        <v>81</v>
      </c>
      <c r="S15" s="4" t="s">
        <v>60</v>
      </c>
      <c r="U15" s="4" t="s">
        <v>60</v>
      </c>
      <c r="W15" s="4" t="s">
        <v>60</v>
      </c>
      <c r="AB15" s="62"/>
      <c r="AC15" s="62"/>
      <c r="AD15" s="62"/>
    </row>
    <row r="16" spans="1:30" x14ac:dyDescent="0.25">
      <c r="A16" s="39" t="s">
        <v>25</v>
      </c>
      <c r="B16" s="93">
        <v>0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f>1769+473</f>
        <v>2242</v>
      </c>
      <c r="M16" s="93">
        <v>0</v>
      </c>
      <c r="N16" s="94">
        <f>SUM(B16:M16)</f>
        <v>2242</v>
      </c>
      <c r="O16" s="85" t="s">
        <v>82</v>
      </c>
      <c r="S16" t="s">
        <v>231</v>
      </c>
      <c r="T16">
        <f>((N17+N35)/2000)/T45</f>
        <v>0.20047134686874465</v>
      </c>
      <c r="U16" t="s">
        <v>231</v>
      </c>
      <c r="V16">
        <f>((N55+N73)/2000)/T44</f>
        <v>0.32695968384182872</v>
      </c>
      <c r="W16" t="s">
        <v>231</v>
      </c>
      <c r="X16">
        <f>((N17+N35+N55+N73)/2000)/(T44+T45)</f>
        <v>0.24890333556857486</v>
      </c>
      <c r="AB16" s="62"/>
      <c r="AC16" s="62"/>
      <c r="AD16" s="62"/>
    </row>
    <row r="17" spans="1:30" x14ac:dyDescent="0.25">
      <c r="A17" s="148" t="s">
        <v>189</v>
      </c>
      <c r="B17" s="92">
        <f>SUM(B13:B16)</f>
        <v>92280</v>
      </c>
      <c r="C17" s="92">
        <f t="shared" ref="C17:M17" si="0">SUM(C13:C16)</f>
        <v>161960</v>
      </c>
      <c r="D17" s="92">
        <f t="shared" si="0"/>
        <v>149960</v>
      </c>
      <c r="E17" s="92">
        <f t="shared" si="0"/>
        <v>185760</v>
      </c>
      <c r="F17" s="92">
        <f t="shared" si="0"/>
        <v>160460</v>
      </c>
      <c r="G17" s="92">
        <f t="shared" si="0"/>
        <v>163860</v>
      </c>
      <c r="H17" s="92">
        <f t="shared" si="0"/>
        <v>127100</v>
      </c>
      <c r="I17" s="92">
        <f t="shared" si="0"/>
        <v>89840</v>
      </c>
      <c r="J17" s="92">
        <f t="shared" si="0"/>
        <v>175860</v>
      </c>
      <c r="K17" s="92">
        <f t="shared" si="0"/>
        <v>114780</v>
      </c>
      <c r="L17" s="92">
        <f t="shared" si="0"/>
        <v>195562</v>
      </c>
      <c r="M17" s="92">
        <f t="shared" si="0"/>
        <v>331940</v>
      </c>
      <c r="N17" s="92">
        <f>SUM(N13:N16)</f>
        <v>2400563</v>
      </c>
      <c r="O17" s="86"/>
      <c r="S17" t="s">
        <v>58</v>
      </c>
      <c r="T17">
        <f>N19/2000</f>
        <v>48.518500000000003</v>
      </c>
      <c r="U17" t="s">
        <v>58</v>
      </c>
      <c r="V17">
        <f>N57/2000</f>
        <v>146.70650000000001</v>
      </c>
      <c r="W17" t="s">
        <v>58</v>
      </c>
      <c r="X17">
        <f>(N19+N57)/2000</f>
        <v>195.22499999999999</v>
      </c>
      <c r="AB17" s="62"/>
      <c r="AC17" s="62"/>
      <c r="AD17" s="62"/>
    </row>
    <row r="18" spans="1:30" x14ac:dyDescent="0.25">
      <c r="A18" s="142" t="s">
        <v>188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4"/>
      <c r="O18" s="86"/>
      <c r="S18" s="4" t="s">
        <v>57</v>
      </c>
      <c r="U18" s="4" t="s">
        <v>57</v>
      </c>
      <c r="W18" s="4" t="s">
        <v>57</v>
      </c>
      <c r="AB18" s="62"/>
      <c r="AC18" s="62"/>
      <c r="AD18" s="62"/>
    </row>
    <row r="19" spans="1:30" x14ac:dyDescent="0.25">
      <c r="A19" s="90" t="s">
        <v>26</v>
      </c>
      <c r="B19" s="98">
        <v>4446</v>
      </c>
      <c r="C19" s="98">
        <v>9456</v>
      </c>
      <c r="D19" s="98">
        <v>13748</v>
      </c>
      <c r="E19" s="98">
        <v>8516</v>
      </c>
      <c r="F19" s="98">
        <v>2605</v>
      </c>
      <c r="G19" s="98">
        <v>8503</v>
      </c>
      <c r="H19" s="98">
        <v>9789</v>
      </c>
      <c r="I19" s="98">
        <v>9901</v>
      </c>
      <c r="J19" s="98">
        <v>7273</v>
      </c>
      <c r="K19" s="98">
        <v>3660</v>
      </c>
      <c r="L19" s="98">
        <v>8131</v>
      </c>
      <c r="M19" s="98">
        <v>11009</v>
      </c>
      <c r="N19" s="99">
        <f>SUM(B19:M19)</f>
        <v>97037</v>
      </c>
      <c r="O19" s="85" t="s">
        <v>84</v>
      </c>
      <c r="S19" t="s">
        <v>51</v>
      </c>
      <c r="T19">
        <f>N16+N24</f>
        <v>513142</v>
      </c>
      <c r="U19" t="s">
        <v>51</v>
      </c>
      <c r="V19">
        <f>N54+N62</f>
        <v>10660</v>
      </c>
      <c r="W19" t="s">
        <v>51</v>
      </c>
      <c r="X19">
        <f>T19+V19</f>
        <v>523802</v>
      </c>
      <c r="AB19" s="62"/>
      <c r="AC19" s="62"/>
    </row>
    <row r="20" spans="1:30" x14ac:dyDescent="0.25">
      <c r="A20" s="90" t="s">
        <v>27</v>
      </c>
      <c r="B20" s="100">
        <v>765</v>
      </c>
      <c r="C20" s="98">
        <v>909</v>
      </c>
      <c r="D20" s="98">
        <v>1199</v>
      </c>
      <c r="E20" s="98">
        <v>967</v>
      </c>
      <c r="F20" s="98">
        <v>1186</v>
      </c>
      <c r="G20" s="98">
        <v>662</v>
      </c>
      <c r="H20" s="98">
        <v>693</v>
      </c>
      <c r="I20" s="98">
        <v>2480</v>
      </c>
      <c r="J20" s="98">
        <v>1867</v>
      </c>
      <c r="K20" s="98">
        <v>1160</v>
      </c>
      <c r="L20" s="98">
        <v>1254</v>
      </c>
      <c r="M20" s="98">
        <v>796</v>
      </c>
      <c r="N20" s="101">
        <f>SUM(B20:M20)</f>
        <v>13938</v>
      </c>
      <c r="O20" s="85" t="s">
        <v>84</v>
      </c>
      <c r="S20" t="s">
        <v>59</v>
      </c>
      <c r="T20" s="36">
        <v>35</v>
      </c>
      <c r="U20" t="s">
        <v>59</v>
      </c>
      <c r="V20" s="37">
        <v>1</v>
      </c>
      <c r="W20" t="s">
        <v>59</v>
      </c>
      <c r="X20">
        <f>V20+T20</f>
        <v>36</v>
      </c>
      <c r="AB20" s="62"/>
      <c r="AC20" s="62"/>
    </row>
    <row r="21" spans="1:30" x14ac:dyDescent="0.25">
      <c r="A21" s="90" t="s">
        <v>28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>
        <f t="shared" ref="N21:N28" si="1">SUM(B21:M21)</f>
        <v>0</v>
      </c>
      <c r="O21" s="87" t="s">
        <v>85</v>
      </c>
      <c r="S21" s="4" t="s">
        <v>209</v>
      </c>
      <c r="U21" s="4" t="s">
        <v>209</v>
      </c>
      <c r="W21" s="4" t="s">
        <v>209</v>
      </c>
      <c r="AB21" s="62"/>
      <c r="AC21" s="62"/>
    </row>
    <row r="22" spans="1:30" x14ac:dyDescent="0.25">
      <c r="A22" s="90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>
        <f t="shared" si="1"/>
        <v>0</v>
      </c>
      <c r="O22" s="87" t="s">
        <v>86</v>
      </c>
      <c r="S22" t="s">
        <v>53</v>
      </c>
      <c r="T22" s="41">
        <v>17</v>
      </c>
      <c r="U22" t="s">
        <v>53</v>
      </c>
      <c r="V22" s="41">
        <v>2</v>
      </c>
      <c r="W22" t="s">
        <v>53</v>
      </c>
      <c r="X22">
        <f>T22+V22</f>
        <v>19</v>
      </c>
    </row>
    <row r="23" spans="1:30" x14ac:dyDescent="0.25">
      <c r="A23" s="91" t="s">
        <v>30</v>
      </c>
      <c r="B23" s="95">
        <v>365.625</v>
      </c>
      <c r="C23" s="95">
        <v>787.5</v>
      </c>
      <c r="D23" s="95">
        <v>1248.75</v>
      </c>
      <c r="E23" s="95">
        <v>1935</v>
      </c>
      <c r="F23" s="95">
        <v>2508.75</v>
      </c>
      <c r="G23" s="96">
        <v>2070</v>
      </c>
      <c r="H23" s="95">
        <v>281.25</v>
      </c>
      <c r="I23" s="95">
        <v>1693.125</v>
      </c>
      <c r="J23" s="95">
        <v>2894.0625</v>
      </c>
      <c r="K23" s="95">
        <v>2390.0625</v>
      </c>
      <c r="L23" s="95">
        <v>3130.3125</v>
      </c>
      <c r="M23" s="97">
        <v>590.625</v>
      </c>
      <c r="N23" s="99">
        <f>SUM(B23:M23)</f>
        <v>19895.0625</v>
      </c>
      <c r="O23" s="87" t="s">
        <v>263</v>
      </c>
      <c r="S23" t="s">
        <v>54</v>
      </c>
      <c r="T23" s="41">
        <v>207</v>
      </c>
      <c r="U23" t="s">
        <v>54</v>
      </c>
      <c r="V23" s="41">
        <v>100</v>
      </c>
      <c r="W23" t="s">
        <v>54</v>
      </c>
      <c r="X23">
        <f>V23+T23</f>
        <v>307</v>
      </c>
    </row>
    <row r="24" spans="1:30" x14ac:dyDescent="0.25">
      <c r="A24" s="91" t="s">
        <v>31</v>
      </c>
      <c r="B24" s="133">
        <v>25730</v>
      </c>
      <c r="C24" s="133">
        <v>48570</v>
      </c>
      <c r="D24" s="133">
        <v>64710</v>
      </c>
      <c r="E24" s="133">
        <v>58250</v>
      </c>
      <c r="F24" s="133">
        <v>50380</v>
      </c>
      <c r="G24" s="133">
        <v>47515</v>
      </c>
      <c r="H24" s="134">
        <v>35950</v>
      </c>
      <c r="I24" s="134">
        <v>42385</v>
      </c>
      <c r="J24" s="134">
        <v>42765</v>
      </c>
      <c r="K24" s="134">
        <v>48525</v>
      </c>
      <c r="L24" s="133">
        <v>31980</v>
      </c>
      <c r="M24" s="135">
        <v>14140</v>
      </c>
      <c r="N24" s="99">
        <f>SUM(B24:M24)</f>
        <v>510900</v>
      </c>
      <c r="O24" s="87" t="s">
        <v>82</v>
      </c>
      <c r="S24" t="s">
        <v>55</v>
      </c>
      <c r="T24" s="41">
        <v>148000</v>
      </c>
      <c r="U24" t="s">
        <v>56</v>
      </c>
      <c r="V24" s="41">
        <v>13040</v>
      </c>
      <c r="W24" t="s">
        <v>56</v>
      </c>
      <c r="X24">
        <f>T24+V24</f>
        <v>161040</v>
      </c>
    </row>
    <row r="25" spans="1:30" ht="17.25" x14ac:dyDescent="0.3">
      <c r="A25" s="149" t="s">
        <v>32</v>
      </c>
      <c r="B25" s="98">
        <v>0</v>
      </c>
      <c r="C25" s="98">
        <v>1609</v>
      </c>
      <c r="D25" s="98">
        <v>0</v>
      </c>
      <c r="E25" s="98">
        <v>2336</v>
      </c>
      <c r="F25" s="98">
        <v>0</v>
      </c>
      <c r="G25" s="98">
        <v>2081</v>
      </c>
      <c r="H25" s="98">
        <v>0</v>
      </c>
      <c r="I25" s="98">
        <v>0</v>
      </c>
      <c r="J25" s="98">
        <v>2544</v>
      </c>
      <c r="K25" s="98">
        <v>0</v>
      </c>
      <c r="L25" s="98">
        <v>3068</v>
      </c>
      <c r="M25" s="98">
        <v>0</v>
      </c>
      <c r="N25" s="99">
        <f>SUM(B25:M25)</f>
        <v>11638</v>
      </c>
      <c r="O25" s="87" t="s">
        <v>84</v>
      </c>
      <c r="S25" s="75" t="s">
        <v>206</v>
      </c>
      <c r="T25" s="168">
        <v>0.11</v>
      </c>
      <c r="U25" s="42" t="s">
        <v>206</v>
      </c>
      <c r="V25" s="168">
        <v>0.02</v>
      </c>
      <c r="W25" s="42" t="s">
        <v>206</v>
      </c>
      <c r="X25" s="168">
        <v>0.08</v>
      </c>
    </row>
    <row r="26" spans="1:30" ht="17.25" x14ac:dyDescent="0.3">
      <c r="A26" s="149" t="s">
        <v>33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>
        <f t="shared" si="1"/>
        <v>0</v>
      </c>
      <c r="O26" s="87" t="s">
        <v>220</v>
      </c>
      <c r="S26" s="42" t="s">
        <v>207</v>
      </c>
      <c r="T26" s="169">
        <f>T22/(T22+T23)</f>
        <v>7.5892857142857137E-2</v>
      </c>
      <c r="U26" s="42" t="s">
        <v>207</v>
      </c>
      <c r="V26" s="169">
        <f>V22/V23</f>
        <v>0.02</v>
      </c>
      <c r="W26" s="42" t="s">
        <v>207</v>
      </c>
      <c r="X26" s="168">
        <v>0.06</v>
      </c>
    </row>
    <row r="27" spans="1:30" ht="38.1" customHeight="1" x14ac:dyDescent="0.25">
      <c r="A27" s="150" t="s">
        <v>34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89">
        <f t="shared" si="1"/>
        <v>0</v>
      </c>
      <c r="O27" s="87" t="s">
        <v>88</v>
      </c>
      <c r="S27" s="4" t="s">
        <v>210</v>
      </c>
      <c r="T27" s="18" t="s">
        <v>238</v>
      </c>
      <c r="U27" s="4" t="s">
        <v>210</v>
      </c>
      <c r="V27" s="18" t="s">
        <v>238</v>
      </c>
      <c r="W27" s="4" t="s">
        <v>210</v>
      </c>
      <c r="X27" s="18" t="s">
        <v>238</v>
      </c>
    </row>
    <row r="28" spans="1:30" x14ac:dyDescent="0.25">
      <c r="A28" s="91" t="s">
        <v>35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>
        <f t="shared" si="1"/>
        <v>0</v>
      </c>
      <c r="O28" s="88"/>
      <c r="S28" t="s">
        <v>214</v>
      </c>
      <c r="T28" s="41">
        <v>458</v>
      </c>
      <c r="U28" t="s">
        <v>214</v>
      </c>
      <c r="V28" s="41">
        <v>0</v>
      </c>
      <c r="W28" t="s">
        <v>214</v>
      </c>
      <c r="X28" s="41">
        <v>458</v>
      </c>
    </row>
    <row r="29" spans="1:30" ht="16.5" thickBot="1" x14ac:dyDescent="0.3">
      <c r="A29" s="151" t="s">
        <v>36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>
        <f>(197200+195200)/2</f>
        <v>196200</v>
      </c>
      <c r="O29" s="87" t="s">
        <v>90</v>
      </c>
      <c r="S29" t="s">
        <v>216</v>
      </c>
      <c r="T29" s="41">
        <v>2951</v>
      </c>
      <c r="U29" t="s">
        <v>216</v>
      </c>
      <c r="V29" s="41"/>
      <c r="W29" t="s">
        <v>216</v>
      </c>
      <c r="X29" s="41">
        <v>2951</v>
      </c>
    </row>
    <row r="30" spans="1:30" ht="17.25" thickTop="1" thickBot="1" x14ac:dyDescent="0.3">
      <c r="A30" s="151" t="s">
        <v>5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43"/>
      <c r="S30" t="s">
        <v>217</v>
      </c>
      <c r="T30" s="41"/>
      <c r="U30" t="s">
        <v>217</v>
      </c>
      <c r="V30" s="41"/>
      <c r="W30" t="s">
        <v>217</v>
      </c>
      <c r="X30" s="41"/>
    </row>
    <row r="31" spans="1:30" ht="17.25" thickTop="1" thickBot="1" x14ac:dyDescent="0.3">
      <c r="A31" s="152" t="s">
        <v>190</v>
      </c>
      <c r="B31" s="173">
        <f t="shared" ref="B31:M31" si="2">SUM(B19:B29)</f>
        <v>31306.625</v>
      </c>
      <c r="C31" s="173">
        <f t="shared" si="2"/>
        <v>61331.5</v>
      </c>
      <c r="D31" s="173">
        <f t="shared" si="2"/>
        <v>80905.75</v>
      </c>
      <c r="E31" s="173">
        <f t="shared" si="2"/>
        <v>72004</v>
      </c>
      <c r="F31" s="173">
        <f t="shared" si="2"/>
        <v>56679.75</v>
      </c>
      <c r="G31" s="173">
        <f t="shared" si="2"/>
        <v>60831</v>
      </c>
      <c r="H31" s="173">
        <f t="shared" si="2"/>
        <v>46713.25</v>
      </c>
      <c r="I31" s="173">
        <f t="shared" si="2"/>
        <v>56459.125</v>
      </c>
      <c r="J31" s="173">
        <f t="shared" si="2"/>
        <v>57343.0625</v>
      </c>
      <c r="K31" s="173">
        <f t="shared" si="2"/>
        <v>55735.0625</v>
      </c>
      <c r="L31" s="173">
        <f t="shared" si="2"/>
        <v>47563.3125</v>
      </c>
      <c r="M31" s="173">
        <f t="shared" si="2"/>
        <v>26535.625</v>
      </c>
      <c r="N31" s="173">
        <f>SUM(N19:N30)</f>
        <v>849608.0625</v>
      </c>
      <c r="O31" s="86"/>
      <c r="S31" s="76" t="s">
        <v>208</v>
      </c>
      <c r="T31" s="35">
        <f>T30/(N16+N24)</f>
        <v>0</v>
      </c>
      <c r="U31" s="76" t="s">
        <v>208</v>
      </c>
      <c r="V31" s="35">
        <f>V30/(N54+N62)</f>
        <v>0</v>
      </c>
      <c r="W31" s="76" t="s">
        <v>208</v>
      </c>
      <c r="X31" s="35"/>
    </row>
    <row r="32" spans="1:30" ht="18.75" x14ac:dyDescent="0.3">
      <c r="A32" s="153" t="s">
        <v>230</v>
      </c>
      <c r="B32" s="172">
        <f t="shared" ref="B32:M32" si="3">SUM(B17+B31)</f>
        <v>123586.625</v>
      </c>
      <c r="C32" s="172">
        <f t="shared" si="3"/>
        <v>223291.5</v>
      </c>
      <c r="D32" s="172">
        <f t="shared" si="3"/>
        <v>230865.75</v>
      </c>
      <c r="E32" s="172">
        <f t="shared" si="3"/>
        <v>257764</v>
      </c>
      <c r="F32" s="172">
        <f t="shared" si="3"/>
        <v>217139.75</v>
      </c>
      <c r="G32" s="172">
        <f t="shared" si="3"/>
        <v>224691</v>
      </c>
      <c r="H32" s="172">
        <f t="shared" si="3"/>
        <v>173813.25</v>
      </c>
      <c r="I32" s="172">
        <f t="shared" si="3"/>
        <v>146299.125</v>
      </c>
      <c r="J32" s="172">
        <f t="shared" si="3"/>
        <v>233203.0625</v>
      </c>
      <c r="K32" s="172">
        <f t="shared" si="3"/>
        <v>170515.0625</v>
      </c>
      <c r="L32" s="172">
        <f t="shared" si="3"/>
        <v>243125.3125</v>
      </c>
      <c r="M32" s="172">
        <f t="shared" si="3"/>
        <v>358475.625</v>
      </c>
      <c r="N32" s="172">
        <f>SUM(N31+N17)</f>
        <v>3250171.0625</v>
      </c>
      <c r="O32" s="86"/>
      <c r="S32" s="76" t="s">
        <v>215</v>
      </c>
      <c r="T32" s="170">
        <f>T28/(T28+T29)</f>
        <v>0.13435024933998241</v>
      </c>
      <c r="U32" s="76" t="s">
        <v>215</v>
      </c>
      <c r="V32" s="11" t="e">
        <f>V28/V29</f>
        <v>#DIV/0!</v>
      </c>
      <c r="W32" s="76" t="s">
        <v>215</v>
      </c>
      <c r="X32" s="170">
        <f>X28/(X28+X29)</f>
        <v>0.13435024933998241</v>
      </c>
    </row>
    <row r="33" spans="1:35" ht="18.95" customHeight="1" thickBot="1" x14ac:dyDescent="0.3">
      <c r="O33" s="43"/>
    </row>
    <row r="34" spans="1:35" ht="18.75" x14ac:dyDescent="0.3">
      <c r="A34" s="2" t="s">
        <v>19</v>
      </c>
      <c r="B34" s="109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10"/>
      <c r="O34" s="86"/>
    </row>
    <row r="35" spans="1:35" x14ac:dyDescent="0.25">
      <c r="A35" s="90" t="s">
        <v>37</v>
      </c>
      <c r="B35" s="136">
        <v>414900</v>
      </c>
      <c r="C35" s="136">
        <v>429980</v>
      </c>
      <c r="D35" s="136">
        <v>440580</v>
      </c>
      <c r="E35" s="136">
        <v>426580</v>
      </c>
      <c r="F35" s="136">
        <v>396580</v>
      </c>
      <c r="G35" s="137">
        <v>384740</v>
      </c>
      <c r="H35" s="138">
        <v>365480</v>
      </c>
      <c r="I35" s="139">
        <v>406880</v>
      </c>
      <c r="J35" s="137">
        <v>404120</v>
      </c>
      <c r="K35" s="138">
        <v>465700</v>
      </c>
      <c r="L35" s="138">
        <v>384520</v>
      </c>
      <c r="M35" s="140">
        <v>89860</v>
      </c>
      <c r="N35" s="165">
        <f t="shared" ref="N35:N40" si="4">SUM(B35:M35)</f>
        <v>4609920</v>
      </c>
      <c r="O35" s="86" t="s">
        <v>91</v>
      </c>
    </row>
    <row r="36" spans="1:35" x14ac:dyDescent="0.25">
      <c r="A36" s="90" t="s">
        <v>38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>
        <f t="shared" si="4"/>
        <v>0</v>
      </c>
      <c r="O36" s="86" t="s">
        <v>90</v>
      </c>
      <c r="V36" s="10"/>
      <c r="W36" s="11"/>
      <c r="X36" s="10"/>
    </row>
    <row r="37" spans="1:35" ht="39" x14ac:dyDescent="0.25">
      <c r="A37" s="90" t="s">
        <v>39</v>
      </c>
      <c r="B37" s="102">
        <v>2237</v>
      </c>
      <c r="C37" s="102">
        <v>2179</v>
      </c>
      <c r="D37" s="102">
        <v>2572</v>
      </c>
      <c r="E37" s="102">
        <v>1797</v>
      </c>
      <c r="F37" s="102">
        <v>1738</v>
      </c>
      <c r="G37" s="102">
        <v>1882</v>
      </c>
      <c r="H37" s="102">
        <v>1318</v>
      </c>
      <c r="I37" s="102">
        <v>1918</v>
      </c>
      <c r="J37" s="102">
        <v>2518</v>
      </c>
      <c r="K37" s="102">
        <v>1887</v>
      </c>
      <c r="L37" s="102">
        <v>1678</v>
      </c>
      <c r="M37" s="102">
        <v>1776</v>
      </c>
      <c r="N37" s="104">
        <f>SUM(B37:M37)</f>
        <v>23500</v>
      </c>
      <c r="O37" s="86" t="s">
        <v>84</v>
      </c>
      <c r="S37" s="44" t="s">
        <v>170</v>
      </c>
      <c r="T37" s="69" t="s">
        <v>221</v>
      </c>
      <c r="V37" t="s">
        <v>219</v>
      </c>
    </row>
    <row r="38" spans="1:35" ht="47.25" x14ac:dyDescent="0.25">
      <c r="A38" s="90" t="s">
        <v>40</v>
      </c>
      <c r="B38" s="102">
        <v>698</v>
      </c>
      <c r="C38" s="102">
        <v>3309</v>
      </c>
      <c r="D38" s="102">
        <v>31</v>
      </c>
      <c r="E38" s="102">
        <v>5113</v>
      </c>
      <c r="F38" s="102">
        <v>0</v>
      </c>
      <c r="G38" s="102">
        <v>4750</v>
      </c>
      <c r="H38" s="102">
        <v>318</v>
      </c>
      <c r="I38" s="102">
        <v>588</v>
      </c>
      <c r="J38" s="102">
        <v>4128</v>
      </c>
      <c r="K38" s="102">
        <v>0</v>
      </c>
      <c r="L38" s="102">
        <v>6965</v>
      </c>
      <c r="M38" s="102">
        <v>1429</v>
      </c>
      <c r="N38" s="104">
        <f>SUM(B38:M38)</f>
        <v>27329</v>
      </c>
      <c r="O38" s="86" t="s">
        <v>84</v>
      </c>
      <c r="S38" s="45" t="s">
        <v>171</v>
      </c>
      <c r="T38" s="41">
        <v>1164</v>
      </c>
      <c r="V38" s="72" t="s">
        <v>261</v>
      </c>
      <c r="W38" s="72" t="s">
        <v>50</v>
      </c>
      <c r="X38" s="72" t="s">
        <v>196</v>
      </c>
      <c r="Y38" s="72" t="s">
        <v>197</v>
      </c>
      <c r="Z38" s="72" t="s">
        <v>198</v>
      </c>
      <c r="AA38" s="72" t="s">
        <v>199</v>
      </c>
      <c r="AB38" s="72" t="s">
        <v>200</v>
      </c>
      <c r="AC38" s="73" t="s">
        <v>51</v>
      </c>
      <c r="AD38" s="73" t="s">
        <v>211</v>
      </c>
      <c r="AE38" s="73" t="s">
        <v>212</v>
      </c>
      <c r="AF38" s="73" t="s">
        <v>218</v>
      </c>
      <c r="AG38" s="73" t="s">
        <v>213</v>
      </c>
      <c r="AH38" s="73" t="s">
        <v>231</v>
      </c>
      <c r="AI38" s="72" t="s">
        <v>201</v>
      </c>
    </row>
    <row r="39" spans="1:35" x14ac:dyDescent="0.25">
      <c r="A39" s="91" t="s">
        <v>41</v>
      </c>
      <c r="B39" s="105">
        <v>0</v>
      </c>
      <c r="C39" s="105">
        <v>0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6">
        <f>SUM(B39:M39)</f>
        <v>0</v>
      </c>
      <c r="O39" s="86" t="s">
        <v>84</v>
      </c>
      <c r="S39" s="45" t="s">
        <v>172</v>
      </c>
      <c r="T39" s="41">
        <v>12496</v>
      </c>
      <c r="V39" s="74">
        <f>X11</f>
        <v>0.3851549356885165</v>
      </c>
      <c r="W39" s="74">
        <f>X12</f>
        <v>0.96000023121921896</v>
      </c>
      <c r="X39" s="74">
        <f>X14</f>
        <v>0.41796951839588353</v>
      </c>
      <c r="Y39" s="74">
        <f>T14</f>
        <v>0.41084615149971376</v>
      </c>
      <c r="Z39" s="74"/>
      <c r="AA39" s="74">
        <f>V14</f>
        <v>0.42491774033478419</v>
      </c>
      <c r="AB39" s="74"/>
      <c r="AC39" s="74">
        <f>X19</f>
        <v>523802</v>
      </c>
      <c r="AD39" s="74">
        <f>X26</f>
        <v>0.06</v>
      </c>
      <c r="AE39" s="74">
        <v>0.08</v>
      </c>
      <c r="AF39" s="74">
        <f>X32</f>
        <v>0.13435024933998241</v>
      </c>
      <c r="AG39" s="74">
        <f>X31</f>
        <v>0</v>
      </c>
      <c r="AH39" s="74">
        <f>X16</f>
        <v>0.24890333556857486</v>
      </c>
      <c r="AI39" s="74"/>
    </row>
    <row r="40" spans="1:35" x14ac:dyDescent="0.25">
      <c r="A40" s="91" t="s">
        <v>42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>
        <f t="shared" si="4"/>
        <v>0</v>
      </c>
      <c r="O40" s="86" t="s">
        <v>86</v>
      </c>
      <c r="S40" s="45" t="s">
        <v>173</v>
      </c>
      <c r="T40" s="160">
        <v>1130</v>
      </c>
      <c r="X40" s="12"/>
      <c r="Y40" s="62"/>
      <c r="Z40" s="62"/>
    </row>
    <row r="41" spans="1:35" ht="17.25" x14ac:dyDescent="0.3">
      <c r="A41" s="147" t="s">
        <v>43</v>
      </c>
      <c r="B41" s="171">
        <f>SUM(B35:B40)</f>
        <v>417835</v>
      </c>
      <c r="C41" s="171">
        <f t="shared" ref="C41:M41" si="5">SUM(C35:C40)</f>
        <v>435468</v>
      </c>
      <c r="D41" s="171">
        <f t="shared" si="5"/>
        <v>443183</v>
      </c>
      <c r="E41" s="171">
        <f t="shared" si="5"/>
        <v>433490</v>
      </c>
      <c r="F41" s="171">
        <f t="shared" si="5"/>
        <v>398318</v>
      </c>
      <c r="G41" s="171">
        <f t="shared" si="5"/>
        <v>391372</v>
      </c>
      <c r="H41" s="171">
        <f t="shared" si="5"/>
        <v>367116</v>
      </c>
      <c r="I41" s="171">
        <f t="shared" si="5"/>
        <v>409386</v>
      </c>
      <c r="J41" s="171">
        <f t="shared" si="5"/>
        <v>410766</v>
      </c>
      <c r="K41" s="171">
        <f t="shared" si="5"/>
        <v>467587</v>
      </c>
      <c r="L41" s="171">
        <f t="shared" si="5"/>
        <v>393163</v>
      </c>
      <c r="M41" s="171">
        <f t="shared" si="5"/>
        <v>93065</v>
      </c>
      <c r="N41" s="171">
        <f>SUM(N37:N40)+N35</f>
        <v>4660749</v>
      </c>
      <c r="O41" s="10"/>
      <c r="S41" s="45" t="s">
        <v>174</v>
      </c>
      <c r="T41" s="41">
        <f>1243+27+24+29</f>
        <v>1323</v>
      </c>
      <c r="V41" s="10"/>
      <c r="W41" s="10"/>
      <c r="X41" s="10"/>
    </row>
    <row r="42" spans="1:35" x14ac:dyDescent="0.25">
      <c r="A42" s="112"/>
      <c r="S42" s="45" t="s">
        <v>175</v>
      </c>
      <c r="T42" s="160">
        <v>8555</v>
      </c>
    </row>
    <row r="43" spans="1:35" x14ac:dyDescent="0.25">
      <c r="S43" s="45" t="s">
        <v>176</v>
      </c>
      <c r="T43" s="160">
        <f>2603+404+216+443</f>
        <v>3666</v>
      </c>
    </row>
    <row r="44" spans="1:35" x14ac:dyDescent="0.25">
      <c r="A44" s="179" t="s">
        <v>20</v>
      </c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S44" s="45" t="s">
        <v>177</v>
      </c>
      <c r="T44" s="160">
        <f>SUM(T38+T40+T42)</f>
        <v>10849</v>
      </c>
    </row>
    <row r="45" spans="1:35" x14ac:dyDescent="0.25">
      <c r="A45" s="180"/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S45" s="45" t="s">
        <v>178</v>
      </c>
      <c r="T45" s="160">
        <f>SUM(T39+T41+T43)</f>
        <v>17485</v>
      </c>
    </row>
    <row r="46" spans="1:35" x14ac:dyDescent="0.25">
      <c r="A46" s="180"/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S46" s="45" t="s">
        <v>179</v>
      </c>
      <c r="T46" s="160">
        <f>SUM(T44+T45)</f>
        <v>28334</v>
      </c>
    </row>
    <row r="47" spans="1:35" ht="21" x14ac:dyDescent="0.25">
      <c r="B47" s="177" t="s">
        <v>262</v>
      </c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S47" s="45" t="s">
        <v>180</v>
      </c>
      <c r="T47" s="41"/>
    </row>
    <row r="48" spans="1:35" ht="18.75" x14ac:dyDescent="0.3">
      <c r="A48" s="156" t="s">
        <v>2</v>
      </c>
      <c r="B48" s="5" t="s">
        <v>7</v>
      </c>
      <c r="C48" s="6" t="s">
        <v>8</v>
      </c>
      <c r="D48" s="6" t="s">
        <v>9</v>
      </c>
      <c r="E48" s="6" t="s">
        <v>10</v>
      </c>
      <c r="F48" s="6" t="s">
        <v>11</v>
      </c>
      <c r="G48" s="6" t="s">
        <v>12</v>
      </c>
      <c r="H48" s="6" t="s">
        <v>13</v>
      </c>
      <c r="I48" s="6" t="s">
        <v>14</v>
      </c>
      <c r="J48" s="6" t="s">
        <v>15</v>
      </c>
      <c r="K48" s="6" t="s">
        <v>16</v>
      </c>
      <c r="L48" s="6" t="s">
        <v>17</v>
      </c>
      <c r="M48" s="6" t="s">
        <v>18</v>
      </c>
      <c r="N48" s="22" t="s">
        <v>21</v>
      </c>
      <c r="O48" s="6" t="s">
        <v>78</v>
      </c>
      <c r="S48" s="45" t="s">
        <v>181</v>
      </c>
      <c r="T48" s="41"/>
    </row>
    <row r="49" spans="1:20" ht="18.75" x14ac:dyDescent="0.3">
      <c r="A49" s="158" t="s">
        <v>3</v>
      </c>
      <c r="O49" s="86"/>
      <c r="P49">
        <f>451200/2000</f>
        <v>225.6</v>
      </c>
      <c r="S49" s="45" t="s">
        <v>182</v>
      </c>
      <c r="T49" s="41"/>
    </row>
    <row r="50" spans="1:20" x14ac:dyDescent="0.25">
      <c r="A50" s="157" t="s">
        <v>4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4"/>
      <c r="O50" s="86"/>
      <c r="S50" s="77" t="s">
        <v>224</v>
      </c>
      <c r="T50" s="78">
        <f>T39+ (0.75*(T43))</f>
        <v>15245.5</v>
      </c>
    </row>
    <row r="51" spans="1:20" x14ac:dyDescent="0.25">
      <c r="A51" s="90" t="s">
        <v>6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162">
        <v>1590336.22</v>
      </c>
      <c r="O51" s="85" t="s">
        <v>79</v>
      </c>
      <c r="S51" s="77" t="s">
        <v>225</v>
      </c>
      <c r="T51" s="78">
        <f>T38+0.75*(T42)</f>
        <v>7580.25</v>
      </c>
    </row>
    <row r="52" spans="1:20" x14ac:dyDescent="0.25">
      <c r="A52" s="90" t="s">
        <v>23</v>
      </c>
      <c r="B52" s="129">
        <v>83240</v>
      </c>
      <c r="C52" s="130">
        <v>105320</v>
      </c>
      <c r="D52" s="130">
        <v>79200</v>
      </c>
      <c r="E52" s="130">
        <v>88000</v>
      </c>
      <c r="F52" s="130">
        <v>86820</v>
      </c>
      <c r="G52" s="130">
        <v>86860</v>
      </c>
      <c r="H52" s="130">
        <v>82980</v>
      </c>
      <c r="I52" s="130">
        <v>147280</v>
      </c>
      <c r="J52" s="130">
        <v>93280</v>
      </c>
      <c r="K52" s="130">
        <v>85780</v>
      </c>
      <c r="L52" s="130">
        <v>82460</v>
      </c>
      <c r="M52" s="130">
        <v>412960</v>
      </c>
      <c r="N52" s="162">
        <f>SUM(B52:M52)</f>
        <v>1434180</v>
      </c>
      <c r="O52" s="85" t="s">
        <v>80</v>
      </c>
      <c r="P52" s="166"/>
    </row>
    <row r="53" spans="1:20" x14ac:dyDescent="0.25">
      <c r="A53" s="90" t="s">
        <v>24</v>
      </c>
      <c r="B53" s="132">
        <f>600+460+420</f>
        <v>1480</v>
      </c>
      <c r="C53" s="132">
        <f>420+1180</f>
        <v>1600</v>
      </c>
      <c r="D53" s="132">
        <f>500+580+460</f>
        <v>1540</v>
      </c>
      <c r="E53" s="132">
        <f>400+440</f>
        <v>840</v>
      </c>
      <c r="F53" s="132">
        <v>560</v>
      </c>
      <c r="G53" s="132">
        <v>660</v>
      </c>
      <c r="H53" s="132">
        <v>0</v>
      </c>
      <c r="I53" s="132">
        <v>0</v>
      </c>
      <c r="J53" s="132">
        <v>0</v>
      </c>
      <c r="K53" s="132">
        <v>0</v>
      </c>
      <c r="L53" s="132">
        <v>0</v>
      </c>
      <c r="M53" s="132">
        <v>0</v>
      </c>
      <c r="N53" s="162">
        <f>SUM(B53:M53)</f>
        <v>6680</v>
      </c>
      <c r="O53" s="85" t="s">
        <v>83</v>
      </c>
    </row>
    <row r="54" spans="1:20" ht="16.5" thickBot="1" x14ac:dyDescent="0.3">
      <c r="A54" s="38" t="s">
        <v>44</v>
      </c>
      <c r="B54" s="89">
        <v>0</v>
      </c>
      <c r="C54" s="89">
        <v>0</v>
      </c>
      <c r="D54" s="89">
        <v>795</v>
      </c>
      <c r="E54" s="89">
        <v>0</v>
      </c>
      <c r="F54" s="89">
        <v>0</v>
      </c>
      <c r="G54" s="89">
        <v>0</v>
      </c>
      <c r="H54" s="89">
        <v>0</v>
      </c>
      <c r="I54" s="89">
        <v>0</v>
      </c>
      <c r="J54" s="89">
        <v>0</v>
      </c>
      <c r="K54" s="89">
        <v>0</v>
      </c>
      <c r="L54" s="89">
        <v>0</v>
      </c>
      <c r="M54" s="89">
        <v>0</v>
      </c>
      <c r="N54" s="162">
        <f>SUM(B54:M54)</f>
        <v>795</v>
      </c>
      <c r="O54" s="85" t="s">
        <v>82</v>
      </c>
    </row>
    <row r="55" spans="1:20" ht="16.5" thickTop="1" x14ac:dyDescent="0.25">
      <c r="A55" s="141" t="s">
        <v>189</v>
      </c>
      <c r="B55" s="122">
        <f>SUM(B51:B54)</f>
        <v>84720</v>
      </c>
      <c r="C55" s="122">
        <f t="shared" ref="C55:M55" si="6">SUM(C51:C54)</f>
        <v>106920</v>
      </c>
      <c r="D55" s="122">
        <f t="shared" si="6"/>
        <v>81535</v>
      </c>
      <c r="E55" s="122">
        <f t="shared" si="6"/>
        <v>88840</v>
      </c>
      <c r="F55" s="122">
        <f t="shared" si="6"/>
        <v>87380</v>
      </c>
      <c r="G55" s="122">
        <f t="shared" si="6"/>
        <v>87520</v>
      </c>
      <c r="H55" s="122">
        <f t="shared" si="6"/>
        <v>82980</v>
      </c>
      <c r="I55" s="122">
        <f t="shared" si="6"/>
        <v>147280</v>
      </c>
      <c r="J55" s="122">
        <f t="shared" si="6"/>
        <v>93280</v>
      </c>
      <c r="K55" s="122">
        <f t="shared" si="6"/>
        <v>85780</v>
      </c>
      <c r="L55" s="122">
        <f t="shared" si="6"/>
        <v>82460</v>
      </c>
      <c r="M55" s="123">
        <f t="shared" si="6"/>
        <v>412960</v>
      </c>
      <c r="N55" s="163">
        <f>SUM(N51:N54)</f>
        <v>3031991.2199999997</v>
      </c>
      <c r="O55" s="86"/>
    </row>
    <row r="56" spans="1:20" x14ac:dyDescent="0.25">
      <c r="A56" s="142" t="s">
        <v>188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14"/>
      <c r="O56" s="43"/>
    </row>
    <row r="57" spans="1:20" x14ac:dyDescent="0.25">
      <c r="A57" s="38" t="s">
        <v>45</v>
      </c>
      <c r="B57" s="115">
        <v>65585</v>
      </c>
      <c r="C57" s="115">
        <v>20968</v>
      </c>
      <c r="D57" s="115">
        <v>25468</v>
      </c>
      <c r="E57" s="115">
        <v>19981</v>
      </c>
      <c r="F57" s="115">
        <v>12370</v>
      </c>
      <c r="G57" s="115">
        <v>26732</v>
      </c>
      <c r="H57" s="115">
        <v>20112</v>
      </c>
      <c r="I57" s="115">
        <v>28145</v>
      </c>
      <c r="J57" s="115">
        <v>26052</v>
      </c>
      <c r="K57" s="115">
        <v>15180</v>
      </c>
      <c r="L57" s="115">
        <v>16528</v>
      </c>
      <c r="M57" s="115">
        <v>16292</v>
      </c>
      <c r="N57" s="124">
        <f t="shared" ref="N57:N65" si="7">SUM(B57:M57)</f>
        <v>293413</v>
      </c>
      <c r="O57" s="87" t="s">
        <v>84</v>
      </c>
    </row>
    <row r="58" spans="1:20" x14ac:dyDescent="0.25">
      <c r="A58" s="38" t="s">
        <v>27</v>
      </c>
      <c r="B58" s="115">
        <v>201</v>
      </c>
      <c r="C58" s="115">
        <v>861</v>
      </c>
      <c r="D58" s="115">
        <v>280</v>
      </c>
      <c r="E58" s="115">
        <v>407</v>
      </c>
      <c r="F58" s="115">
        <v>330</v>
      </c>
      <c r="G58" s="115">
        <v>0</v>
      </c>
      <c r="H58" s="116">
        <v>430</v>
      </c>
      <c r="I58" s="115">
        <v>447</v>
      </c>
      <c r="J58" s="115">
        <v>245</v>
      </c>
      <c r="K58" s="115">
        <v>305</v>
      </c>
      <c r="L58" s="115">
        <v>250</v>
      </c>
      <c r="M58" s="115">
        <v>381</v>
      </c>
      <c r="N58" s="121">
        <f t="shared" si="7"/>
        <v>4137</v>
      </c>
      <c r="O58" s="87" t="s">
        <v>84</v>
      </c>
    </row>
    <row r="59" spans="1:20" x14ac:dyDescent="0.25">
      <c r="A59" s="38" t="s">
        <v>28</v>
      </c>
      <c r="B59" s="89"/>
      <c r="C59" s="89"/>
      <c r="D59" s="89"/>
      <c r="E59" s="89"/>
      <c r="F59" s="89"/>
      <c r="G59" s="89"/>
      <c r="H59" s="89">
        <v>0</v>
      </c>
      <c r="I59" s="89">
        <v>3880</v>
      </c>
      <c r="J59" s="89">
        <v>3820</v>
      </c>
      <c r="K59" s="89">
        <v>6660</v>
      </c>
      <c r="L59" s="89"/>
      <c r="M59" s="89">
        <f>3340+1720+5240</f>
        <v>10300</v>
      </c>
      <c r="N59" s="89">
        <f>SUM(B59:M59)</f>
        <v>24660</v>
      </c>
      <c r="O59" s="87" t="s">
        <v>92</v>
      </c>
    </row>
    <row r="60" spans="1:20" x14ac:dyDescent="0.25">
      <c r="A60" s="38" t="s">
        <v>29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167">
        <f>1660762</f>
        <v>1660762</v>
      </c>
      <c r="O60" s="87" t="s">
        <v>93</v>
      </c>
    </row>
    <row r="61" spans="1:20" x14ac:dyDescent="0.25">
      <c r="A61" s="38" t="s">
        <v>30</v>
      </c>
      <c r="B61" s="117">
        <v>309.375</v>
      </c>
      <c r="C61" s="117">
        <v>28.125</v>
      </c>
      <c r="D61" s="117">
        <v>67.5</v>
      </c>
      <c r="E61" s="117">
        <v>90</v>
      </c>
      <c r="F61" s="117">
        <v>90</v>
      </c>
      <c r="G61" s="117">
        <v>157.5</v>
      </c>
      <c r="H61" s="117">
        <v>0</v>
      </c>
      <c r="I61" s="117">
        <v>649.6875</v>
      </c>
      <c r="J61" s="117">
        <v>118.125</v>
      </c>
      <c r="K61" s="117">
        <v>275.625</v>
      </c>
      <c r="L61" s="117">
        <v>393.75</v>
      </c>
      <c r="M61" s="117">
        <v>0</v>
      </c>
      <c r="N61" s="121">
        <f t="shared" si="7"/>
        <v>2179.6875</v>
      </c>
      <c r="O61" s="87" t="s">
        <v>263</v>
      </c>
    </row>
    <row r="62" spans="1:20" x14ac:dyDescent="0.25">
      <c r="A62" s="39" t="s">
        <v>31</v>
      </c>
      <c r="B62" s="117">
        <v>720</v>
      </c>
      <c r="C62" s="117">
        <v>525</v>
      </c>
      <c r="D62" s="117">
        <v>740</v>
      </c>
      <c r="E62" s="117">
        <v>540</v>
      </c>
      <c r="F62" s="117">
        <v>1400</v>
      </c>
      <c r="G62" s="117">
        <v>1020</v>
      </c>
      <c r="H62" s="117">
        <v>480</v>
      </c>
      <c r="I62" s="117">
        <v>810</v>
      </c>
      <c r="J62" s="117">
        <v>1000</v>
      </c>
      <c r="K62" s="117">
        <v>840</v>
      </c>
      <c r="L62" s="117">
        <v>1210</v>
      </c>
      <c r="M62" s="117">
        <v>580</v>
      </c>
      <c r="N62" s="121">
        <f t="shared" si="7"/>
        <v>9865</v>
      </c>
      <c r="O62" s="87" t="s">
        <v>82</v>
      </c>
    </row>
    <row r="63" spans="1:20" x14ac:dyDescent="0.25">
      <c r="A63" s="38" t="s">
        <v>32</v>
      </c>
      <c r="B63" s="118">
        <v>3593</v>
      </c>
      <c r="C63" s="118">
        <v>6247</v>
      </c>
      <c r="D63" s="118">
        <v>3981</v>
      </c>
      <c r="E63" s="118">
        <v>3783</v>
      </c>
      <c r="F63" s="118">
        <v>3745</v>
      </c>
      <c r="G63" s="118">
        <v>4573</v>
      </c>
      <c r="H63" s="119">
        <v>6697</v>
      </c>
      <c r="I63" s="119">
        <v>3574</v>
      </c>
      <c r="J63" s="119">
        <v>4118</v>
      </c>
      <c r="K63" s="119">
        <v>4933</v>
      </c>
      <c r="L63" s="119">
        <v>3775</v>
      </c>
      <c r="M63" s="119">
        <v>3511</v>
      </c>
      <c r="N63" s="121">
        <f t="shared" si="7"/>
        <v>52530</v>
      </c>
      <c r="O63" s="87" t="s">
        <v>84</v>
      </c>
    </row>
    <row r="64" spans="1:20" x14ac:dyDescent="0.25">
      <c r="A64" s="38" t="s">
        <v>33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>
        <f t="shared" si="7"/>
        <v>0</v>
      </c>
      <c r="O64" s="87" t="s">
        <v>220</v>
      </c>
    </row>
    <row r="65" spans="1:15" x14ac:dyDescent="0.25">
      <c r="A65" s="38" t="s">
        <v>34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>
        <f t="shared" si="7"/>
        <v>0</v>
      </c>
      <c r="O65" s="87" t="s">
        <v>81</v>
      </c>
    </row>
    <row r="66" spans="1:15" x14ac:dyDescent="0.25">
      <c r="A66" s="39" t="s">
        <v>35</v>
      </c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7"/>
    </row>
    <row r="67" spans="1:15" x14ac:dyDescent="0.25">
      <c r="A67" s="40" t="s">
        <v>36</v>
      </c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>
        <f>(49300+19520+13524)/3</f>
        <v>27448</v>
      </c>
      <c r="O67" s="87" t="s">
        <v>90</v>
      </c>
    </row>
    <row r="68" spans="1:15" x14ac:dyDescent="0.25">
      <c r="A68" s="67" t="s">
        <v>5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7"/>
    </row>
    <row r="69" spans="1:15" x14ac:dyDescent="0.25">
      <c r="A69" s="143" t="s">
        <v>190</v>
      </c>
      <c r="B69" s="161">
        <f>SUM(B57:B67)</f>
        <v>70408.375</v>
      </c>
      <c r="C69" s="92">
        <f t="shared" ref="C69:M69" si="8">SUM(C57:C67)</f>
        <v>28629.125</v>
      </c>
      <c r="D69" s="92">
        <f t="shared" si="8"/>
        <v>30536.5</v>
      </c>
      <c r="E69" s="92">
        <f t="shared" si="8"/>
        <v>24801</v>
      </c>
      <c r="F69" s="92">
        <f t="shared" si="8"/>
        <v>17935</v>
      </c>
      <c r="G69" s="92">
        <f t="shared" si="8"/>
        <v>32482.5</v>
      </c>
      <c r="H69" s="92">
        <f t="shared" si="8"/>
        <v>27719</v>
      </c>
      <c r="I69" s="92">
        <f t="shared" si="8"/>
        <v>37505.6875</v>
      </c>
      <c r="J69" s="92">
        <f t="shared" si="8"/>
        <v>35353.125</v>
      </c>
      <c r="K69" s="92">
        <f t="shared" si="8"/>
        <v>28193.625</v>
      </c>
      <c r="L69" s="92">
        <f t="shared" si="8"/>
        <v>22156.75</v>
      </c>
      <c r="M69" s="92">
        <f t="shared" si="8"/>
        <v>31064</v>
      </c>
      <c r="N69" s="161">
        <f>SUM(N57:N68)</f>
        <v>2074994.6875</v>
      </c>
      <c r="O69" s="43"/>
    </row>
    <row r="70" spans="1:15" ht="18.75" x14ac:dyDescent="0.3">
      <c r="A70" s="144" t="s">
        <v>230</v>
      </c>
      <c r="B70" s="172">
        <f>B55+B69</f>
        <v>155128.375</v>
      </c>
      <c r="C70" s="172">
        <f t="shared" ref="C70:M70" si="9">C55+C69</f>
        <v>135549.125</v>
      </c>
      <c r="D70" s="172">
        <f t="shared" si="9"/>
        <v>112071.5</v>
      </c>
      <c r="E70" s="172">
        <f t="shared" si="9"/>
        <v>113641</v>
      </c>
      <c r="F70" s="172">
        <f t="shared" si="9"/>
        <v>105315</v>
      </c>
      <c r="G70" s="172">
        <f t="shared" si="9"/>
        <v>120002.5</v>
      </c>
      <c r="H70" s="172">
        <f t="shared" si="9"/>
        <v>110699</v>
      </c>
      <c r="I70" s="172">
        <f t="shared" si="9"/>
        <v>184785.6875</v>
      </c>
      <c r="J70" s="172">
        <f t="shared" si="9"/>
        <v>128633.125</v>
      </c>
      <c r="K70" s="172">
        <f t="shared" si="9"/>
        <v>113973.625</v>
      </c>
      <c r="L70" s="172">
        <f t="shared" si="9"/>
        <v>104616.75</v>
      </c>
      <c r="M70" s="172">
        <f t="shared" si="9"/>
        <v>444024</v>
      </c>
      <c r="N70" s="172">
        <f>SUM(N69+N55)</f>
        <v>5106985.9074999997</v>
      </c>
      <c r="O70" s="43"/>
    </row>
    <row r="71" spans="1:15" ht="16.5" thickBot="1" x14ac:dyDescent="0.3">
      <c r="A71" s="145"/>
      <c r="O71" s="43"/>
    </row>
    <row r="72" spans="1:15" ht="18.75" x14ac:dyDescent="0.3">
      <c r="A72" s="2" t="s">
        <v>19</v>
      </c>
      <c r="B72" s="125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7"/>
      <c r="O72" s="43"/>
    </row>
    <row r="73" spans="1:15" x14ac:dyDescent="0.25">
      <c r="A73" s="90" t="s">
        <v>37</v>
      </c>
      <c r="B73" s="103">
        <v>347400</v>
      </c>
      <c r="C73" s="103">
        <v>351540</v>
      </c>
      <c r="D73" s="103">
        <v>375640</v>
      </c>
      <c r="E73" s="103">
        <v>295540</v>
      </c>
      <c r="F73" s="103">
        <v>346680</v>
      </c>
      <c r="G73" s="103">
        <v>432420</v>
      </c>
      <c r="H73" s="103">
        <v>394520</v>
      </c>
      <c r="I73" s="159">
        <v>330600</v>
      </c>
      <c r="J73" s="103">
        <v>393820</v>
      </c>
      <c r="K73" s="103">
        <v>324080</v>
      </c>
      <c r="L73" s="103">
        <v>379880</v>
      </c>
      <c r="M73" s="103">
        <v>90260</v>
      </c>
      <c r="N73" s="164">
        <f t="shared" ref="N73:N77" si="10">SUM(B73:M73)</f>
        <v>4062380</v>
      </c>
      <c r="O73" s="43" t="s">
        <v>91</v>
      </c>
    </row>
    <row r="74" spans="1:15" x14ac:dyDescent="0.25">
      <c r="A74" s="90" t="s">
        <v>38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>
        <f t="shared" si="10"/>
        <v>0</v>
      </c>
      <c r="O74" s="43" t="s">
        <v>90</v>
      </c>
    </row>
    <row r="75" spans="1:15" x14ac:dyDescent="0.25">
      <c r="A75" s="90" t="s">
        <v>39</v>
      </c>
      <c r="B75" s="103">
        <v>36273</v>
      </c>
      <c r="C75" s="103">
        <v>42830</v>
      </c>
      <c r="D75" s="103">
        <v>44637</v>
      </c>
      <c r="E75" s="103">
        <v>36882</v>
      </c>
      <c r="F75" s="103">
        <v>39597</v>
      </c>
      <c r="G75" s="103">
        <v>37478</v>
      </c>
      <c r="H75" s="103">
        <v>33654</v>
      </c>
      <c r="I75" s="103">
        <v>31882</v>
      </c>
      <c r="J75" s="103">
        <v>48180</v>
      </c>
      <c r="K75" s="103">
        <v>35541</v>
      </c>
      <c r="L75" s="103">
        <v>41745</v>
      </c>
      <c r="M75" s="103">
        <v>29404</v>
      </c>
      <c r="N75" s="106">
        <f t="shared" si="10"/>
        <v>458103</v>
      </c>
      <c r="O75" s="43" t="s">
        <v>84</v>
      </c>
    </row>
    <row r="76" spans="1:15" x14ac:dyDescent="0.25">
      <c r="A76" s="90" t="s">
        <v>46</v>
      </c>
      <c r="B76" s="103">
        <v>7043</v>
      </c>
      <c r="C76" s="103">
        <v>4920</v>
      </c>
      <c r="D76" s="103">
        <v>4943</v>
      </c>
      <c r="E76" s="103">
        <v>6689</v>
      </c>
      <c r="F76" s="103">
        <v>4969</v>
      </c>
      <c r="G76" s="103">
        <v>6283</v>
      </c>
      <c r="H76" s="103">
        <v>7277</v>
      </c>
      <c r="I76" s="103">
        <v>7006</v>
      </c>
      <c r="J76" s="103">
        <v>5116</v>
      </c>
      <c r="K76" s="103">
        <v>4965</v>
      </c>
      <c r="L76" s="103">
        <v>4512</v>
      </c>
      <c r="M76" s="103">
        <v>6760</v>
      </c>
      <c r="N76" s="106">
        <f t="shared" si="10"/>
        <v>70483</v>
      </c>
      <c r="O76" s="43" t="s">
        <v>84</v>
      </c>
    </row>
    <row r="77" spans="1:15" x14ac:dyDescent="0.25">
      <c r="A77" s="91" t="s">
        <v>41</v>
      </c>
      <c r="B77" s="103">
        <v>966</v>
      </c>
      <c r="C77" s="103">
        <v>0</v>
      </c>
      <c r="D77" s="103">
        <v>0</v>
      </c>
      <c r="E77" s="103">
        <v>796</v>
      </c>
      <c r="F77" s="103">
        <v>0</v>
      </c>
      <c r="G77" s="103">
        <v>399</v>
      </c>
      <c r="H77" s="103">
        <v>0</v>
      </c>
      <c r="I77" s="103">
        <v>0</v>
      </c>
      <c r="J77" s="103">
        <v>403</v>
      </c>
      <c r="K77" s="103">
        <v>0</v>
      </c>
      <c r="L77" s="103">
        <v>0</v>
      </c>
      <c r="M77" s="103">
        <v>1380</v>
      </c>
      <c r="N77" s="106">
        <f t="shared" si="10"/>
        <v>3944</v>
      </c>
      <c r="O77" s="43" t="s">
        <v>84</v>
      </c>
    </row>
    <row r="78" spans="1:15" ht="16.5" thickBot="1" x14ac:dyDescent="0.3">
      <c r="A78" s="91" t="s">
        <v>42</v>
      </c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167">
        <v>69198</v>
      </c>
      <c r="O78" s="43" t="s">
        <v>93</v>
      </c>
    </row>
    <row r="79" spans="1:15" ht="18" thickTop="1" x14ac:dyDescent="0.3">
      <c r="A79" s="146" t="s">
        <v>22</v>
      </c>
      <c r="B79" s="171">
        <f>SUM(B73:B78)</f>
        <v>391682</v>
      </c>
      <c r="C79" s="171">
        <f t="shared" ref="C79:M79" si="11">SUM(C73:C78)</f>
        <v>399290</v>
      </c>
      <c r="D79" s="171">
        <f t="shared" si="11"/>
        <v>425220</v>
      </c>
      <c r="E79" s="171">
        <f t="shared" si="11"/>
        <v>339907</v>
      </c>
      <c r="F79" s="171">
        <f t="shared" si="11"/>
        <v>391246</v>
      </c>
      <c r="G79" s="171">
        <f t="shared" si="11"/>
        <v>476580</v>
      </c>
      <c r="H79" s="171">
        <f t="shared" si="11"/>
        <v>435451</v>
      </c>
      <c r="I79" s="171">
        <f t="shared" si="11"/>
        <v>369488</v>
      </c>
      <c r="J79" s="171">
        <f t="shared" si="11"/>
        <v>447519</v>
      </c>
      <c r="K79" s="171">
        <f t="shared" si="11"/>
        <v>364586</v>
      </c>
      <c r="L79" s="171">
        <f t="shared" si="11"/>
        <v>426137</v>
      </c>
      <c r="M79" s="171">
        <f t="shared" si="11"/>
        <v>127804</v>
      </c>
      <c r="N79" s="171">
        <f>SUM(N75:N78)+N73</f>
        <v>4664108</v>
      </c>
      <c r="O79" s="43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0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0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0"/>
    </row>
    <row r="85" spans="1:9" x14ac:dyDescent="0.25">
      <c r="A85" s="61"/>
      <c r="B85" s="10"/>
      <c r="C85" s="10"/>
      <c r="D85" s="10"/>
      <c r="E85" s="10"/>
      <c r="F85" s="10"/>
      <c r="G85" s="10"/>
      <c r="H85" s="10"/>
      <c r="I85" s="53"/>
    </row>
    <row r="86" spans="1:9" x14ac:dyDescent="0.25">
      <c r="A86" s="59" t="s">
        <v>67</v>
      </c>
      <c r="B86" s="60"/>
      <c r="C86" s="60"/>
      <c r="D86" s="60"/>
      <c r="E86" s="60"/>
      <c r="F86" s="51"/>
      <c r="G86" s="51"/>
      <c r="H86" s="51"/>
      <c r="I86" s="52"/>
    </row>
    <row r="87" spans="1:9" x14ac:dyDescent="0.25">
      <c r="A87" s="54" t="s">
        <v>68</v>
      </c>
      <c r="B87" s="47"/>
      <c r="C87" s="47"/>
      <c r="D87" s="47"/>
      <c r="E87" s="47"/>
      <c r="F87" s="10"/>
      <c r="G87" s="10"/>
      <c r="H87" s="10"/>
      <c r="I87" s="53"/>
    </row>
    <row r="88" spans="1:9" x14ac:dyDescent="0.25">
      <c r="A88" s="54" t="s">
        <v>69</v>
      </c>
      <c r="B88" s="47"/>
      <c r="C88" s="47"/>
      <c r="D88" s="47"/>
      <c r="E88" s="47"/>
      <c r="F88" s="10"/>
      <c r="G88" s="10"/>
      <c r="H88" s="10"/>
      <c r="I88" s="53"/>
    </row>
    <row r="89" spans="1:9" x14ac:dyDescent="0.25">
      <c r="A89" s="55" t="s">
        <v>70</v>
      </c>
      <c r="B89" s="48"/>
      <c r="C89" s="48"/>
      <c r="D89" s="48"/>
      <c r="E89" s="49"/>
      <c r="F89" s="10"/>
      <c r="G89" s="10"/>
      <c r="H89" s="10"/>
      <c r="I89" s="53"/>
    </row>
    <row r="90" spans="1:9" x14ac:dyDescent="0.25">
      <c r="A90" s="54" t="s">
        <v>71</v>
      </c>
      <c r="B90" s="46"/>
      <c r="C90" s="46"/>
      <c r="D90" s="46"/>
      <c r="E90" s="46"/>
      <c r="F90" s="10"/>
      <c r="G90" s="10"/>
      <c r="H90" s="10"/>
      <c r="I90" s="53"/>
    </row>
    <row r="91" spans="1:9" x14ac:dyDescent="0.25">
      <c r="A91" s="54" t="s">
        <v>72</v>
      </c>
      <c r="B91" s="46"/>
      <c r="C91" s="50"/>
      <c r="D91" s="50"/>
      <c r="E91" s="50"/>
      <c r="F91" s="10"/>
      <c r="G91" s="10"/>
      <c r="H91" s="10"/>
      <c r="I91" s="53"/>
    </row>
    <row r="92" spans="1:9" x14ac:dyDescent="0.25">
      <c r="A92" s="54" t="s">
        <v>73</v>
      </c>
      <c r="B92" s="46"/>
      <c r="C92" s="50"/>
      <c r="D92" s="50"/>
      <c r="E92" s="50"/>
      <c r="F92" s="10"/>
      <c r="G92" s="10"/>
      <c r="H92" s="10"/>
      <c r="I92" s="53"/>
    </row>
    <row r="93" spans="1:9" x14ac:dyDescent="0.25">
      <c r="A93" s="54" t="s">
        <v>74</v>
      </c>
      <c r="B93" s="46"/>
      <c r="C93" s="46"/>
      <c r="D93" s="46"/>
      <c r="E93" s="46"/>
      <c r="F93" s="10"/>
      <c r="G93" s="10"/>
      <c r="H93" s="10"/>
      <c r="I93" s="53"/>
    </row>
    <row r="94" spans="1:9" x14ac:dyDescent="0.25">
      <c r="A94" s="56" t="s">
        <v>75</v>
      </c>
      <c r="B94" s="46"/>
      <c r="C94" s="46"/>
      <c r="D94" s="46"/>
      <c r="E94" s="46"/>
      <c r="F94" s="10"/>
      <c r="G94" s="10"/>
      <c r="H94" s="10"/>
      <c r="I94" s="53"/>
    </row>
    <row r="95" spans="1:9" x14ac:dyDescent="0.25">
      <c r="A95" s="54" t="s">
        <v>76</v>
      </c>
      <c r="B95" s="46"/>
      <c r="C95" s="46"/>
      <c r="D95" s="46"/>
      <c r="E95" s="46"/>
      <c r="F95" s="10"/>
      <c r="G95" s="10"/>
      <c r="H95" s="10"/>
      <c r="I95" s="53"/>
    </row>
    <row r="96" spans="1:9" x14ac:dyDescent="0.25">
      <c r="A96" s="21" t="s">
        <v>77</v>
      </c>
      <c r="B96" s="46"/>
      <c r="C96" s="46"/>
      <c r="D96" s="46"/>
      <c r="E96" s="46"/>
      <c r="F96" s="10"/>
      <c r="G96" s="10"/>
      <c r="H96" s="57"/>
      <c r="I96" s="58"/>
    </row>
    <row r="97" spans="1:9" x14ac:dyDescent="0.25">
      <c r="A97" s="63" t="s">
        <v>183</v>
      </c>
      <c r="B97" s="57"/>
      <c r="C97" s="57"/>
      <c r="D97" s="57"/>
      <c r="E97" s="57"/>
      <c r="F97" s="57"/>
      <c r="G97" s="57"/>
      <c r="H97" s="10"/>
      <c r="I97" s="10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0"/>
    </row>
    <row r="99" spans="1:9" x14ac:dyDescent="0.25">
      <c r="A99" s="64" t="s">
        <v>184</v>
      </c>
      <c r="B99" s="10"/>
      <c r="C99" s="10"/>
      <c r="D99" s="10"/>
      <c r="E99" s="10"/>
      <c r="F99" s="10"/>
      <c r="G99" s="10"/>
      <c r="H99" s="10"/>
      <c r="I99" s="10"/>
    </row>
    <row r="100" spans="1:9" x14ac:dyDescent="0.25">
      <c r="A100" s="62" t="s">
        <v>186</v>
      </c>
      <c r="B100" s="65" t="s">
        <v>185</v>
      </c>
      <c r="C100" s="10"/>
      <c r="D100" s="10"/>
      <c r="E100" s="10"/>
      <c r="F100" s="10"/>
      <c r="G100" s="10"/>
      <c r="H100" s="10"/>
      <c r="I100" s="10"/>
    </row>
    <row r="101" spans="1:9" ht="94.5" x14ac:dyDescent="0.25">
      <c r="A101" s="66" t="s">
        <v>187</v>
      </c>
      <c r="B101" s="10"/>
      <c r="C101" s="10"/>
      <c r="D101" s="10"/>
      <c r="E101" s="10"/>
      <c r="F101" s="10"/>
      <c r="G101" s="10"/>
      <c r="H101" s="10"/>
      <c r="I101" s="10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0"/>
    </row>
  </sheetData>
  <mergeCells count="5">
    <mergeCell ref="E2:S4"/>
    <mergeCell ref="A6:O8"/>
    <mergeCell ref="B9:M9"/>
    <mergeCell ref="A44:O46"/>
    <mergeCell ref="B47:M47"/>
  </mergeCells>
  <pageMargins left="0.25" right="0.25" top="0.75" bottom="0.75" header="0.3" footer="0.3"/>
  <pageSetup paperSize="5" scale="3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topLeftCell="A8" workbookViewId="0">
      <selection activeCell="E5" sqref="E5"/>
    </sheetView>
  </sheetViews>
  <sheetFormatPr defaultRowHeight="15.75" x14ac:dyDescent="0.25"/>
  <cols>
    <col min="1" max="1" width="18.5" customWidth="1"/>
    <col min="3" max="3" width="9.875" bestFit="1" customWidth="1"/>
    <col min="5" max="5" width="18.75" customWidth="1"/>
  </cols>
  <sheetData>
    <row r="1" spans="1:5" x14ac:dyDescent="0.25">
      <c r="B1" t="s">
        <v>267</v>
      </c>
      <c r="C1" t="s">
        <v>268</v>
      </c>
      <c r="E1" t="s">
        <v>100</v>
      </c>
    </row>
    <row r="2" spans="1:5" x14ac:dyDescent="0.25">
      <c r="A2" s="182" t="s">
        <v>266</v>
      </c>
      <c r="B2" s="183">
        <f>Sheet1!N19</f>
        <v>97037</v>
      </c>
      <c r="C2" s="182">
        <f>B2/2000</f>
        <v>48.518500000000003</v>
      </c>
      <c r="D2" s="184"/>
      <c r="E2" s="184" t="s">
        <v>269</v>
      </c>
    </row>
    <row r="4" spans="1:5" x14ac:dyDescent="0.25">
      <c r="A4" s="185" t="s">
        <v>270</v>
      </c>
      <c r="B4" s="185">
        <f>SUM(B5:B9)</f>
        <v>5476252</v>
      </c>
      <c r="C4" s="185">
        <f>B4/2000</f>
        <v>2738.1260000000002</v>
      </c>
      <c r="D4" s="186"/>
      <c r="E4" s="186"/>
    </row>
    <row r="5" spans="1:5" x14ac:dyDescent="0.25">
      <c r="A5" s="187" t="s">
        <v>271</v>
      </c>
      <c r="B5" s="186">
        <f>1947120+1434180</f>
        <v>3381300</v>
      </c>
      <c r="C5" s="186">
        <f t="shared" ref="C3:C18" si="0">B5/2000</f>
        <v>1690.65</v>
      </c>
      <c r="D5" s="186"/>
      <c r="E5" s="186"/>
    </row>
    <row r="6" spans="1:5" x14ac:dyDescent="0.25">
      <c r="A6" s="187" t="s">
        <v>272</v>
      </c>
      <c r="B6" s="186">
        <f>451201+1590336</f>
        <v>2041537</v>
      </c>
      <c r="C6" s="186">
        <f t="shared" si="0"/>
        <v>1020.7685</v>
      </c>
      <c r="D6" s="186"/>
      <c r="E6" s="186"/>
    </row>
    <row r="7" spans="1:5" x14ac:dyDescent="0.25">
      <c r="A7" s="187" t="s">
        <v>273</v>
      </c>
      <c r="B7" s="186">
        <f>19895+2180</f>
        <v>22075</v>
      </c>
      <c r="C7" s="186">
        <f t="shared" si="0"/>
        <v>11.0375</v>
      </c>
      <c r="D7" s="186"/>
      <c r="E7" s="186"/>
    </row>
    <row r="8" spans="1:5" x14ac:dyDescent="0.25">
      <c r="A8" s="187" t="s">
        <v>280</v>
      </c>
      <c r="B8" s="186">
        <f>6680</f>
        <v>6680</v>
      </c>
      <c r="C8" s="186">
        <f t="shared" si="0"/>
        <v>3.34</v>
      </c>
      <c r="D8" s="186"/>
      <c r="E8" s="186"/>
    </row>
    <row r="9" spans="1:5" x14ac:dyDescent="0.25">
      <c r="A9" s="187" t="s">
        <v>281</v>
      </c>
      <c r="B9" s="186">
        <f>24660</f>
        <v>24660</v>
      </c>
      <c r="C9" s="186">
        <f t="shared" si="0"/>
        <v>12.33</v>
      </c>
      <c r="D9" s="186"/>
      <c r="E9" s="186"/>
    </row>
    <row r="10" spans="1:5" x14ac:dyDescent="0.25">
      <c r="A10" s="187"/>
      <c r="B10" s="186"/>
      <c r="C10" s="186"/>
      <c r="D10" s="186"/>
      <c r="E10" s="186"/>
    </row>
    <row r="11" spans="1:5" x14ac:dyDescent="0.25">
      <c r="A11" s="185" t="s">
        <v>274</v>
      </c>
      <c r="B11" s="185">
        <f>SUM(B12:B14)</f>
        <v>747450</v>
      </c>
      <c r="C11" s="185">
        <f t="shared" si="0"/>
        <v>373.72500000000002</v>
      </c>
      <c r="D11" s="186"/>
      <c r="E11" s="186"/>
    </row>
    <row r="12" spans="1:5" x14ac:dyDescent="0.25">
      <c r="A12" s="187" t="s">
        <v>275</v>
      </c>
      <c r="B12" s="186">
        <f>510900+795</f>
        <v>511695</v>
      </c>
      <c r="C12" s="186">
        <f t="shared" si="0"/>
        <v>255.8475</v>
      </c>
      <c r="D12" s="186"/>
      <c r="E12" s="186"/>
    </row>
    <row r="13" spans="1:5" x14ac:dyDescent="0.25">
      <c r="A13" s="187" t="s">
        <v>276</v>
      </c>
      <c r="B13" s="186">
        <f>2242+9865</f>
        <v>12107</v>
      </c>
      <c r="C13" s="186">
        <f t="shared" si="0"/>
        <v>6.0534999999999997</v>
      </c>
      <c r="D13" s="186"/>
      <c r="E13" s="186"/>
    </row>
    <row r="14" spans="1:5" x14ac:dyDescent="0.25">
      <c r="A14" s="187" t="s">
        <v>277</v>
      </c>
      <c r="B14" s="187">
        <f>196200+27448</f>
        <v>223648</v>
      </c>
      <c r="C14" s="186">
        <f t="shared" si="0"/>
        <v>111.824</v>
      </c>
      <c r="D14" s="186"/>
      <c r="E14" s="186"/>
    </row>
    <row r="15" spans="1:5" x14ac:dyDescent="0.25">
      <c r="A15" s="187"/>
      <c r="B15" s="186"/>
      <c r="C15" s="186"/>
      <c r="D15" s="186"/>
      <c r="E15" s="186"/>
    </row>
    <row r="16" spans="1:5" x14ac:dyDescent="0.25">
      <c r="A16" s="185" t="s">
        <v>278</v>
      </c>
      <c r="B16" s="185">
        <f>45000</f>
        <v>45000</v>
      </c>
      <c r="C16" s="185">
        <f t="shared" si="0"/>
        <v>22.5</v>
      </c>
      <c r="D16" s="186"/>
      <c r="E16" s="186"/>
    </row>
    <row r="17" spans="1:5" x14ac:dyDescent="0.25">
      <c r="A17" s="186"/>
      <c r="B17" s="186"/>
      <c r="C17" s="186"/>
      <c r="D17" s="186"/>
      <c r="E17" s="186"/>
    </row>
    <row r="18" spans="1:5" x14ac:dyDescent="0.25">
      <c r="A18" s="185" t="s">
        <v>279</v>
      </c>
      <c r="B18" s="185">
        <f>4609920+4062380</f>
        <v>8672300</v>
      </c>
      <c r="C18" s="185">
        <f t="shared" si="0"/>
        <v>4336.1499999999996</v>
      </c>
      <c r="D18" s="186"/>
      <c r="E18" s="186"/>
    </row>
    <row r="19" spans="1:5" x14ac:dyDescent="0.25">
      <c r="A19" s="186"/>
      <c r="B19" s="186"/>
      <c r="C19" s="186"/>
      <c r="D19" s="186"/>
      <c r="E19" s="186"/>
    </row>
    <row r="20" spans="1:5" x14ac:dyDescent="0.25">
      <c r="A20" s="186" t="s">
        <v>282</v>
      </c>
      <c r="B20" s="188">
        <f>SUM(B4,B11,B16)/SUM(B4,B11,B16,B18)</f>
        <v>0.41956369459022896</v>
      </c>
      <c r="C20" s="186"/>
      <c r="D20" s="186"/>
      <c r="E20" s="18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13" workbookViewId="0">
      <selection activeCell="D17" sqref="D17"/>
    </sheetView>
  </sheetViews>
  <sheetFormatPr defaultColWidth="11" defaultRowHeight="15.75" x14ac:dyDescent="0.25"/>
  <cols>
    <col min="1" max="1" width="42" style="18" customWidth="1"/>
    <col min="2" max="2" width="28.875" style="18" customWidth="1"/>
    <col min="3" max="3" width="46.5" style="18" customWidth="1"/>
    <col min="4" max="4" width="35.625" style="18" customWidth="1"/>
    <col min="5" max="5" width="25" customWidth="1"/>
    <col min="6" max="6" width="43" customWidth="1"/>
  </cols>
  <sheetData>
    <row r="1" spans="1:6" x14ac:dyDescent="0.25">
      <c r="A1" s="84" t="s">
        <v>202</v>
      </c>
      <c r="E1" s="35"/>
    </row>
    <row r="2" spans="1:6" s="82" customFormat="1" x14ac:dyDescent="0.25">
      <c r="A2" s="81" t="s">
        <v>61</v>
      </c>
      <c r="B2" s="81" t="s">
        <v>242</v>
      </c>
      <c r="C2" s="81" t="s">
        <v>203</v>
      </c>
      <c r="D2" s="81" t="s">
        <v>241</v>
      </c>
      <c r="F2" s="83"/>
    </row>
    <row r="3" spans="1:6" ht="31.5" x14ac:dyDescent="0.25">
      <c r="A3" s="18" t="s">
        <v>243</v>
      </c>
      <c r="B3" s="18" t="s">
        <v>244</v>
      </c>
      <c r="C3" s="68" t="s">
        <v>168</v>
      </c>
    </row>
    <row r="4" spans="1:6" ht="31.5" x14ac:dyDescent="0.25">
      <c r="A4" s="18" t="s">
        <v>245</v>
      </c>
      <c r="B4" s="18" t="s">
        <v>246</v>
      </c>
      <c r="C4" s="18" t="s">
        <v>62</v>
      </c>
    </row>
    <row r="5" spans="1:6" ht="110.25" x14ac:dyDescent="0.25">
      <c r="A5" s="18" t="s">
        <v>247</v>
      </c>
      <c r="B5" s="18" t="s">
        <v>248</v>
      </c>
      <c r="C5" s="19" t="s">
        <v>63</v>
      </c>
    </row>
    <row r="6" spans="1:6" ht="47.25" x14ac:dyDescent="0.25">
      <c r="A6" s="18" t="s">
        <v>64</v>
      </c>
      <c r="B6" s="18" t="s">
        <v>249</v>
      </c>
      <c r="C6" s="18" t="s">
        <v>65</v>
      </c>
    </row>
    <row r="7" spans="1:6" ht="47.25" x14ac:dyDescent="0.25">
      <c r="A7" s="18" t="s">
        <v>261</v>
      </c>
      <c r="B7" s="18" t="s">
        <v>250</v>
      </c>
      <c r="C7" s="68" t="s">
        <v>195</v>
      </c>
    </row>
    <row r="8" spans="1:6" ht="29.1" customHeight="1" x14ac:dyDescent="0.25">
      <c r="A8" s="18" t="s">
        <v>50</v>
      </c>
      <c r="B8" s="18" t="s">
        <v>251</v>
      </c>
      <c r="C8" s="68" t="s">
        <v>194</v>
      </c>
    </row>
    <row r="9" spans="1:6" ht="31.5" x14ac:dyDescent="0.25">
      <c r="A9" s="18" t="s">
        <v>48</v>
      </c>
      <c r="B9" s="18" t="s">
        <v>252</v>
      </c>
      <c r="C9" s="68" t="s">
        <v>193</v>
      </c>
    </row>
    <row r="10" spans="1:6" ht="78.75" x14ac:dyDescent="0.25">
      <c r="A10" s="18" t="s">
        <v>191</v>
      </c>
      <c r="B10" s="18" t="s">
        <v>253</v>
      </c>
      <c r="C10" s="18" t="s">
        <v>192</v>
      </c>
    </row>
    <row r="11" spans="1:6" ht="63" x14ac:dyDescent="0.25">
      <c r="A11" s="18" t="s">
        <v>231</v>
      </c>
      <c r="B11" s="18" t="s">
        <v>254</v>
      </c>
      <c r="C11" s="18" t="s">
        <v>237</v>
      </c>
    </row>
    <row r="12" spans="1:6" x14ac:dyDescent="0.25">
      <c r="A12" s="18" t="s">
        <v>58</v>
      </c>
      <c r="B12" s="18" t="s">
        <v>255</v>
      </c>
      <c r="C12" s="18" t="s">
        <v>166</v>
      </c>
    </row>
    <row r="13" spans="1:6" ht="31.5" x14ac:dyDescent="0.25">
      <c r="A13" s="18" t="s">
        <v>51</v>
      </c>
      <c r="B13" s="18" t="s">
        <v>256</v>
      </c>
      <c r="C13" s="18" t="s">
        <v>167</v>
      </c>
    </row>
    <row r="14" spans="1:6" ht="90" x14ac:dyDescent="0.25">
      <c r="A14" s="18" t="s">
        <v>204</v>
      </c>
      <c r="B14" s="18" t="s">
        <v>257</v>
      </c>
      <c r="C14" s="18" t="s">
        <v>205</v>
      </c>
      <c r="D14" s="18" t="s">
        <v>239</v>
      </c>
    </row>
    <row r="15" spans="1:6" ht="86.25" x14ac:dyDescent="0.25">
      <c r="A15" s="18" t="s">
        <v>222</v>
      </c>
      <c r="B15" s="18" t="s">
        <v>258</v>
      </c>
      <c r="C15" s="18" t="s">
        <v>223</v>
      </c>
      <c r="D15" s="18" t="s">
        <v>240</v>
      </c>
    </row>
    <row r="16" spans="1:6" ht="63" x14ac:dyDescent="0.25">
      <c r="A16" s="18" t="s">
        <v>30</v>
      </c>
      <c r="B16" s="18" t="s">
        <v>259</v>
      </c>
      <c r="C16" s="18" t="s">
        <v>66</v>
      </c>
      <c r="D16" s="18" t="s">
        <v>265</v>
      </c>
    </row>
    <row r="17" spans="1:3" x14ac:dyDescent="0.25">
      <c r="A17" s="18" t="s">
        <v>164</v>
      </c>
      <c r="C17" s="18" t="s">
        <v>165</v>
      </c>
    </row>
    <row r="18" spans="1:3" ht="110.25" x14ac:dyDescent="0.25">
      <c r="A18" s="18" t="s">
        <v>226</v>
      </c>
      <c r="C18" s="18" t="s">
        <v>227</v>
      </c>
    </row>
    <row r="19" spans="1:3" x14ac:dyDescent="0.25">
      <c r="A19" s="18" t="s">
        <v>228</v>
      </c>
      <c r="B19" s="18" t="s">
        <v>260</v>
      </c>
      <c r="C19" s="18" t="s">
        <v>229</v>
      </c>
    </row>
  </sheetData>
  <pageMargins left="0.75" right="0.75" top="1" bottom="1" header="0.5" footer="0.5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F10" sqref="F10"/>
    </sheetView>
  </sheetViews>
  <sheetFormatPr defaultColWidth="11" defaultRowHeight="15.75" x14ac:dyDescent="0.25"/>
  <cols>
    <col min="2" max="2" width="29.625" customWidth="1"/>
    <col min="3" max="3" width="34" customWidth="1"/>
    <col min="4" max="4" width="25.125" customWidth="1"/>
    <col min="5" max="5" width="45" customWidth="1"/>
    <col min="6" max="6" width="30.5" customWidth="1"/>
    <col min="7" max="7" width="30.375" customWidth="1"/>
  </cols>
  <sheetData>
    <row r="2" spans="1:7" x14ac:dyDescent="0.25">
      <c r="A2" s="15"/>
      <c r="B2" s="23" t="s">
        <v>94</v>
      </c>
      <c r="C2" s="24"/>
      <c r="D2" s="20"/>
      <c r="E2" s="20"/>
      <c r="F2" s="20"/>
      <c r="G2" s="20"/>
    </row>
    <row r="3" spans="1:7" x14ac:dyDescent="0.25">
      <c r="A3" s="15"/>
      <c r="B3" s="23"/>
      <c r="C3" s="24"/>
      <c r="D3" s="20"/>
      <c r="E3" s="20"/>
      <c r="F3" s="20"/>
      <c r="G3" s="20"/>
    </row>
    <row r="4" spans="1:7" x14ac:dyDescent="0.25">
      <c r="A4" s="15"/>
      <c r="B4" s="25" t="s">
        <v>95</v>
      </c>
      <c r="C4" s="26" t="s">
        <v>96</v>
      </c>
      <c r="D4" s="25" t="s">
        <v>97</v>
      </c>
      <c r="E4" s="25" t="s">
        <v>98</v>
      </c>
      <c r="F4" s="25" t="s">
        <v>99</v>
      </c>
      <c r="G4" s="25" t="s">
        <v>100</v>
      </c>
    </row>
    <row r="5" spans="1:7" x14ac:dyDescent="0.25">
      <c r="A5" s="15"/>
      <c r="B5" s="27" t="s">
        <v>91</v>
      </c>
      <c r="C5" s="28" t="s">
        <v>101</v>
      </c>
      <c r="D5" s="27" t="s">
        <v>102</v>
      </c>
      <c r="E5" s="27" t="s">
        <v>103</v>
      </c>
      <c r="F5" s="27"/>
      <c r="G5" s="27"/>
    </row>
    <row r="6" spans="1:7" x14ac:dyDescent="0.25">
      <c r="A6" s="15"/>
      <c r="B6" s="20" t="s">
        <v>91</v>
      </c>
      <c r="C6" s="29" t="s">
        <v>101</v>
      </c>
      <c r="D6" s="20" t="s">
        <v>104</v>
      </c>
      <c r="E6" s="30" t="s">
        <v>105</v>
      </c>
      <c r="F6" s="31" t="s">
        <v>106</v>
      </c>
      <c r="G6" s="20" t="s">
        <v>107</v>
      </c>
    </row>
    <row r="7" spans="1:7" ht="31.5" x14ac:dyDescent="0.25">
      <c r="A7" s="15"/>
      <c r="B7" s="20" t="s">
        <v>82</v>
      </c>
      <c r="C7" s="29" t="s">
        <v>108</v>
      </c>
      <c r="D7" s="20" t="s">
        <v>109</v>
      </c>
      <c r="E7" s="20" t="s">
        <v>110</v>
      </c>
      <c r="F7" s="20" t="s">
        <v>111</v>
      </c>
      <c r="G7" s="20" t="s">
        <v>112</v>
      </c>
    </row>
    <row r="8" spans="1:7" x14ac:dyDescent="0.25">
      <c r="A8" s="15"/>
      <c r="B8" s="20" t="s">
        <v>113</v>
      </c>
      <c r="C8" s="29"/>
      <c r="D8" s="20" t="s">
        <v>88</v>
      </c>
      <c r="E8" s="20" t="s">
        <v>114</v>
      </c>
      <c r="F8" s="20" t="s">
        <v>115</v>
      </c>
      <c r="G8" s="20"/>
    </row>
    <row r="9" spans="1:7" x14ac:dyDescent="0.25">
      <c r="A9" s="15"/>
      <c r="B9" s="20" t="s">
        <v>116</v>
      </c>
      <c r="C9" s="29"/>
      <c r="D9" s="32" t="s">
        <v>117</v>
      </c>
      <c r="E9" s="20" t="s">
        <v>118</v>
      </c>
      <c r="F9" s="20" t="s">
        <v>119</v>
      </c>
      <c r="G9" s="20"/>
    </row>
    <row r="10" spans="1:7" x14ac:dyDescent="0.25">
      <c r="A10" s="15"/>
      <c r="B10" s="20" t="s">
        <v>120</v>
      </c>
      <c r="C10" s="29"/>
      <c r="D10" s="20" t="s">
        <v>121</v>
      </c>
      <c r="E10" s="20" t="s">
        <v>122</v>
      </c>
      <c r="F10" s="20" t="s">
        <v>123</v>
      </c>
      <c r="G10" s="20"/>
    </row>
    <row r="11" spans="1:7" x14ac:dyDescent="0.25">
      <c r="A11" s="15"/>
      <c r="B11" s="20" t="s">
        <v>124</v>
      </c>
      <c r="C11" s="29" t="s">
        <v>125</v>
      </c>
      <c r="D11" s="20" t="s">
        <v>81</v>
      </c>
      <c r="E11" s="20" t="s">
        <v>126</v>
      </c>
      <c r="F11" s="20" t="s">
        <v>127</v>
      </c>
      <c r="G11" s="20"/>
    </row>
    <row r="12" spans="1:7" x14ac:dyDescent="0.25">
      <c r="A12" s="15"/>
      <c r="B12" s="20" t="s">
        <v>128</v>
      </c>
      <c r="C12" s="29" t="s">
        <v>125</v>
      </c>
      <c r="D12" s="20" t="s">
        <v>129</v>
      </c>
      <c r="E12" s="20" t="s">
        <v>130</v>
      </c>
      <c r="F12" s="20" t="s">
        <v>131</v>
      </c>
      <c r="G12" s="20"/>
    </row>
    <row r="13" spans="1:7" x14ac:dyDescent="0.25">
      <c r="A13" s="15"/>
      <c r="B13" s="20" t="s">
        <v>132</v>
      </c>
      <c r="C13" s="29"/>
      <c r="D13" s="20" t="s">
        <v>88</v>
      </c>
      <c r="E13" s="20" t="s">
        <v>114</v>
      </c>
      <c r="F13" s="20" t="s">
        <v>115</v>
      </c>
      <c r="G13" s="20"/>
    </row>
    <row r="14" spans="1:7" x14ac:dyDescent="0.25">
      <c r="A14" s="15"/>
      <c r="B14" s="20" t="s">
        <v>133</v>
      </c>
      <c r="C14" s="29"/>
      <c r="D14" s="20" t="s">
        <v>134</v>
      </c>
      <c r="E14" s="20" t="s">
        <v>135</v>
      </c>
      <c r="F14" s="20" t="s">
        <v>136</v>
      </c>
      <c r="G14" s="20"/>
    </row>
    <row r="15" spans="1:7" x14ac:dyDescent="0.25">
      <c r="A15" s="15"/>
      <c r="B15" s="20" t="s">
        <v>137</v>
      </c>
      <c r="C15" s="29"/>
      <c r="D15" s="20" t="s">
        <v>88</v>
      </c>
      <c r="E15" s="20" t="s">
        <v>114</v>
      </c>
      <c r="F15" s="20" t="s">
        <v>115</v>
      </c>
      <c r="G15" s="20"/>
    </row>
    <row r="16" spans="1:7" x14ac:dyDescent="0.25">
      <c r="A16" s="15"/>
      <c r="B16" s="20" t="s">
        <v>138</v>
      </c>
      <c r="C16" s="29"/>
      <c r="D16" s="20" t="s">
        <v>81</v>
      </c>
      <c r="E16" s="20" t="s">
        <v>126</v>
      </c>
      <c r="F16" s="20" t="s">
        <v>127</v>
      </c>
      <c r="G16" s="20"/>
    </row>
    <row r="17" spans="1:7" x14ac:dyDescent="0.25">
      <c r="A17" s="15"/>
      <c r="B17" s="20" t="s">
        <v>139</v>
      </c>
      <c r="C17" s="29"/>
      <c r="D17" s="20" t="s">
        <v>129</v>
      </c>
      <c r="E17" s="20" t="s">
        <v>130</v>
      </c>
      <c r="F17" s="20" t="s">
        <v>131</v>
      </c>
      <c r="G17" s="20" t="s">
        <v>140</v>
      </c>
    </row>
    <row r="18" spans="1:7" x14ac:dyDescent="0.25">
      <c r="A18" s="15"/>
      <c r="B18" s="20" t="s">
        <v>141</v>
      </c>
      <c r="C18" s="29"/>
      <c r="D18" s="20" t="s">
        <v>89</v>
      </c>
      <c r="E18" s="20"/>
      <c r="F18" s="20"/>
      <c r="G18" s="20"/>
    </row>
    <row r="19" spans="1:7" x14ac:dyDescent="0.25">
      <c r="A19" s="15"/>
      <c r="B19" s="20" t="s">
        <v>84</v>
      </c>
      <c r="C19" s="29"/>
      <c r="D19" s="20" t="s">
        <v>81</v>
      </c>
      <c r="E19" s="20" t="s">
        <v>126</v>
      </c>
      <c r="F19" s="20" t="s">
        <v>127</v>
      </c>
      <c r="G19" s="20"/>
    </row>
    <row r="20" spans="1:7" x14ac:dyDescent="0.25">
      <c r="A20" s="15"/>
      <c r="B20" s="20" t="s">
        <v>79</v>
      </c>
      <c r="C20" s="29"/>
      <c r="D20" s="20" t="s">
        <v>142</v>
      </c>
      <c r="E20" s="20" t="s">
        <v>143</v>
      </c>
      <c r="F20" s="20" t="s">
        <v>144</v>
      </c>
      <c r="G20" s="20"/>
    </row>
    <row r="21" spans="1:7" x14ac:dyDescent="0.25">
      <c r="A21" s="15"/>
      <c r="B21" s="20" t="s">
        <v>87</v>
      </c>
      <c r="C21" s="29" t="s">
        <v>145</v>
      </c>
      <c r="D21" s="20" t="s">
        <v>146</v>
      </c>
      <c r="E21" s="20" t="s">
        <v>147</v>
      </c>
      <c r="F21" s="20" t="s">
        <v>148</v>
      </c>
      <c r="G21" s="20"/>
    </row>
    <row r="22" spans="1:7" ht="30" x14ac:dyDescent="0.25">
      <c r="A22" s="15"/>
      <c r="B22" s="20" t="s">
        <v>90</v>
      </c>
      <c r="C22" s="29"/>
      <c r="D22" s="20" t="s">
        <v>149</v>
      </c>
      <c r="E22" s="33" t="s">
        <v>150</v>
      </c>
      <c r="F22" s="34" t="s">
        <v>151</v>
      </c>
      <c r="G22" s="20"/>
    </row>
    <row r="23" spans="1:7" x14ac:dyDescent="0.25">
      <c r="A23" s="15"/>
      <c r="B23" s="20" t="s">
        <v>152</v>
      </c>
      <c r="C23" s="29"/>
      <c r="D23" s="20" t="s">
        <v>153</v>
      </c>
      <c r="E23" s="20" t="s">
        <v>154</v>
      </c>
      <c r="F23" s="20" t="s">
        <v>155</v>
      </c>
      <c r="G23" s="20"/>
    </row>
    <row r="24" spans="1:7" x14ac:dyDescent="0.25">
      <c r="A24" s="15"/>
      <c r="B24" s="20" t="s">
        <v>156</v>
      </c>
      <c r="C24" s="29"/>
      <c r="D24" s="20" t="s">
        <v>157</v>
      </c>
      <c r="E24" s="20" t="s">
        <v>158</v>
      </c>
      <c r="F24" s="20" t="s">
        <v>159</v>
      </c>
      <c r="G24" s="20"/>
    </row>
    <row r="25" spans="1:7" x14ac:dyDescent="0.25">
      <c r="A25" s="15"/>
      <c r="B25" s="20" t="s">
        <v>160</v>
      </c>
      <c r="C25" s="29"/>
      <c r="D25" s="20" t="s">
        <v>161</v>
      </c>
      <c r="E25" s="20" t="s">
        <v>162</v>
      </c>
      <c r="F25" s="20"/>
      <c r="G25" s="20" t="s">
        <v>163</v>
      </c>
    </row>
    <row r="26" spans="1:7" x14ac:dyDescent="0.25">
      <c r="A26" s="15"/>
      <c r="B26" s="20"/>
      <c r="C26" s="29"/>
      <c r="D26" s="20"/>
      <c r="E26" s="20"/>
      <c r="F26" s="20"/>
      <c r="G26" s="20"/>
    </row>
  </sheetData>
  <hyperlinks>
    <hyperlink ref="E22" r:id="rId1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"/>
  <sheetViews>
    <sheetView workbookViewId="0">
      <selection activeCell="C8" sqref="C8"/>
    </sheetView>
  </sheetViews>
  <sheetFormatPr defaultColWidth="11" defaultRowHeight="15.75" x14ac:dyDescent="0.25"/>
  <cols>
    <col min="1" max="1" width="25.5" style="53" customWidth="1"/>
    <col min="2" max="2" width="17" style="53" customWidth="1"/>
    <col min="3" max="3" width="24" style="53" customWidth="1"/>
    <col min="4" max="4" width="26.125" style="53" customWidth="1"/>
    <col min="5" max="5" width="32" style="53" customWidth="1"/>
  </cols>
  <sheetData>
    <row r="2" spans="1:17" ht="15" customHeight="1" x14ac:dyDescent="0.25">
      <c r="A2" s="181" t="s">
        <v>232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17" ht="15" customHeight="1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1:17" ht="15" customHeight="1" x14ac:dyDescent="0.25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6" spans="1:17" x14ac:dyDescent="0.25">
      <c r="A6" s="79" t="s">
        <v>235</v>
      </c>
      <c r="B6" s="80" t="s">
        <v>236</v>
      </c>
      <c r="C6" s="80" t="s">
        <v>78</v>
      </c>
      <c r="D6" s="80" t="s">
        <v>233</v>
      </c>
      <c r="E6" s="80" t="s">
        <v>234</v>
      </c>
    </row>
  </sheetData>
  <mergeCells count="1">
    <mergeCell ref="A2:Q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AASHE Waste Data</vt:lpstr>
      <vt:lpstr>Formulas</vt:lpstr>
      <vt:lpstr>Vendor Contacts</vt:lpstr>
      <vt:lpstr>Green Events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Krause</dc:creator>
  <cp:lastModifiedBy>Washington University in St. Louis</cp:lastModifiedBy>
  <cp:lastPrinted>2018-02-13T23:49:53Z</cp:lastPrinted>
  <dcterms:created xsi:type="dcterms:W3CDTF">2017-06-15T14:55:14Z</dcterms:created>
  <dcterms:modified xsi:type="dcterms:W3CDTF">2018-02-28T05:19:08Z</dcterms:modified>
</cp:coreProperties>
</file>