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hondhent\Desktop\Box Syncs\Box Sync\2-Output\Reports\Waste Diversion Reports\FY-2015-2016\Finished Report\"/>
    </mc:Choice>
  </mc:AlternateContent>
  <bookViews>
    <workbookView xWindow="0" yWindow="0" windowWidth="20490" windowHeight="7935" tabRatio="741"/>
  </bookViews>
  <sheets>
    <sheet name="Summary" sheetId="1" r:id="rId1"/>
    <sheet name="FM Recycling and Solid Waste" sheetId="2" r:id="rId2"/>
    <sheet name="Dining service Comp-Recyc" sheetId="3" r:id="rId3"/>
    <sheet name="Event composting" sheetId="4" r:id="rId4"/>
    <sheet name="Scrap Metal" sheetId="5" r:id="rId5"/>
    <sheet name="Construction" sheetId="6" r:id="rId6"/>
    <sheet name="Move In &amp; Move Out" sheetId="9" r:id="rId7"/>
    <sheet name="Sheet1" sheetId="10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J15" i="1" l="1"/>
  <c r="L13" i="1"/>
  <c r="L14" i="1"/>
  <c r="K13" i="1"/>
  <c r="L12" i="1"/>
  <c r="L11" i="1"/>
  <c r="L10" i="1"/>
  <c r="L7" i="1"/>
  <c r="L6" i="1"/>
  <c r="L5" i="1"/>
  <c r="L4" i="1"/>
  <c r="L3" i="1"/>
  <c r="E4" i="10" l="1"/>
  <c r="D4" i="10"/>
  <c r="C4" i="10"/>
  <c r="F24" i="4" l="1"/>
  <c r="F23" i="4"/>
  <c r="B14" i="1" l="1"/>
  <c r="C14" i="1"/>
  <c r="E14" i="1"/>
  <c r="F14" i="1"/>
  <c r="H14" i="1"/>
  <c r="H6" i="1" l="1"/>
  <c r="H5" i="1"/>
  <c r="K11" i="4" l="1"/>
  <c r="K10" i="4" l="1"/>
  <c r="C24" i="6" l="1"/>
  <c r="B24" i="6"/>
  <c r="G24" i="6"/>
  <c r="F24" i="6"/>
  <c r="E24" i="6"/>
  <c r="D24" i="6"/>
  <c r="E12" i="6"/>
  <c r="H23" i="6"/>
  <c r="F8" i="1" l="1"/>
  <c r="F7" i="1"/>
  <c r="H35" i="4" l="1"/>
  <c r="B3" i="1"/>
  <c r="L20" i="3" l="1"/>
  <c r="L21" i="3"/>
  <c r="L22" i="3"/>
  <c r="L23" i="3"/>
  <c r="L24" i="3"/>
  <c r="L25" i="3"/>
  <c r="L26" i="3"/>
  <c r="L27" i="3"/>
  <c r="L28" i="3"/>
  <c r="L29" i="3"/>
  <c r="L30" i="3"/>
  <c r="L19" i="3"/>
  <c r="K5" i="4" l="1"/>
  <c r="K5" i="1" s="1"/>
  <c r="K4" i="4"/>
  <c r="J4" i="1" l="1"/>
  <c r="J11" i="1"/>
  <c r="J12" i="1"/>
  <c r="J13" i="1"/>
  <c r="J14" i="1"/>
  <c r="J3" i="1"/>
  <c r="C29" i="6" l="1"/>
  <c r="D29" i="6"/>
  <c r="E29" i="6"/>
  <c r="F29" i="6"/>
  <c r="G29" i="6"/>
  <c r="B29" i="6"/>
  <c r="H18" i="6"/>
  <c r="H19" i="6"/>
  <c r="J5" i="1" s="1"/>
  <c r="H20" i="6"/>
  <c r="J6" i="1" s="1"/>
  <c r="H21" i="6"/>
  <c r="J7" i="1" s="1"/>
  <c r="H22" i="6"/>
  <c r="J8" i="1" s="1"/>
  <c r="J9" i="1"/>
  <c r="H24" i="6"/>
  <c r="J10" i="1" s="1"/>
  <c r="H25" i="6"/>
  <c r="H26" i="6"/>
  <c r="H27" i="6"/>
  <c r="H28" i="6"/>
  <c r="H17" i="6"/>
  <c r="H29" i="6" l="1"/>
  <c r="G16" i="9"/>
  <c r="F16" i="9"/>
  <c r="E16" i="9"/>
  <c r="C4" i="1"/>
  <c r="E4" i="5" l="1"/>
  <c r="E5" i="5"/>
  <c r="E6" i="5"/>
  <c r="E7" i="5"/>
  <c r="E8" i="5"/>
  <c r="E9" i="5"/>
  <c r="E10" i="5"/>
  <c r="E11" i="5"/>
  <c r="E12" i="5"/>
  <c r="E13" i="5"/>
  <c r="E14" i="5"/>
  <c r="J8" i="2"/>
  <c r="K8" i="2" s="1"/>
  <c r="H12" i="6" l="1"/>
  <c r="G12" i="6"/>
  <c r="N6" i="1"/>
  <c r="N7" i="1"/>
  <c r="N8" i="1"/>
  <c r="N9" i="1"/>
  <c r="N10" i="1"/>
  <c r="N11" i="1"/>
  <c r="N12" i="1"/>
  <c r="N13" i="1"/>
  <c r="N14" i="1"/>
  <c r="D10" i="1"/>
  <c r="I9" i="1"/>
  <c r="I10" i="1"/>
  <c r="I11" i="1"/>
  <c r="I12" i="1"/>
  <c r="I13" i="1"/>
  <c r="I14" i="1"/>
  <c r="I6" i="1"/>
  <c r="I7" i="1"/>
  <c r="I8" i="1"/>
  <c r="H10" i="1"/>
  <c r="H11" i="1"/>
  <c r="H12" i="1"/>
  <c r="H13" i="1"/>
  <c r="H4" i="1"/>
  <c r="H7" i="1"/>
  <c r="H8" i="1"/>
  <c r="H9" i="1"/>
  <c r="G9" i="1"/>
  <c r="G10" i="1"/>
  <c r="G11" i="1"/>
  <c r="G12" i="1"/>
  <c r="G13" i="1"/>
  <c r="G14" i="1"/>
  <c r="G4" i="1"/>
  <c r="G5" i="1"/>
  <c r="G6" i="1"/>
  <c r="G7" i="1"/>
  <c r="G8" i="1"/>
  <c r="F10" i="1"/>
  <c r="F11" i="1"/>
  <c r="F12" i="1"/>
  <c r="F13" i="1"/>
  <c r="F4" i="1"/>
  <c r="F5" i="1"/>
  <c r="F6" i="1"/>
  <c r="F9" i="1"/>
  <c r="E10" i="1"/>
  <c r="E11" i="1"/>
  <c r="E12" i="1"/>
  <c r="E13" i="1"/>
  <c r="E4" i="1"/>
  <c r="E5" i="1"/>
  <c r="E6" i="1"/>
  <c r="E7" i="1"/>
  <c r="E8" i="1"/>
  <c r="E9" i="1"/>
  <c r="D11" i="1"/>
  <c r="D12" i="1"/>
  <c r="D13" i="1"/>
  <c r="D14" i="1"/>
  <c r="D4" i="1"/>
  <c r="D5" i="1"/>
  <c r="D6" i="1"/>
  <c r="D7" i="1"/>
  <c r="D8" i="1"/>
  <c r="D9" i="1"/>
  <c r="C10" i="1"/>
  <c r="C11" i="1"/>
  <c r="C12" i="1"/>
  <c r="C13" i="1"/>
  <c r="B10" i="1"/>
  <c r="B11" i="1"/>
  <c r="B12" i="1"/>
  <c r="B13" i="1"/>
  <c r="L11" i="3"/>
  <c r="K11" i="1" s="1"/>
  <c r="L12" i="3"/>
  <c r="M12" i="3" s="1"/>
  <c r="F12" i="6"/>
  <c r="F15" i="5"/>
  <c r="D15" i="5"/>
  <c r="C15" i="5"/>
  <c r="D12" i="6"/>
  <c r="D15" i="2"/>
  <c r="N20" i="1"/>
  <c r="C21" i="2" s="1"/>
  <c r="N21" i="1"/>
  <c r="C22" i="2" s="1"/>
  <c r="N22" i="1"/>
  <c r="C23" i="2"/>
  <c r="N23" i="1"/>
  <c r="C24" i="2" s="1"/>
  <c r="N24" i="1"/>
  <c r="C25" i="2"/>
  <c r="L8" i="2" s="1"/>
  <c r="N25" i="1"/>
  <c r="C26" i="2" s="1"/>
  <c r="N26" i="1"/>
  <c r="C27" i="2" s="1"/>
  <c r="J10" i="2"/>
  <c r="K10" i="2" s="1"/>
  <c r="N27" i="1"/>
  <c r="C28" i="2" s="1"/>
  <c r="J11" i="2"/>
  <c r="K11" i="2" s="1"/>
  <c r="N28" i="1"/>
  <c r="C29" i="2" s="1"/>
  <c r="J12" i="2"/>
  <c r="K12" i="2" s="1"/>
  <c r="N29" i="1"/>
  <c r="C30" i="2" s="1"/>
  <c r="N30" i="1"/>
  <c r="C31" i="2" s="1"/>
  <c r="N19" i="1"/>
  <c r="C20" i="2"/>
  <c r="B6" i="1"/>
  <c r="B7" i="1"/>
  <c r="B8" i="1"/>
  <c r="B9" i="1"/>
  <c r="C6" i="1"/>
  <c r="K31" i="3"/>
  <c r="J31" i="3"/>
  <c r="M21" i="3"/>
  <c r="M26" i="3"/>
  <c r="M27" i="3"/>
  <c r="M28" i="3"/>
  <c r="M29" i="3"/>
  <c r="M30" i="3"/>
  <c r="M20" i="3"/>
  <c r="M22" i="3"/>
  <c r="M23" i="3"/>
  <c r="M24" i="3"/>
  <c r="M25" i="3"/>
  <c r="L31" i="3"/>
  <c r="M31" i="3" s="1"/>
  <c r="G35" i="4"/>
  <c r="D35" i="4"/>
  <c r="E35" i="4"/>
  <c r="K15" i="3"/>
  <c r="J15" i="3"/>
  <c r="D15" i="3"/>
  <c r="C15" i="3"/>
  <c r="B15" i="3"/>
  <c r="I15" i="2"/>
  <c r="H15" i="2"/>
  <c r="G15" i="2"/>
  <c r="F15" i="2"/>
  <c r="E15" i="2"/>
  <c r="C15" i="2"/>
  <c r="I5" i="1"/>
  <c r="N5" i="1"/>
  <c r="J16" i="5"/>
  <c r="K4" i="2"/>
  <c r="E3" i="5"/>
  <c r="E2" i="5"/>
  <c r="E15" i="5" s="1"/>
  <c r="M7" i="3"/>
  <c r="L10" i="3"/>
  <c r="K10" i="1" s="1"/>
  <c r="E10" i="3"/>
  <c r="F10" i="3"/>
  <c r="E11" i="3"/>
  <c r="F11" i="3"/>
  <c r="E12" i="3"/>
  <c r="F12" i="3"/>
  <c r="F13" i="3"/>
  <c r="F14" i="3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5" i="4"/>
  <c r="F26" i="4"/>
  <c r="F27" i="4"/>
  <c r="F28" i="4"/>
  <c r="F29" i="4"/>
  <c r="F30" i="4"/>
  <c r="F31" i="4"/>
  <c r="F32" i="4"/>
  <c r="F33" i="4"/>
  <c r="F34" i="4"/>
  <c r="F3" i="4"/>
  <c r="L4" i="3"/>
  <c r="L5" i="3"/>
  <c r="M5" i="3" s="1"/>
  <c r="L6" i="3"/>
  <c r="M6" i="3" s="1"/>
  <c r="K6" i="1"/>
  <c r="L7" i="3"/>
  <c r="K7" i="1"/>
  <c r="L8" i="3"/>
  <c r="K8" i="1" s="1"/>
  <c r="L9" i="3"/>
  <c r="K9" i="1" s="1"/>
  <c r="L13" i="3"/>
  <c r="L14" i="3"/>
  <c r="M14" i="3" s="1"/>
  <c r="L3" i="3"/>
  <c r="M3" i="3" s="1"/>
  <c r="E4" i="3"/>
  <c r="E5" i="3"/>
  <c r="F5" i="3" s="1"/>
  <c r="E6" i="3"/>
  <c r="F6" i="3" s="1"/>
  <c r="E7" i="3"/>
  <c r="F7" i="3" s="1"/>
  <c r="E8" i="3"/>
  <c r="F8" i="3" s="1"/>
  <c r="E9" i="3"/>
  <c r="F9" i="3"/>
  <c r="E13" i="3"/>
  <c r="E14" i="3"/>
  <c r="E3" i="3"/>
  <c r="F3" i="3" s="1"/>
  <c r="N4" i="1"/>
  <c r="N3" i="1"/>
  <c r="I3" i="1"/>
  <c r="F4" i="3"/>
  <c r="J4" i="2"/>
  <c r="J5" i="2"/>
  <c r="K5" i="2" s="1"/>
  <c r="J6" i="2"/>
  <c r="K6" i="2" s="1"/>
  <c r="J7" i="2"/>
  <c r="K7" i="2" s="1"/>
  <c r="J9" i="2"/>
  <c r="K9" i="2" s="1"/>
  <c r="J13" i="2"/>
  <c r="K13" i="2" s="1"/>
  <c r="J14" i="2"/>
  <c r="K14" i="2" s="1"/>
  <c r="J3" i="2"/>
  <c r="K3" i="2" s="1"/>
  <c r="C5" i="1"/>
  <c r="B5" i="1"/>
  <c r="G3" i="1"/>
  <c r="H3" i="1"/>
  <c r="F3" i="1"/>
  <c r="E3" i="1"/>
  <c r="D3" i="1"/>
  <c r="C7" i="1"/>
  <c r="C9" i="1"/>
  <c r="C3" i="1"/>
  <c r="B4" i="1"/>
  <c r="K15" i="4"/>
  <c r="D37" i="1"/>
  <c r="D38" i="1"/>
  <c r="D39" i="1"/>
  <c r="D40" i="1"/>
  <c r="D50" i="1"/>
  <c r="D49" i="1"/>
  <c r="D46" i="1"/>
  <c r="D45" i="1"/>
  <c r="D44" i="1"/>
  <c r="D43" i="1"/>
  <c r="D42" i="1"/>
  <c r="D41" i="1"/>
  <c r="D54" i="1"/>
  <c r="D56" i="1"/>
  <c r="D57" i="1"/>
  <c r="D58" i="1"/>
  <c r="M13" i="3" l="1"/>
  <c r="K12" i="1"/>
  <c r="M12" i="1" s="1"/>
  <c r="O12" i="1" s="1"/>
  <c r="L12" i="2"/>
  <c r="M11" i="3"/>
  <c r="M9" i="3"/>
  <c r="B15" i="1"/>
  <c r="L9" i="2"/>
  <c r="M8" i="3"/>
  <c r="L7" i="2"/>
  <c r="L10" i="2"/>
  <c r="M10" i="1"/>
  <c r="O10" i="1" s="1"/>
  <c r="L5" i="2"/>
  <c r="L4" i="2"/>
  <c r="J15" i="2"/>
  <c r="F15" i="1"/>
  <c r="F15" i="3"/>
  <c r="L6" i="2"/>
  <c r="L11" i="2"/>
  <c r="F35" i="4"/>
  <c r="N15" i="1"/>
  <c r="K16" i="5"/>
  <c r="I15" i="1"/>
  <c r="I4" i="1"/>
  <c r="K4" i="1"/>
  <c r="M4" i="1" s="1"/>
  <c r="O4" i="1" s="1"/>
  <c r="M6" i="1"/>
  <c r="O6" i="1" s="1"/>
  <c r="K14" i="1"/>
  <c r="M14" i="1" s="1"/>
  <c r="O14" i="1" s="1"/>
  <c r="L9" i="1"/>
  <c r="M9" i="1" s="1"/>
  <c r="O9" i="1" s="1"/>
  <c r="M10" i="3"/>
  <c r="M4" i="3"/>
  <c r="M11" i="1"/>
  <c r="O11" i="1" s="1"/>
  <c r="M7" i="1"/>
  <c r="O7" i="1" s="1"/>
  <c r="E15" i="3"/>
  <c r="K3" i="1"/>
  <c r="M3" i="1" s="1"/>
  <c r="O3" i="1" s="1"/>
  <c r="P3" i="1" s="1"/>
  <c r="L8" i="1"/>
  <c r="M8" i="1" s="1"/>
  <c r="O8" i="1" s="1"/>
  <c r="M8" i="2"/>
  <c r="M4" i="2"/>
  <c r="M9" i="2"/>
  <c r="M7" i="2"/>
  <c r="M11" i="2"/>
  <c r="L3" i="2"/>
  <c r="M3" i="2" s="1"/>
  <c r="M6" i="2"/>
  <c r="M10" i="2"/>
  <c r="M5" i="2"/>
  <c r="M12" i="2"/>
  <c r="C15" i="1"/>
  <c r="E15" i="1"/>
  <c r="G15" i="1"/>
  <c r="H15" i="1"/>
  <c r="L14" i="2"/>
  <c r="D15" i="1"/>
  <c r="L15" i="3"/>
  <c r="M14" i="2"/>
  <c r="M13" i="2"/>
  <c r="L15" i="1"/>
  <c r="L13" i="2"/>
  <c r="K15" i="2"/>
  <c r="M5" i="1" l="1"/>
  <c r="O5" i="1" s="1"/>
  <c r="M15" i="3"/>
  <c r="P6" i="1"/>
  <c r="P4" i="1"/>
  <c r="P5" i="1"/>
  <c r="K15" i="1"/>
  <c r="P10" i="1"/>
  <c r="P12" i="1"/>
  <c r="M13" i="1"/>
  <c r="P9" i="1" l="1"/>
  <c r="P8" i="1"/>
  <c r="P11" i="1"/>
  <c r="P7" i="1"/>
  <c r="O13" i="1"/>
  <c r="P14" i="1"/>
  <c r="P13" i="1"/>
  <c r="M15" i="1"/>
</calcChain>
</file>

<file path=xl/sharedStrings.xml><?xml version="1.0" encoding="utf-8"?>
<sst xmlns="http://schemas.openxmlformats.org/spreadsheetml/2006/main" count="324" uniqueCount="182">
  <si>
    <t>May</t>
  </si>
  <si>
    <t xml:space="preserve">% Recycled  </t>
  </si>
  <si>
    <t>% Recycled</t>
  </si>
  <si>
    <t>All Paper</t>
  </si>
  <si>
    <t>Cardboard</t>
  </si>
  <si>
    <t>Metal</t>
  </si>
  <si>
    <t>Glass</t>
  </si>
  <si>
    <t>ewaste</t>
  </si>
  <si>
    <t>wood scrap</t>
  </si>
  <si>
    <t>Plastic/Can</t>
  </si>
  <si>
    <t>Total lbs</t>
  </si>
  <si>
    <t>Total tons</t>
  </si>
  <si>
    <t>MTD</t>
  </si>
  <si>
    <t>YTD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</si>
  <si>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</si>
  <si>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</si>
  <si>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</si>
  <si>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</si>
  <si>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</si>
  <si>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</si>
  <si>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</si>
  <si>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</si>
  <si>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</si>
  <si>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</si>
  <si>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</si>
  <si>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 xml:space="preserve">FM </t>
  </si>
  <si>
    <t>Woodcraft</t>
  </si>
  <si>
    <t>Anna Smith</t>
  </si>
  <si>
    <t>Seabury</t>
  </si>
  <si>
    <t>Woods-Penn</t>
  </si>
  <si>
    <t>Surplus</t>
  </si>
  <si>
    <t>Eco-Village</t>
  </si>
  <si>
    <t>Dumpsters</t>
  </si>
  <si>
    <t>Compactor</t>
  </si>
  <si>
    <t>Open Top</t>
  </si>
  <si>
    <t>Estimated</t>
  </si>
  <si>
    <t>Total</t>
  </si>
  <si>
    <t>Dumpsters Est:</t>
  </si>
  <si>
    <t>Berea College WC Dumpster Cubic Yds</t>
  </si>
  <si>
    <t xml:space="preserve">Dumpsters Remaining </t>
  </si>
  <si>
    <t>Dump Freq.</t>
  </si>
  <si>
    <t>Total Yds3</t>
  </si>
  <si>
    <t>Weekly Est</t>
  </si>
  <si>
    <t>80% capacity</t>
  </si>
  <si>
    <t>Campus</t>
  </si>
  <si>
    <t>Blue Ridge- 6YD</t>
  </si>
  <si>
    <t>Danforth- 6YD</t>
  </si>
  <si>
    <t>ER- 4YD</t>
  </si>
  <si>
    <t>Fairchild- 3YD</t>
  </si>
  <si>
    <t>Forestry - 3YD</t>
  </si>
  <si>
    <t>IA- 6YD</t>
  </si>
  <si>
    <t>James Hall- 4YD</t>
  </si>
  <si>
    <t>Kettering Hall-8YD</t>
  </si>
  <si>
    <t>Knapp- 6YD</t>
  </si>
  <si>
    <t>Science- 6YD</t>
  </si>
  <si>
    <t>Off Campus</t>
  </si>
  <si>
    <t>Boone Tavern-8YD</t>
  </si>
  <si>
    <t>Eco Village- 6YD</t>
  </si>
  <si>
    <t>Farm</t>
  </si>
  <si>
    <t>Walnut Meadow</t>
  </si>
  <si>
    <t>Total weekly trash:</t>
  </si>
  <si>
    <t>Est 1yd3 trash weighs 100lbs</t>
  </si>
  <si>
    <t>Total weekly weight lbs:</t>
  </si>
  <si>
    <t>Total monthly weight lbs:</t>
  </si>
  <si>
    <t>Total monthly weight tons:</t>
  </si>
  <si>
    <t>Date</t>
  </si>
  <si>
    <t>Department</t>
  </si>
  <si>
    <t>Gross Weight (lbs)</t>
  </si>
  <si>
    <t>Net Weight (lbs)</t>
  </si>
  <si>
    <t>Net tons</t>
  </si>
  <si>
    <t>Check Amount ($)</t>
  </si>
  <si>
    <t>Description</t>
  </si>
  <si>
    <t>Scrap Metals</t>
  </si>
  <si>
    <t>Revenues</t>
  </si>
  <si>
    <t>Event</t>
  </si>
  <si>
    <t>Location</t>
  </si>
  <si>
    <t>College Square</t>
  </si>
  <si>
    <t>Composted (lbs)</t>
  </si>
  <si>
    <t>Numbers Served</t>
  </si>
  <si>
    <t>Tons</t>
  </si>
  <si>
    <t>TOTAL</t>
  </si>
  <si>
    <t>Composting</t>
  </si>
  <si>
    <t>Construction</t>
  </si>
  <si>
    <t>Plastic/Cans</t>
  </si>
  <si>
    <t xml:space="preserve">23.05 tons monthly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</si>
  <si>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</si>
  <si>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</si>
  <si>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</si>
  <si>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</si>
  <si>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</si>
  <si>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</si>
  <si>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</si>
  <si>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</si>
  <si>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</si>
  <si>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</si>
  <si>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</si>
  <si>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Totals</t>
  </si>
  <si>
    <t>Post-consumer food waste</t>
  </si>
  <si>
    <t>Compost (Lbs)</t>
  </si>
  <si>
    <t>Pre-Consumer food waste</t>
  </si>
  <si>
    <t>Trash (lbs)</t>
  </si>
  <si>
    <t>Revenue ($)</t>
  </si>
  <si>
    <t>Pre-Consumer Food Waste</t>
  </si>
  <si>
    <t>Post-Consumer Food Waste</t>
  </si>
  <si>
    <t>Total Tons</t>
  </si>
  <si>
    <t>Kettering</t>
  </si>
  <si>
    <t>Cleanfill</t>
  </si>
  <si>
    <t xml:space="preserve">Paper </t>
  </si>
  <si>
    <t>Aluminum Cans</t>
  </si>
  <si>
    <t xml:space="preserve">Weight Recycled (lbs) </t>
  </si>
  <si>
    <t>% Recycled MTD</t>
  </si>
  <si>
    <t>% Recycled YTD</t>
  </si>
  <si>
    <t xml:space="preserve">Plastic/Glass </t>
  </si>
  <si>
    <t xml:space="preserve">Types </t>
  </si>
  <si>
    <t>Recycling &amp; Composting Totals 2014/2015 (in lbs)</t>
  </si>
  <si>
    <t>Solid Waste Totals 2014/2015 (in tons)</t>
  </si>
  <si>
    <t>Total (Accumulative)</t>
  </si>
  <si>
    <t xml:space="preserve">Date </t>
  </si>
  <si>
    <t>Paper</t>
  </si>
  <si>
    <t>Palstic/Glass</t>
  </si>
  <si>
    <t>Total (lbs)</t>
  </si>
  <si>
    <t>NOTE:  Beginning 1-15 Scrap Refunds from Mid-State Recycling</t>
  </si>
  <si>
    <t xml:space="preserve">                     Recycling Totals 2015-2016</t>
  </si>
  <si>
    <t>Recycling and compost Totals 2015-2016</t>
  </si>
  <si>
    <t xml:space="preserve">                           Compost Totals 2015-2016</t>
  </si>
  <si>
    <t>Compost from Café 2015-2016</t>
  </si>
  <si>
    <t>2015/2016 Event post-consumer Composting</t>
  </si>
  <si>
    <t>Monthly Totals 2015-2016</t>
  </si>
  <si>
    <t>College Square Dinner</t>
  </si>
  <si>
    <t xml:space="preserve">President's Breakfast </t>
  </si>
  <si>
    <t xml:space="preserve">Cardboard </t>
  </si>
  <si>
    <t>Campus Wide Move Out 2015-2016</t>
  </si>
  <si>
    <t xml:space="preserve">Clothes </t>
  </si>
  <si>
    <t>Furnitures</t>
  </si>
  <si>
    <t>August 21-26</t>
  </si>
  <si>
    <t>First Year Move In 2015-2016 (Pounds)</t>
  </si>
  <si>
    <t>Move In &amp; Move Out Total 2015-2016</t>
  </si>
  <si>
    <t>Cardboards</t>
  </si>
  <si>
    <t>Clothes</t>
  </si>
  <si>
    <t>(Need to connect to the summary sheet)</t>
  </si>
  <si>
    <t>President's Convo Dinner</t>
  </si>
  <si>
    <t>Quad</t>
  </si>
  <si>
    <t>9/22&amp;23/2015</t>
  </si>
  <si>
    <t>Brushy Fork Institute Dinner and Lunch event</t>
  </si>
  <si>
    <t>Fairchild Lawn</t>
  </si>
  <si>
    <t>Bingham Hall Renovation Waste Diversion 2015-2016 (Accumulative)</t>
  </si>
  <si>
    <t xml:space="preserve">August </t>
  </si>
  <si>
    <t>EPG Dinner</t>
  </si>
  <si>
    <t>Recycling (lbs)</t>
  </si>
  <si>
    <t xml:space="preserve">Appalachian Gallery </t>
  </si>
  <si>
    <t>25*</t>
  </si>
  <si>
    <t>Faculty Forum</t>
  </si>
  <si>
    <t>Baird Lounge</t>
  </si>
  <si>
    <t>Mountain Day</t>
  </si>
  <si>
    <t>Indian Fort</t>
  </si>
  <si>
    <t>700*</t>
  </si>
  <si>
    <t>Food Drive/Diwali Night/GFA</t>
  </si>
  <si>
    <t>10/24,11/7,11/10</t>
  </si>
  <si>
    <t>11/13, 11/14</t>
  </si>
  <si>
    <t>Block Party/ Berea Fest</t>
  </si>
  <si>
    <t>Conference in Library</t>
  </si>
  <si>
    <t>Hutchins Library</t>
  </si>
  <si>
    <t>Green Game</t>
  </si>
  <si>
    <t>Trustees Room -Gym</t>
  </si>
  <si>
    <t>*600</t>
  </si>
  <si>
    <t>Alumni Compost</t>
  </si>
  <si>
    <t>Carter G. Woodson Weekend</t>
  </si>
  <si>
    <t xml:space="preserve">Woods Penn </t>
  </si>
  <si>
    <t>BC Labor Day</t>
  </si>
  <si>
    <t>Library</t>
  </si>
  <si>
    <t>3/XX/2016</t>
  </si>
  <si>
    <t>Library (XX)</t>
  </si>
  <si>
    <t xml:space="preserve">Dandelion Festival </t>
  </si>
  <si>
    <t>Cosmo Show</t>
  </si>
  <si>
    <t>Phelps Stoke</t>
  </si>
  <si>
    <t>Summer Connections</t>
  </si>
  <si>
    <t xml:space="preserve">Move In </t>
  </si>
  <si>
    <t>Move Out</t>
  </si>
  <si>
    <t>Cloth</t>
  </si>
  <si>
    <t>Furniture</t>
  </si>
  <si>
    <t xml:space="preserve">Total </t>
  </si>
  <si>
    <t>Bingham Hall Monthly Waste Diversion 2015-2016 (in lbs)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</si>
</sst>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66">
    <xf numFmtId="0" fontId="0" fillId="0" borderId="0" xfId="0"/>
    <xf numFmtId="0" fontId="1" fillId="0" borderId="5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2" fontId="0" fillId="0" borderId="0" xfId="0" applyNumberFormat="1" applyFill="1" applyBorder="1"/>
    <xf numFmtId="0" fontId="0" fillId="0" borderId="0" xfId="0" applyBorder="1"/>
    <xf numFmtId="0" fontId="1" fillId="0" borderId="0" xfId="0" applyFont="1" applyBorder="1"/>
    <xf numFmtId="0" fontId="0" fillId="0" borderId="0" xfId="0" applyFill="1" applyBorder="1"/>
    <xf numFmtId="0" fontId="4" fillId="0" borderId="0" xfId="0" applyFont="1" applyBorder="1"/>
    <xf numFmtId="0" fontId="0" fillId="0" borderId="3" xfId="0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1" fillId="0" borderId="15" xfId="0" applyNumberFormat="1" applyFont="1" applyBorder="1"/>
    <xf numFmtId="0" fontId="3" fillId="0" borderId="0" xfId="0" applyFont="1" applyBorder="1"/>
    <xf numFmtId="2" fontId="0" fillId="0" borderId="0" xfId="0" applyNumberFormat="1" applyBorder="1"/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5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8" xfId="0" applyFont="1" applyBorder="1"/>
    <xf numFmtId="2" fontId="1" fillId="0" borderId="16" xfId="0" applyNumberFormat="1" applyFont="1" applyBorder="1"/>
    <xf numFmtId="3" fontId="1" fillId="0" borderId="2" xfId="0" applyNumberFormat="1" applyFont="1" applyBorder="1"/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7" fontId="1" fillId="0" borderId="28" xfId="0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17" fontId="1" fillId="0" borderId="11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13" xfId="0" applyFont="1" applyBorder="1"/>
    <xf numFmtId="3" fontId="1" fillId="0" borderId="37" xfId="0" applyNumberFormat="1" applyFont="1" applyBorder="1"/>
    <xf numFmtId="0" fontId="1" fillId="0" borderId="14" xfId="0" applyFont="1" applyFill="1" applyBorder="1"/>
    <xf numFmtId="4" fontId="1" fillId="0" borderId="32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0" fillId="0" borderId="11" xfId="0" applyNumberFormat="1" applyBorder="1"/>
    <xf numFmtId="10" fontId="0" fillId="0" borderId="27" xfId="0" applyNumberFormat="1" applyBorder="1"/>
    <xf numFmtId="0" fontId="1" fillId="0" borderId="0" xfId="0" applyFont="1" applyBorder="1" applyAlignment="1">
      <alignment horizontal="center"/>
    </xf>
    <xf numFmtId="0" fontId="8" fillId="0" borderId="0" xfId="5" applyNumberFormat="1" applyFont="1" applyAlignment="1" applyProtection="1">
      <alignment horizontal="center"/>
      <protection locked="0"/>
    </xf>
    <xf numFmtId="3" fontId="1" fillId="0" borderId="15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27" xfId="0" applyFont="1" applyBorder="1"/>
    <xf numFmtId="2" fontId="0" fillId="0" borderId="28" xfId="0" applyNumberFormat="1" applyBorder="1"/>
    <xf numFmtId="2" fontId="0" fillId="0" borderId="11" xfId="0" applyNumberFormat="1" applyBorder="1"/>
    <xf numFmtId="2" fontId="0" fillId="0" borderId="27" xfId="0" applyNumberFormat="1" applyBorder="1"/>
    <xf numFmtId="0" fontId="4" fillId="0" borderId="45" xfId="0" applyFont="1" applyBorder="1"/>
    <xf numFmtId="0" fontId="4" fillId="0" borderId="46" xfId="0" applyFont="1" applyFill="1" applyBorder="1"/>
    <xf numFmtId="2" fontId="1" fillId="0" borderId="33" xfId="0" applyNumberFormat="1" applyFont="1" applyBorder="1"/>
    <xf numFmtId="0" fontId="0" fillId="0" borderId="0" xfId="0" applyAlignment="1">
      <alignment wrapText="1"/>
    </xf>
    <xf numFmtId="2" fontId="1" fillId="0" borderId="0" xfId="0" applyNumberFormat="1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5" xfId="0" applyFont="1" applyBorder="1"/>
    <xf numFmtId="3" fontId="0" fillId="0" borderId="30" xfId="0" applyNumberFormat="1" applyFont="1" applyBorder="1"/>
    <xf numFmtId="3" fontId="0" fillId="0" borderId="2" xfId="0" applyNumberFormat="1" applyFont="1" applyBorder="1"/>
    <xf numFmtId="2" fontId="0" fillId="0" borderId="20" xfId="0" applyNumberFormat="1" applyFont="1" applyBorder="1"/>
    <xf numFmtId="10" fontId="0" fillId="0" borderId="0" xfId="0" applyNumberFormat="1" applyFont="1" applyBorder="1"/>
    <xf numFmtId="3" fontId="0" fillId="0" borderId="26" xfId="0" applyNumberFormat="1" applyFont="1" applyBorder="1"/>
    <xf numFmtId="3" fontId="0" fillId="0" borderId="3" xfId="0" applyNumberFormat="1" applyFont="1" applyBorder="1"/>
    <xf numFmtId="3" fontId="0" fillId="0" borderId="36" xfId="0" applyNumberFormat="1" applyFont="1" applyBorder="1"/>
    <xf numFmtId="3" fontId="0" fillId="0" borderId="1" xfId="0" applyNumberFormat="1" applyFont="1" applyBorder="1"/>
    <xf numFmtId="2" fontId="0" fillId="0" borderId="35" xfId="0" applyNumberFormat="1" applyFont="1" applyBorder="1"/>
    <xf numFmtId="2" fontId="0" fillId="0" borderId="0" xfId="0" applyNumberFormat="1" applyFont="1" applyBorder="1"/>
    <xf numFmtId="2" fontId="0" fillId="0" borderId="0" xfId="0" applyNumberFormat="1" applyFont="1" applyFill="1" applyBorder="1"/>
    <xf numFmtId="0" fontId="10" fillId="0" borderId="0" xfId="6" applyFont="1"/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43" fontId="11" fillId="0" borderId="9" xfId="1" applyFont="1" applyBorder="1" applyProtection="1">
      <protection locked="0"/>
    </xf>
    <xf numFmtId="0" fontId="11" fillId="0" borderId="11" xfId="1" applyNumberFormat="1" applyFont="1" applyBorder="1" applyProtection="1">
      <protection locked="0"/>
    </xf>
    <xf numFmtId="0" fontId="11" fillId="0" borderId="11" xfId="3" applyNumberFormat="1" applyFont="1" applyBorder="1" applyProtection="1">
      <protection locked="0"/>
    </xf>
    <xf numFmtId="43" fontId="11" fillId="0" borderId="43" xfId="1" applyFont="1" applyBorder="1" applyProtection="1">
      <protection locked="0"/>
    </xf>
    <xf numFmtId="0" fontId="11" fillId="0" borderId="44" xfId="1" applyNumberFormat="1" applyFont="1" applyBorder="1" applyProtection="1">
      <protection locked="0"/>
    </xf>
    <xf numFmtId="0" fontId="11" fillId="0" borderId="44" xfId="3" applyNumberFormat="1" applyFont="1" applyBorder="1" applyProtection="1">
      <protection locked="0"/>
    </xf>
    <xf numFmtId="0" fontId="1" fillId="0" borderId="44" xfId="0" applyFont="1" applyBorder="1"/>
    <xf numFmtId="3" fontId="11" fillId="0" borderId="44" xfId="6" applyNumberFormat="1" applyFont="1" applyBorder="1"/>
    <xf numFmtId="43" fontId="1" fillId="0" borderId="33" xfId="0" applyNumberFormat="1" applyFont="1" applyBorder="1"/>
    <xf numFmtId="43" fontId="1" fillId="0" borderId="34" xfId="0" applyNumberFormat="1" applyFont="1" applyBorder="1"/>
    <xf numFmtId="43" fontId="1" fillId="0" borderId="9" xfId="0" applyNumberFormat="1" applyFont="1" applyBorder="1"/>
    <xf numFmtId="43" fontId="1" fillId="0" borderId="11" xfId="0" applyNumberFormat="1" applyFont="1" applyBorder="1"/>
    <xf numFmtId="0" fontId="1" fillId="0" borderId="52" xfId="0" applyFont="1" applyBorder="1" applyAlignment="1">
      <alignment horizontal="center"/>
    </xf>
    <xf numFmtId="0" fontId="1" fillId="0" borderId="53" xfId="0" applyFont="1" applyBorder="1"/>
    <xf numFmtId="43" fontId="1" fillId="0" borderId="13" xfId="0" applyNumberFormat="1" applyFont="1" applyBorder="1"/>
    <xf numFmtId="43" fontId="1" fillId="0" borderId="39" xfId="0" applyNumberFormat="1" applyFont="1" applyBorder="1"/>
    <xf numFmtId="43" fontId="1" fillId="0" borderId="5" xfId="0" applyNumberFormat="1" applyFont="1" applyBorder="1"/>
    <xf numFmtId="43" fontId="1" fillId="0" borderId="6" xfId="0" applyNumberFormat="1" applyFont="1" applyBorder="1"/>
    <xf numFmtId="43" fontId="1" fillId="0" borderId="32" xfId="0" applyNumberFormat="1" applyFont="1" applyFill="1" applyBorder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8" fillId="0" borderId="0" xfId="7" applyNumberFormat="1" applyFont="1" applyAlignment="1" applyProtection="1">
      <alignment horizontal="center"/>
      <protection locked="0"/>
    </xf>
    <xf numFmtId="0" fontId="8" fillId="0" borderId="0" xfId="3" applyNumberFormat="1" applyFont="1" applyAlignment="1" applyProtection="1">
      <alignment horizontal="center"/>
      <protection locked="0"/>
    </xf>
    <xf numFmtId="0" fontId="1" fillId="0" borderId="13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11" fillId="0" borderId="11" xfId="7" applyNumberFormat="1" applyFont="1" applyBorder="1" applyProtection="1">
      <protection locked="0"/>
    </xf>
    <xf numFmtId="0" fontId="1" fillId="0" borderId="0" xfId="0" applyFont="1" applyBorder="1" applyAlignment="1"/>
    <xf numFmtId="0" fontId="0" fillId="0" borderId="21" xfId="0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11" fillId="0" borderId="0" xfId="1" applyNumberFormat="1" applyFont="1" applyProtection="1">
      <protection locked="0"/>
    </xf>
    <xf numFmtId="165" fontId="11" fillId="0" borderId="54" xfId="3" applyNumberFormat="1" applyFont="1" applyBorder="1" applyProtection="1">
      <protection locked="0"/>
    </xf>
    <xf numFmtId="0" fontId="1" fillId="0" borderId="27" xfId="0" applyFont="1" applyBorder="1"/>
    <xf numFmtId="0" fontId="1" fillId="0" borderId="6" xfId="0" applyFont="1" applyBorder="1" applyAlignment="1">
      <alignment horizontal="center"/>
    </xf>
    <xf numFmtId="0" fontId="8" fillId="0" borderId="0" xfId="6" applyFont="1"/>
    <xf numFmtId="0" fontId="0" fillId="0" borderId="11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4" fontId="0" fillId="0" borderId="51" xfId="0" applyNumberForma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17" fontId="1" fillId="0" borderId="49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0" borderId="57" xfId="0" applyFont="1" applyBorder="1" applyAlignment="1">
      <alignment horizontal="center"/>
    </xf>
    <xf numFmtId="0" fontId="0" fillId="0" borderId="9" xfId="0" applyBorder="1"/>
    <xf numFmtId="0" fontId="0" fillId="0" borderId="11" xfId="0" applyBorder="1"/>
    <xf numFmtId="0" fontId="0" fillId="0" borderId="11" xfId="0" applyFill="1" applyBorder="1"/>
    <xf numFmtId="0" fontId="0" fillId="0" borderId="13" xfId="0" applyBorder="1"/>
    <xf numFmtId="0" fontId="1" fillId="0" borderId="5" xfId="0" applyFont="1" applyBorder="1"/>
    <xf numFmtId="0" fontId="0" fillId="0" borderId="49" xfId="0" applyBorder="1"/>
    <xf numFmtId="0" fontId="1" fillId="0" borderId="56" xfId="0" applyFont="1" applyFill="1" applyBorder="1"/>
    <xf numFmtId="3" fontId="0" fillId="0" borderId="11" xfId="0" applyNumberFormat="1" applyBorder="1"/>
    <xf numFmtId="3" fontId="1" fillId="0" borderId="27" xfId="0" applyNumberFormat="1" applyFont="1" applyBorder="1"/>
    <xf numFmtId="3" fontId="0" fillId="0" borderId="44" xfId="0" applyNumberForma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3" fontId="1" fillId="0" borderId="44" xfId="0" applyNumberFormat="1" applyFont="1" applyBorder="1"/>
    <xf numFmtId="2" fontId="1" fillId="0" borderId="27" xfId="0" applyNumberFormat="1" applyFont="1" applyFill="1" applyBorder="1"/>
    <xf numFmtId="0" fontId="1" fillId="0" borderId="6" xfId="0" applyFont="1" applyFill="1" applyBorder="1" applyAlignment="1">
      <alignment horizontal="center"/>
    </xf>
    <xf numFmtId="10" fontId="0" fillId="0" borderId="43" xfId="0" applyNumberFormat="1" applyBorder="1"/>
    <xf numFmtId="10" fontId="0" fillId="0" borderId="44" xfId="0" applyNumberFormat="1" applyBorder="1"/>
    <xf numFmtId="0" fontId="0" fillId="0" borderId="42" xfId="0" applyNumberFormat="1" applyBorder="1"/>
    <xf numFmtId="10" fontId="0" fillId="0" borderId="28" xfId="0" applyNumberFormat="1" applyBorder="1"/>
    <xf numFmtId="164" fontId="0" fillId="0" borderId="0" xfId="8" applyNumberFormat="1" applyFont="1" applyBorder="1" applyAlignment="1">
      <alignment horizontal="center"/>
    </xf>
    <xf numFmtId="164" fontId="1" fillId="0" borderId="32" xfId="8" applyNumberFormat="1" applyFont="1" applyBorder="1" applyAlignment="1">
      <alignment horizontal="center"/>
    </xf>
    <xf numFmtId="164" fontId="0" fillId="0" borderId="33" xfId="8" applyNumberFormat="1" applyFont="1" applyBorder="1"/>
    <xf numFmtId="164" fontId="0" fillId="0" borderId="34" xfId="8" applyNumberFormat="1" applyFont="1" applyBorder="1"/>
    <xf numFmtId="164" fontId="0" fillId="0" borderId="46" xfId="8" applyNumberFormat="1" applyFont="1" applyBorder="1"/>
    <xf numFmtId="164" fontId="0" fillId="0" borderId="0" xfId="8" applyNumberFormat="1" applyFont="1" applyBorder="1"/>
    <xf numFmtId="164" fontId="4" fillId="0" borderId="0" xfId="8" applyNumberFormat="1" applyFont="1" applyBorder="1"/>
    <xf numFmtId="164" fontId="4" fillId="0" borderId="0" xfId="8" applyNumberFormat="1" applyFont="1" applyFill="1" applyBorder="1"/>
    <xf numFmtId="164" fontId="0" fillId="0" borderId="0" xfId="8" applyNumberFormat="1" applyFont="1"/>
    <xf numFmtId="0" fontId="1" fillId="0" borderId="1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9" xfId="0" applyFont="1" applyBorder="1"/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8" fillId="0" borderId="0" xfId="0" applyFont="1"/>
    <xf numFmtId="0" fontId="0" fillId="0" borderId="0" xfId="0"/>
    <xf numFmtId="0" fontId="0" fillId="0" borderId="0" xfId="0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26" xfId="0" applyNumberFormat="1" applyBorder="1"/>
    <xf numFmtId="2" fontId="0" fillId="0" borderId="26" xfId="0" applyNumberFormat="1" applyBorder="1" applyAlignment="1">
      <alignment horizontal="center"/>
    </xf>
    <xf numFmtId="2" fontId="0" fillId="0" borderId="30" xfId="0" applyNumberFormat="1" applyBorder="1"/>
    <xf numFmtId="0" fontId="4" fillId="0" borderId="51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" fillId="0" borderId="44" xfId="0" applyFont="1" applyFill="1" applyBorder="1" applyAlignment="1"/>
    <xf numFmtId="0" fontId="0" fillId="0" borderId="44" xfId="0" applyBorder="1"/>
    <xf numFmtId="0" fontId="0" fillId="0" borderId="28" xfId="0" applyBorder="1" applyAlignment="1">
      <alignment horizontal="center"/>
    </xf>
    <xf numFmtId="0" fontId="1" fillId="0" borderId="11" xfId="0" applyFont="1" applyFill="1" applyBorder="1" applyAlignment="1"/>
    <xf numFmtId="0" fontId="1" fillId="0" borderId="13" xfId="0" applyFont="1" applyBorder="1" applyAlignment="1">
      <alignment horizontal="center"/>
    </xf>
    <xf numFmtId="0" fontId="0" fillId="0" borderId="53" xfId="0" applyBorder="1"/>
    <xf numFmtId="0" fontId="11" fillId="0" borderId="5" xfId="0" applyFont="1" applyBorder="1" applyAlignment="1">
      <alignment horizontal="center"/>
    </xf>
    <xf numFmtId="2" fontId="0" fillId="0" borderId="0" xfId="0" applyNumberFormat="1"/>
    <xf numFmtId="0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28" xfId="0" applyNumberFormat="1" applyBorder="1"/>
    <xf numFmtId="3" fontId="0" fillId="0" borderId="43" xfId="0" applyNumberFormat="1" applyBorder="1"/>
    <xf numFmtId="0" fontId="15" fillId="0" borderId="0" xfId="0" applyFont="1"/>
    <xf numFmtId="3" fontId="0" fillId="0" borderId="54" xfId="0" applyNumberFormat="1" applyBorder="1"/>
    <xf numFmtId="3" fontId="0" fillId="0" borderId="0" xfId="0" applyNumberFormat="1"/>
    <xf numFmtId="14" fontId="1" fillId="0" borderId="16" xfId="0" applyNumberFormat="1" applyFont="1" applyBorder="1" applyAlignment="1">
      <alignment horizontal="center"/>
    </xf>
    <xf numFmtId="3" fontId="0" fillId="0" borderId="0" xfId="0" applyNumberFormat="1"/>
    <xf numFmtId="14" fontId="1" fillId="0" borderId="5" xfId="0" applyNumberFormat="1" applyFont="1" applyFill="1" applyBorder="1" applyAlignment="1">
      <alignment horizontal="center"/>
    </xf>
    <xf numFmtId="2" fontId="0" fillId="0" borderId="34" xfId="0" applyNumberFormat="1" applyBorder="1"/>
    <xf numFmtId="2" fontId="0" fillId="0" borderId="33" xfId="0" applyNumberFormat="1" applyBorder="1"/>
    <xf numFmtId="0" fontId="1" fillId="0" borderId="52" xfId="0" applyFont="1" applyBorder="1"/>
    <xf numFmtId="3" fontId="1" fillId="0" borderId="53" xfId="0" applyNumberFormat="1" applyFont="1" applyBorder="1"/>
    <xf numFmtId="3" fontId="0" fillId="0" borderId="9" xfId="0" applyNumberFormat="1" applyBorder="1"/>
    <xf numFmtId="3" fontId="1" fillId="0" borderId="26" xfId="0" applyNumberFormat="1" applyFont="1" applyBorder="1"/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Border="1"/>
    <xf numFmtId="0" fontId="1" fillId="0" borderId="4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9">
    <cellStyle name="Comma" xfId="1" builtinId="3"/>
    <cellStyle name="Comma 2" xfId="3"/>
    <cellStyle name="Comma 3" xfId="5"/>
    <cellStyle name="Comma 4" xfId="7"/>
    <cellStyle name="Currency" xfId="8" builtinId="4"/>
    <cellStyle name="Normal" xfId="0" builtinId="0"/>
    <cellStyle name="Normal 2" xfId="2"/>
    <cellStyle name="Normal 3" xfId="4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topLeftCell="A14" zoomScaleNormal="100" workbookViewId="0">
      <selection activeCell="N32" sqref="N32"/>
    </sheetView>
  </sheetViews>
  <sheetFormatPr defaultColWidth="9.140625" defaultRowHeight="15" x14ac:dyDescent="0.25"/>
  <cols>
    <col min="1" max="1" width="11.5703125" style="28" customWidth="1"/>
    <col min="2" max="2" width="10.85546875" style="28" customWidth="1"/>
    <col min="3" max="3" width="12.5703125" style="28" customWidth="1"/>
    <col min="4" max="4" width="11.28515625" style="28" customWidth="1"/>
    <col min="5" max="5" width="9.140625" style="28"/>
    <col min="6" max="6" width="12" style="28" customWidth="1"/>
    <col min="7" max="7" width="9.28515625" style="28" customWidth="1"/>
    <col min="8" max="8" width="12.5703125" style="28" customWidth="1"/>
    <col min="9" max="9" width="13" style="28" customWidth="1"/>
    <col min="10" max="10" width="12.85546875" style="28" customWidth="1"/>
    <col min="11" max="11" width="13" style="28" customWidth="1"/>
    <col min="12" max="12" width="9.140625" style="28"/>
    <col min="13" max="14" width="10.28515625" style="28" customWidth="1"/>
    <col min="15" max="15" width="14.140625" style="28" customWidth="1"/>
    <col min="16" max="16" width="11.85546875" style="28" customWidth="1"/>
    <col min="17" max="16384" width="9.140625" style="28"/>
  </cols>
  <sheetData>
    <row r="1" spans="1:16" ht="15.75" thickBot="1" x14ac:dyDescent="0.3">
      <c r="A1" s="358" t="s">
        <v>114</v>
      </c>
      <c r="B1" s="359"/>
      <c r="C1" s="359"/>
      <c r="D1" s="359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58" t="s">
        <v>1</v>
      </c>
      <c r="P1" s="58" t="s">
        <v>2</v>
      </c>
    </row>
    <row r="2" spans="1:16" ht="15.75" thickBot="1" x14ac:dyDescent="0.3">
      <c r="A2" s="18" t="s">
        <v>65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83</v>
      </c>
      <c r="G2" s="19" t="s">
        <v>7</v>
      </c>
      <c r="H2" s="19" t="s">
        <v>8</v>
      </c>
      <c r="I2" s="19" t="s">
        <v>72</v>
      </c>
      <c r="J2" s="19" t="s">
        <v>82</v>
      </c>
      <c r="K2" s="19" t="s">
        <v>81</v>
      </c>
      <c r="L2" s="19" t="s">
        <v>10</v>
      </c>
      <c r="M2" s="287" t="s">
        <v>11</v>
      </c>
      <c r="N2" s="288" t="s">
        <v>73</v>
      </c>
      <c r="O2" s="1" t="s">
        <v>12</v>
      </c>
      <c r="P2" s="1" t="s">
        <v>13</v>
      </c>
    </row>
    <row r="3" spans="1:16" x14ac:dyDescent="0.25">
      <c r="A3" s="143" t="s">
        <v>14</v>
      </c>
      <c r="B3" s="13">
        <f>'FM Recycling and Solid Waste'!C3</f>
        <v>9129</v>
      </c>
      <c r="C3" s="13">
        <f>'FM Recycling and Solid Waste'!D3</f>
        <v>9434</v>
      </c>
      <c r="D3" s="13">
        <f>'FM Recycling and Solid Waste'!E3+'Dining service Comp-Recyc'!B3</f>
        <v>8386</v>
      </c>
      <c r="E3" s="13">
        <f>'FM Recycling and Solid Waste'!F3+'Dining service Comp-Recyc'!C3</f>
        <v>750</v>
      </c>
      <c r="F3" s="13">
        <f>'FM Recycling and Solid Waste'!I3+'Dining service Comp-Recyc'!D3</f>
        <v>543</v>
      </c>
      <c r="G3" s="13">
        <f>'FM Recycling and Solid Waste'!G3</f>
        <v>0</v>
      </c>
      <c r="H3" s="13">
        <f>'FM Recycling and Solid Waste'!H3</f>
        <v>5000</v>
      </c>
      <c r="I3" s="13">
        <f>'Scrap Metal'!J3</f>
        <v>0</v>
      </c>
      <c r="J3" s="13">
        <f>Construction!H17</f>
        <v>0</v>
      </c>
      <c r="K3" s="13">
        <f>'Dining service Comp-Recyc'!L3+'Event composting'!K3+'Dining service Comp-Recyc'!L19</f>
        <v>1421</v>
      </c>
      <c r="L3" s="144">
        <f>SUM(B3:K3)</f>
        <v>34663</v>
      </c>
      <c r="M3" s="145">
        <f>L3* 0.0005</f>
        <v>17.331500000000002</v>
      </c>
      <c r="N3" s="146">
        <f>'Scrap Metal'!K3+'FM Recycling and Solid Waste'!N3</f>
        <v>0</v>
      </c>
      <c r="O3" s="147">
        <f>M3/(M3+N19)</f>
        <v>0.38811568563782739</v>
      </c>
      <c r="P3" s="147">
        <f>+O3</f>
        <v>0.38811568563782739</v>
      </c>
    </row>
    <row r="4" spans="1:16" x14ac:dyDescent="0.25">
      <c r="A4" s="148" t="s">
        <v>15</v>
      </c>
      <c r="B4" s="15">
        <f>'FM Recycling and Solid Waste'!C4</f>
        <v>4011</v>
      </c>
      <c r="C4" s="15">
        <f>'FM Recycling and Solid Waste'!D4</f>
        <v>8710</v>
      </c>
      <c r="D4" s="15">
        <f>'FM Recycling and Solid Waste'!E4+'Dining service Comp-Recyc'!B4</f>
        <v>218</v>
      </c>
      <c r="E4" s="15">
        <f>'FM Recycling and Solid Waste'!F4+'Dining service Comp-Recyc'!C4</f>
        <v>750</v>
      </c>
      <c r="F4" s="15">
        <f>'FM Recycling and Solid Waste'!I4+'Dining service Comp-Recyc'!D4</f>
        <v>622</v>
      </c>
      <c r="G4" s="15">
        <f>'FM Recycling and Solid Waste'!G4</f>
        <v>0</v>
      </c>
      <c r="H4" s="13">
        <f>'FM Recycling and Solid Waste'!H4</f>
        <v>0</v>
      </c>
      <c r="I4" s="13">
        <f>'Scrap Metal'!J4</f>
        <v>0</v>
      </c>
      <c r="J4" s="13">
        <f>Construction!H18</f>
        <v>0</v>
      </c>
      <c r="K4" s="13">
        <f>'Dining service Comp-Recyc'!L4+'Event composting'!K4+'Dining service Comp-Recyc'!L20</f>
        <v>3388</v>
      </c>
      <c r="L4" s="149">
        <f>SUM(B4:K4)</f>
        <v>17699</v>
      </c>
      <c r="M4" s="150">
        <f t="shared" ref="M4:M14" si="0">L4* 0.0005</f>
        <v>8.8495000000000008</v>
      </c>
      <c r="N4" s="146">
        <f>'Scrap Metal'!K4+'FM Recycling and Solid Waste'!N4</f>
        <v>0</v>
      </c>
      <c r="O4" s="151">
        <f>M4/(M4+N20)</f>
        <v>0.14995721318003508</v>
      </c>
      <c r="P4" s="151">
        <f>+SUM($M$3:M4)/(+SUM($N$19:N20)+SUM($M$3:M4))</f>
        <v>0.25254415495471166</v>
      </c>
    </row>
    <row r="5" spans="1:16" x14ac:dyDescent="0.25">
      <c r="A5" s="148" t="s">
        <v>16</v>
      </c>
      <c r="B5" s="15">
        <f>'FM Recycling and Solid Waste'!C5</f>
        <v>4010</v>
      </c>
      <c r="C5" s="15">
        <f>'FM Recycling and Solid Waste'!D5</f>
        <v>8363</v>
      </c>
      <c r="D5" s="15">
        <f>'FM Recycling and Solid Waste'!E5+'Dining service Comp-Recyc'!B5</f>
        <v>309</v>
      </c>
      <c r="E5" s="15">
        <f>'FM Recycling and Solid Waste'!F5+'Dining service Comp-Recyc'!C5</f>
        <v>750</v>
      </c>
      <c r="F5" s="15">
        <f>'FM Recycling and Solid Waste'!I5+'Dining service Comp-Recyc'!D5</f>
        <v>646</v>
      </c>
      <c r="G5" s="15">
        <f>'FM Recycling and Solid Waste'!G5</f>
        <v>0</v>
      </c>
      <c r="H5" s="13">
        <f>'FM Recycling and Solid Waste'!H5</f>
        <v>0</v>
      </c>
      <c r="I5" s="13">
        <f>'Scrap Metal'!J5</f>
        <v>0</v>
      </c>
      <c r="J5" s="13">
        <f>Construction!H19</f>
        <v>924000</v>
      </c>
      <c r="K5" s="13">
        <f>'Dining service Comp-Recyc'!L5+'Event composting'!K5+'Dining service Comp-Recyc'!L21</f>
        <v>6136</v>
      </c>
      <c r="L5" s="149">
        <f>SUM(B5:K5)</f>
        <v>944214</v>
      </c>
      <c r="M5" s="150">
        <f t="shared" si="0"/>
        <v>472.10700000000003</v>
      </c>
      <c r="N5" s="146">
        <f>'Scrap Metal'!K5+'FM Recycling and Solid Waste'!N5</f>
        <v>0</v>
      </c>
      <c r="O5" s="151">
        <f t="shared" ref="O5:O14" si="1">M5/(M5+N21)</f>
        <v>0.93906603996889049</v>
      </c>
      <c r="P5" s="151">
        <f>+SUM($M$3:M5)/(+SUM($N$19:N21)+SUM($M$3:M5))</f>
        <v>0.82170148909153884</v>
      </c>
    </row>
    <row r="6" spans="1:16" x14ac:dyDescent="0.25">
      <c r="A6" s="148" t="s">
        <v>17</v>
      </c>
      <c r="B6" s="15">
        <f>'FM Recycling and Solid Waste'!C6</f>
        <v>10711</v>
      </c>
      <c r="C6" s="15">
        <f>'FM Recycling and Solid Waste'!D6</f>
        <v>10507</v>
      </c>
      <c r="D6" s="15">
        <f>'FM Recycling and Solid Waste'!E6+'Dining service Comp-Recyc'!B6</f>
        <v>402</v>
      </c>
      <c r="E6" s="15">
        <f>'FM Recycling and Solid Waste'!F6+'Dining service Comp-Recyc'!C6</f>
        <v>750</v>
      </c>
      <c r="F6" s="15">
        <f>'FM Recycling and Solid Waste'!I6+'Dining service Comp-Recyc'!D6</f>
        <v>727</v>
      </c>
      <c r="G6" s="15">
        <f>'FM Recycling and Solid Waste'!G6</f>
        <v>0</v>
      </c>
      <c r="H6" s="13">
        <f>'FM Recycling and Solid Waste'!H6</f>
        <v>5000</v>
      </c>
      <c r="I6" s="13">
        <f>'Scrap Metal'!J6</f>
        <v>0</v>
      </c>
      <c r="J6" s="13">
        <f>Construction!H20</f>
        <v>0</v>
      </c>
      <c r="K6" s="13">
        <f>'Dining service Comp-Recyc'!L6+'Event composting'!K6+'Dining service Comp-Recyc'!L22</f>
        <v>7309</v>
      </c>
      <c r="L6" s="149">
        <f>SUM(B6:K6)</f>
        <v>35406</v>
      </c>
      <c r="M6" s="150">
        <f t="shared" si="0"/>
        <v>17.702999999999999</v>
      </c>
      <c r="N6" s="146">
        <f>'Scrap Metal'!K6+'FM Recycling and Solid Waste'!N6</f>
        <v>0</v>
      </c>
      <c r="O6" s="151">
        <f>M6/(M6+N22)</f>
        <v>0.49034706257097754</v>
      </c>
      <c r="P6" s="151">
        <f>+SUM($M$3:M6)/(+SUM($N$19:N22)+SUM($M$3:M6))</f>
        <v>0.80308258354305684</v>
      </c>
    </row>
    <row r="7" spans="1:16" x14ac:dyDescent="0.25">
      <c r="A7" s="148" t="s">
        <v>18</v>
      </c>
      <c r="B7" s="15">
        <f>'FM Recycling and Solid Waste'!C7</f>
        <v>13834</v>
      </c>
      <c r="C7" s="15">
        <f>'FM Recycling and Solid Waste'!D7</f>
        <v>6091</v>
      </c>
      <c r="D7" s="15">
        <f>'FM Recycling and Solid Waste'!E7+'Dining service Comp-Recyc'!B7</f>
        <v>457</v>
      </c>
      <c r="E7" s="15">
        <f>'FM Recycling and Solid Waste'!F7+'Dining service Comp-Recyc'!C7</f>
        <v>750</v>
      </c>
      <c r="F7" s="15">
        <f>'FM Recycling and Solid Waste'!I7+'Dining service Comp-Recyc'!D7</f>
        <v>718</v>
      </c>
      <c r="G7" s="15">
        <f>'FM Recycling and Solid Waste'!G7</f>
        <v>0</v>
      </c>
      <c r="H7" s="13">
        <f>'FM Recycling and Solid Waste'!H7</f>
        <v>5000</v>
      </c>
      <c r="I7" s="13">
        <f>'Scrap Metal'!J7</f>
        <v>0</v>
      </c>
      <c r="J7" s="13">
        <f>Construction!H21</f>
        <v>112090</v>
      </c>
      <c r="K7" s="13">
        <f>'Dining service Comp-Recyc'!L7+'Event composting'!K7+'Dining service Comp-Recyc'!L23</f>
        <v>6329</v>
      </c>
      <c r="L7" s="149">
        <f>SUM(B7:K7)</f>
        <v>145269</v>
      </c>
      <c r="M7" s="150">
        <f t="shared" si="0"/>
        <v>72.634500000000003</v>
      </c>
      <c r="N7" s="146">
        <f>'Scrap Metal'!K7+'FM Recycling and Solid Waste'!N7</f>
        <v>0</v>
      </c>
      <c r="O7" s="151">
        <f t="shared" si="1"/>
        <v>0.42355318286648957</v>
      </c>
      <c r="P7" s="151">
        <f>+SUM($M$3:M7)/(+SUM($N$19:N23)+SUM($M$3:M7))</f>
        <v>0.72312581733571746</v>
      </c>
    </row>
    <row r="8" spans="1:16" x14ac:dyDescent="0.25">
      <c r="A8" s="148" t="s">
        <v>19</v>
      </c>
      <c r="B8" s="15">
        <f>'FM Recycling and Solid Waste'!C8</f>
        <v>7717</v>
      </c>
      <c r="C8" s="15">
        <v>6091</v>
      </c>
      <c r="D8" s="15">
        <f>'FM Recycling and Solid Waste'!E8+'Dining service Comp-Recyc'!B8</f>
        <v>7469</v>
      </c>
      <c r="E8" s="15">
        <f>'FM Recycling and Solid Waste'!F8+'Dining service Comp-Recyc'!C8</f>
        <v>750</v>
      </c>
      <c r="F8" s="15">
        <f>'FM Recycling and Solid Waste'!I8+'Dining service Comp-Recyc'!D8</f>
        <v>616</v>
      </c>
      <c r="G8" s="15">
        <f>'FM Recycling and Solid Waste'!G8</f>
        <v>0</v>
      </c>
      <c r="H8" s="13">
        <f>'FM Recycling and Solid Waste'!H8</f>
        <v>0</v>
      </c>
      <c r="I8" s="13">
        <f>'Scrap Metal'!J8</f>
        <v>0</v>
      </c>
      <c r="J8" s="13">
        <f>Construction!H22</f>
        <v>0</v>
      </c>
      <c r="K8" s="13">
        <f>'Dining service Comp-Recyc'!L8+'Event composting'!K8+'Dining service Comp-Recyc'!L24</f>
        <v>4595</v>
      </c>
      <c r="L8" s="149">
        <f t="shared" ref="L8:L9" si="2">SUM(B8:K8)</f>
        <v>27238</v>
      </c>
      <c r="M8" s="150">
        <f t="shared" si="0"/>
        <v>13.619</v>
      </c>
      <c r="N8" s="146">
        <f>'Scrap Metal'!K8+'FM Recycling and Solid Waste'!N8</f>
        <v>0</v>
      </c>
      <c r="O8" s="151">
        <f t="shared" si="1"/>
        <v>0.17879038504456959</v>
      </c>
      <c r="P8" s="151">
        <f>+SUM($M$3:M8)/(+SUM($N$19:N24)+SUM($M$3:M8))</f>
        <v>0.67654656474657493</v>
      </c>
    </row>
    <row r="9" spans="1:16" x14ac:dyDescent="0.25">
      <c r="A9" s="148" t="s">
        <v>20</v>
      </c>
      <c r="B9" s="15">
        <f>'FM Recycling and Solid Waste'!C9</f>
        <v>6412</v>
      </c>
      <c r="C9" s="15">
        <f>'FM Recycling and Solid Waste'!D9</f>
        <v>6880</v>
      </c>
      <c r="D9" s="15">
        <f>'FM Recycling and Solid Waste'!E9+'Dining service Comp-Recyc'!B9</f>
        <v>0</v>
      </c>
      <c r="E9" s="15">
        <f>'FM Recycling and Solid Waste'!F9+'Dining service Comp-Recyc'!C9</f>
        <v>750</v>
      </c>
      <c r="F9" s="15">
        <f>'FM Recycling and Solid Waste'!I9+'Dining service Comp-Recyc'!D9</f>
        <v>500</v>
      </c>
      <c r="G9" s="15">
        <f>'FM Recycling and Solid Waste'!G9</f>
        <v>0</v>
      </c>
      <c r="H9" s="13">
        <f>'FM Recycling and Solid Waste'!H9</f>
        <v>0</v>
      </c>
      <c r="I9" s="13">
        <f>'Scrap Metal'!J9</f>
        <v>0</v>
      </c>
      <c r="J9" s="13">
        <f>Construction!H23</f>
        <v>0</v>
      </c>
      <c r="K9" s="13">
        <f>'Dining service Comp-Recyc'!L9+'Event composting'!K9+'Dining service Comp-Recyc'!L25</f>
        <v>8320</v>
      </c>
      <c r="L9" s="149">
        <f t="shared" si="2"/>
        <v>22862</v>
      </c>
      <c r="M9" s="150">
        <f t="shared" si="0"/>
        <v>11.431000000000001</v>
      </c>
      <c r="N9" s="146">
        <f>'Scrap Metal'!K9+'FM Recycling and Solid Waste'!N9</f>
        <v>0</v>
      </c>
      <c r="O9" s="151">
        <f t="shared" si="1"/>
        <v>0.34877192982456134</v>
      </c>
      <c r="P9" s="151">
        <f>+SUM($M$3:M9)/(+SUM($N$19:N25)+SUM($M$3:M9))</f>
        <v>0.66490690985801504</v>
      </c>
    </row>
    <row r="10" spans="1:16" x14ac:dyDescent="0.25">
      <c r="A10" s="148" t="s">
        <v>21</v>
      </c>
      <c r="B10" s="15">
        <f>'FM Recycling and Solid Waste'!C10</f>
        <v>9913</v>
      </c>
      <c r="C10" s="15">
        <f>'FM Recycling and Solid Waste'!D10</f>
        <v>7867</v>
      </c>
      <c r="D10" s="15">
        <f>'FM Recycling and Solid Waste'!E10+'Dining service Comp-Recyc'!B10</f>
        <v>0</v>
      </c>
      <c r="E10" s="15">
        <f>'FM Recycling and Solid Waste'!F10+'Dining service Comp-Recyc'!C10</f>
        <v>750</v>
      </c>
      <c r="F10" s="15">
        <f>'FM Recycling and Solid Waste'!I10+'Dining service Comp-Recyc'!D10</f>
        <v>500</v>
      </c>
      <c r="G10" s="15">
        <f>'FM Recycling and Solid Waste'!G10</f>
        <v>0</v>
      </c>
      <c r="H10" s="13">
        <f>'FM Recycling and Solid Waste'!H10</f>
        <v>0</v>
      </c>
      <c r="I10" s="13">
        <f>'Scrap Metal'!J10</f>
        <v>0</v>
      </c>
      <c r="J10" s="13">
        <f>Construction!H24</f>
        <v>129978</v>
      </c>
      <c r="K10" s="13">
        <f>'Dining service Comp-Recyc'!L10+'Event composting'!K10+'Dining service Comp-Recyc'!L26</f>
        <v>15826</v>
      </c>
      <c r="L10" s="149">
        <f>SUM(B10:K10)</f>
        <v>164834</v>
      </c>
      <c r="M10" s="150">
        <f t="shared" si="0"/>
        <v>82.417000000000002</v>
      </c>
      <c r="N10" s="146">
        <f>'Scrap Metal'!K10+'FM Recycling and Solid Waste'!N10</f>
        <v>0</v>
      </c>
      <c r="O10" s="151">
        <f t="shared" si="1"/>
        <v>0.72212632851723024</v>
      </c>
      <c r="P10" s="151">
        <f>+SUM($M$3:M10)/(+SUM($N$19:N26)+SUM($M$3:M10))</f>
        <v>0.67120392293558706</v>
      </c>
    </row>
    <row r="11" spans="1:16" x14ac:dyDescent="0.25">
      <c r="A11" s="148" t="s">
        <v>22</v>
      </c>
      <c r="B11" s="15">
        <f>'FM Recycling and Solid Waste'!C11</f>
        <v>13459</v>
      </c>
      <c r="C11" s="15">
        <f>'FM Recycling and Solid Waste'!D11</f>
        <v>9600</v>
      </c>
      <c r="D11" s="15">
        <f>'FM Recycling and Solid Waste'!E11+'Dining service Comp-Recyc'!B11</f>
        <v>0</v>
      </c>
      <c r="E11" s="15">
        <f>'FM Recycling and Solid Waste'!F11+'Dining service Comp-Recyc'!C11</f>
        <v>750</v>
      </c>
      <c r="F11" s="15">
        <f>'FM Recycling and Solid Waste'!I11+'Dining service Comp-Recyc'!D11</f>
        <v>500</v>
      </c>
      <c r="G11" s="15">
        <f>'FM Recycling and Solid Waste'!G11</f>
        <v>0</v>
      </c>
      <c r="H11" s="13">
        <f>'FM Recycling and Solid Waste'!H11</f>
        <v>8000</v>
      </c>
      <c r="I11" s="13">
        <f>'Scrap Metal'!J11</f>
        <v>0</v>
      </c>
      <c r="J11" s="13">
        <f>Construction!H25</f>
        <v>0</v>
      </c>
      <c r="K11" s="13">
        <f>'Dining service Comp-Recyc'!L11+'Event composting'!K11+'Dining service Comp-Recyc'!L27</f>
        <v>15822</v>
      </c>
      <c r="L11" s="149">
        <f>SUM(B11:K11)</f>
        <v>48131</v>
      </c>
      <c r="M11" s="150">
        <f t="shared" si="0"/>
        <v>24.0655</v>
      </c>
      <c r="N11" s="146">
        <f>'Scrap Metal'!K11+'FM Recycling and Solid Waste'!N11</f>
        <v>0</v>
      </c>
      <c r="O11" s="151">
        <f t="shared" si="1"/>
        <v>0.52729543487549158</v>
      </c>
      <c r="P11" s="151">
        <f>+SUM($M$3:M11)/(+SUM($N$19:N27)+SUM($M$3:M11))</f>
        <v>0.66513780109354215</v>
      </c>
    </row>
    <row r="12" spans="1:16" x14ac:dyDescent="0.25">
      <c r="A12" s="148" t="s">
        <v>23</v>
      </c>
      <c r="B12" s="15">
        <f>'FM Recycling and Solid Waste'!C12</f>
        <v>5360</v>
      </c>
      <c r="C12" s="15">
        <f>'FM Recycling and Solid Waste'!D12</f>
        <v>6899</v>
      </c>
      <c r="D12" s="15">
        <f>'FM Recycling and Solid Waste'!E12+'Dining service Comp-Recyc'!B12</f>
        <v>0</v>
      </c>
      <c r="E12" s="15">
        <f>'FM Recycling and Solid Waste'!F12+'Dining service Comp-Recyc'!C12</f>
        <v>750</v>
      </c>
      <c r="F12" s="15">
        <f>'FM Recycling and Solid Waste'!I12+'Dining service Comp-Recyc'!D12</f>
        <v>500</v>
      </c>
      <c r="G12" s="15">
        <f>'FM Recycling and Solid Waste'!G12</f>
        <v>0</v>
      </c>
      <c r="H12" s="13">
        <f>'FM Recycling and Solid Waste'!H12</f>
        <v>0</v>
      </c>
      <c r="I12" s="13">
        <f>'Scrap Metal'!J12</f>
        <v>0</v>
      </c>
      <c r="J12" s="13">
        <f>Construction!H26</f>
        <v>0</v>
      </c>
      <c r="K12" s="13">
        <f>'Dining service Comp-Recyc'!L12+'Event composting'!K12+'Dining service Comp-Recyc'!L28</f>
        <v>3568</v>
      </c>
      <c r="L12" s="149">
        <f>SUM(B12:K12)</f>
        <v>17077</v>
      </c>
      <c r="M12" s="150">
        <f t="shared" si="0"/>
        <v>8.5385000000000009</v>
      </c>
      <c r="N12" s="146">
        <f>'Scrap Metal'!K12+'FM Recycling and Solid Waste'!N12</f>
        <v>0</v>
      </c>
      <c r="O12" s="151">
        <f t="shared" si="1"/>
        <v>9.2066743941558615E-2</v>
      </c>
      <c r="P12" s="151">
        <f>+SUM($M$3:M12)/(+SUM($N$19:N28)+SUM($M$3:M12))</f>
        <v>0.61992322171060332</v>
      </c>
    </row>
    <row r="13" spans="1:16" x14ac:dyDescent="0.25">
      <c r="A13" s="148" t="s">
        <v>0</v>
      </c>
      <c r="B13" s="15">
        <f>'FM Recycling and Solid Waste'!C13</f>
        <v>10717</v>
      </c>
      <c r="C13" s="15">
        <f>'FM Recycling and Solid Waste'!D13</f>
        <v>7961</v>
      </c>
      <c r="D13" s="15">
        <f>'FM Recycling and Solid Waste'!E13+'Dining service Comp-Recyc'!B13</f>
        <v>6080</v>
      </c>
      <c r="E13" s="15">
        <f>'FM Recycling and Solid Waste'!F13+'Dining service Comp-Recyc'!C13</f>
        <v>750</v>
      </c>
      <c r="F13" s="15">
        <f>'FM Recycling and Solid Waste'!I13+'Dining service Comp-Recyc'!D13</f>
        <v>500</v>
      </c>
      <c r="G13" s="15">
        <f>'FM Recycling and Solid Waste'!G13</f>
        <v>0</v>
      </c>
      <c r="H13" s="13">
        <f>'FM Recycling and Solid Waste'!H13</f>
        <v>8000</v>
      </c>
      <c r="I13" s="13">
        <f>'Scrap Metal'!J13</f>
        <v>0</v>
      </c>
      <c r="J13" s="13">
        <f>Construction!H27</f>
        <v>0</v>
      </c>
      <c r="K13" s="13">
        <f>'Dining service Comp-Recyc'!L13+'Event composting'!K13+'Dining service Comp-Recyc'!L29</f>
        <v>2729</v>
      </c>
      <c r="L13" s="149">
        <f>SUM(B13:K13)</f>
        <v>36737</v>
      </c>
      <c r="M13" s="150">
        <f t="shared" si="0"/>
        <v>18.368500000000001</v>
      </c>
      <c r="N13" s="146">
        <f>'Scrap Metal'!K13+'FM Recycling and Solid Waste'!N13</f>
        <v>0</v>
      </c>
      <c r="O13" s="151">
        <f t="shared" si="1"/>
        <v>0.46068092043388298</v>
      </c>
      <c r="P13" s="151">
        <f>+SUM($M$3:M13)/(+SUM($N$19:N29)+SUM($M$3:M13))</f>
        <v>0.61469882789518937</v>
      </c>
    </row>
    <row r="14" spans="1:16" ht="15.75" thickBot="1" x14ac:dyDescent="0.3">
      <c r="A14" s="152" t="s">
        <v>24</v>
      </c>
      <c r="B14" s="15">
        <f>'FM Recycling and Solid Waste'!C14</f>
        <v>12403</v>
      </c>
      <c r="C14" s="15">
        <f>'FM Recycling and Solid Waste'!D14</f>
        <v>10243</v>
      </c>
      <c r="D14" s="15">
        <f>'FM Recycling and Solid Waste'!E14+'Dining service Comp-Recyc'!B14</f>
        <v>0</v>
      </c>
      <c r="E14" s="15">
        <f>'FM Recycling and Solid Waste'!F14+'Dining service Comp-Recyc'!C14</f>
        <v>750</v>
      </c>
      <c r="F14" s="15">
        <f>'FM Recycling and Solid Waste'!I14+'Dining service Comp-Recyc'!D14</f>
        <v>500</v>
      </c>
      <c r="G14" s="15">
        <f>'FM Recycling and Solid Waste'!G14</f>
        <v>0</v>
      </c>
      <c r="H14" s="13">
        <f>'FM Recycling and Solid Waste'!H14</f>
        <v>8000</v>
      </c>
      <c r="I14" s="13">
        <f>'Scrap Metal'!J14</f>
        <v>0</v>
      </c>
      <c r="J14" s="13">
        <f>Construction!H28</f>
        <v>0</v>
      </c>
      <c r="K14" s="13">
        <f>'Dining service Comp-Recyc'!L14+'Event composting'!K14+'Dining service Comp-Recyc'!L30</f>
        <v>4586</v>
      </c>
      <c r="L14" s="149">
        <f>SUM(B14:K14)</f>
        <v>36482</v>
      </c>
      <c r="M14" s="150">
        <f t="shared" si="0"/>
        <v>18.241</v>
      </c>
      <c r="N14" s="146">
        <f>'Scrap Metal'!K14+'FM Recycling and Solid Waste'!N14</f>
        <v>0</v>
      </c>
      <c r="O14" s="153">
        <f t="shared" si="1"/>
        <v>0.47067475164494899</v>
      </c>
      <c r="P14" s="153">
        <f>+SUM($M$3:M14)/(+SUM($N$19:N30)+SUM($M$3:M14))</f>
        <v>0.61024806832045553</v>
      </c>
    </row>
    <row r="15" spans="1:16" ht="15.75" thickBot="1" x14ac:dyDescent="0.3">
      <c r="A15" s="18" t="s">
        <v>36</v>
      </c>
      <c r="B15" s="63">
        <f>SUM(B3:B14)</f>
        <v>107676</v>
      </c>
      <c r="C15" s="63">
        <f t="shared" ref="C15:M15" si="3">SUM(C3:C14)</f>
        <v>98646</v>
      </c>
      <c r="D15" s="63">
        <f t="shared" si="3"/>
        <v>23321</v>
      </c>
      <c r="E15" s="63">
        <f t="shared" si="3"/>
        <v>9000</v>
      </c>
      <c r="F15" s="63">
        <f t="shared" si="3"/>
        <v>6872</v>
      </c>
      <c r="G15" s="63">
        <f>SUM(G3:G14)</f>
        <v>0</v>
      </c>
      <c r="H15" s="63">
        <f>SUM(H3:H14)</f>
        <v>39000</v>
      </c>
      <c r="I15" s="63">
        <f t="shared" si="3"/>
        <v>0</v>
      </c>
      <c r="J15" s="63">
        <f>SUM(J3:J14)</f>
        <v>1166068</v>
      </c>
      <c r="K15" s="63">
        <f t="shared" si="3"/>
        <v>80029</v>
      </c>
      <c r="L15" s="63">
        <f>SUM(L3:L14)</f>
        <v>1530612</v>
      </c>
      <c r="M15" s="154">
        <f t="shared" si="3"/>
        <v>765.30600000000015</v>
      </c>
      <c r="N15" s="155">
        <f>SUM(N3:N14)</f>
        <v>0</v>
      </c>
    </row>
    <row r="16" spans="1:16" ht="15.75" thickBot="1" x14ac:dyDescent="0.3">
      <c r="A16" s="359" t="s">
        <v>115</v>
      </c>
      <c r="B16" s="359"/>
      <c r="C16" s="359"/>
    </row>
    <row r="17" spans="1:14" x14ac:dyDescent="0.25">
      <c r="A17" s="360" t="s">
        <v>65</v>
      </c>
      <c r="B17" s="324" t="s">
        <v>25</v>
      </c>
      <c r="C17" s="157" t="s">
        <v>26</v>
      </c>
      <c r="D17" s="156" t="s">
        <v>27</v>
      </c>
      <c r="E17" s="157" t="s">
        <v>28</v>
      </c>
      <c r="F17" s="156" t="s">
        <v>29</v>
      </c>
      <c r="G17" s="157" t="s">
        <v>30</v>
      </c>
      <c r="H17" s="156" t="s">
        <v>105</v>
      </c>
      <c r="I17" s="157" t="s">
        <v>31</v>
      </c>
      <c r="J17" s="158" t="s">
        <v>82</v>
      </c>
      <c r="K17" s="159"/>
      <c r="L17" s="26"/>
      <c r="M17" s="157" t="s">
        <v>32</v>
      </c>
      <c r="N17" s="158"/>
    </row>
    <row r="18" spans="1:14" ht="15.75" thickBot="1" x14ac:dyDescent="0.3">
      <c r="A18" s="361"/>
      <c r="B18" s="325" t="s">
        <v>33</v>
      </c>
      <c r="C18" s="160" t="s">
        <v>33</v>
      </c>
      <c r="D18" s="161" t="s">
        <v>33</v>
      </c>
      <c r="E18" s="160" t="s">
        <v>33</v>
      </c>
      <c r="F18" s="161" t="s">
        <v>33</v>
      </c>
      <c r="G18" s="160" t="s">
        <v>34</v>
      </c>
      <c r="H18" s="161" t="s">
        <v>33</v>
      </c>
      <c r="I18" s="160" t="s">
        <v>33</v>
      </c>
      <c r="J18" s="162" t="s">
        <v>33</v>
      </c>
      <c r="K18" s="159"/>
      <c r="L18" s="26"/>
      <c r="M18" s="160" t="s">
        <v>35</v>
      </c>
      <c r="N18" s="163" t="s">
        <v>36</v>
      </c>
    </row>
    <row r="19" spans="1:14" x14ac:dyDescent="0.25">
      <c r="A19" s="164" t="s">
        <v>14</v>
      </c>
      <c r="B19" s="323">
        <v>4.72</v>
      </c>
      <c r="C19" s="320">
        <v>0</v>
      </c>
      <c r="D19" s="320">
        <v>0</v>
      </c>
      <c r="E19" s="320">
        <v>0</v>
      </c>
      <c r="F19" s="320">
        <v>0</v>
      </c>
      <c r="G19" s="320">
        <v>4.2</v>
      </c>
      <c r="H19" s="320">
        <v>0</v>
      </c>
      <c r="I19" s="320">
        <v>0</v>
      </c>
      <c r="J19" s="166">
        <v>0</v>
      </c>
      <c r="K19" s="167"/>
      <c r="L19" s="26"/>
      <c r="M19" s="165">
        <v>18.404000000000003</v>
      </c>
      <c r="N19" s="168">
        <f>SUM(B19:M19)</f>
        <v>27.324000000000005</v>
      </c>
    </row>
    <row r="20" spans="1:14" x14ac:dyDescent="0.25">
      <c r="A20" s="169" t="s">
        <v>15</v>
      </c>
      <c r="B20" s="321">
        <v>0</v>
      </c>
      <c r="C20" s="319">
        <v>6.31</v>
      </c>
      <c r="D20" s="319">
        <v>4.5999999999999996</v>
      </c>
      <c r="E20" s="319">
        <v>3.09</v>
      </c>
      <c r="F20" s="319">
        <v>6.19</v>
      </c>
      <c r="G20" s="319">
        <v>2.86</v>
      </c>
      <c r="H20" s="319">
        <v>4.46</v>
      </c>
      <c r="I20" s="319">
        <v>4.25</v>
      </c>
      <c r="J20" s="171">
        <v>0</v>
      </c>
      <c r="K20" s="167"/>
      <c r="L20" s="26"/>
      <c r="M20" s="170">
        <v>18.404000000000003</v>
      </c>
      <c r="N20" s="168">
        <f t="shared" ref="N20:N30" si="4">SUM(B20:M20)</f>
        <v>50.164000000000001</v>
      </c>
    </row>
    <row r="21" spans="1:14" x14ac:dyDescent="0.25">
      <c r="A21" s="169" t="s">
        <v>16</v>
      </c>
      <c r="B21" s="338">
        <v>6.49</v>
      </c>
      <c r="C21" s="338">
        <v>0</v>
      </c>
      <c r="D21" s="338">
        <v>0</v>
      </c>
      <c r="E21" s="338">
        <v>0</v>
      </c>
      <c r="F21" s="338">
        <v>0</v>
      </c>
      <c r="G21" s="338">
        <v>5.74</v>
      </c>
      <c r="H21" s="338">
        <v>0</v>
      </c>
      <c r="I21" s="338">
        <v>0</v>
      </c>
      <c r="J21" s="171">
        <v>0</v>
      </c>
      <c r="K21" s="167"/>
      <c r="L21" s="26"/>
      <c r="M21" s="170">
        <v>18.404000000000003</v>
      </c>
      <c r="N21" s="168">
        <f t="shared" si="4"/>
        <v>30.634000000000004</v>
      </c>
    </row>
    <row r="22" spans="1:14" x14ac:dyDescent="0.25">
      <c r="A22" s="169" t="s">
        <v>17</v>
      </c>
      <c r="B22" s="338">
        <v>0</v>
      </c>
      <c r="C22" s="338">
        <v>0</v>
      </c>
      <c r="D22" s="338">
        <v>0</v>
      </c>
      <c r="E22" s="338">
        <v>0</v>
      </c>
      <c r="F22" s="338">
        <v>0</v>
      </c>
      <c r="G22" s="338">
        <v>0</v>
      </c>
      <c r="H22" s="6">
        <v>0</v>
      </c>
      <c r="I22" s="6">
        <v>0</v>
      </c>
      <c r="J22" s="171">
        <v>0</v>
      </c>
      <c r="K22" s="167"/>
      <c r="L22" s="26"/>
      <c r="M22" s="170">
        <v>18.399999999999999</v>
      </c>
      <c r="N22" s="168">
        <f t="shared" si="4"/>
        <v>18.399999999999999</v>
      </c>
    </row>
    <row r="23" spans="1:14" x14ac:dyDescent="0.25">
      <c r="A23" s="169" t="s">
        <v>18</v>
      </c>
      <c r="B23" s="322">
        <v>0</v>
      </c>
      <c r="C23" s="150">
        <v>0</v>
      </c>
      <c r="D23" s="150">
        <v>0</v>
      </c>
      <c r="E23" s="150">
        <v>7.67</v>
      </c>
      <c r="F23" s="150">
        <v>0</v>
      </c>
      <c r="G23" s="150">
        <v>0</v>
      </c>
      <c r="H23" s="183">
        <v>5.27</v>
      </c>
      <c r="I23" s="183">
        <v>0</v>
      </c>
      <c r="J23" s="171">
        <v>67.510000000000005</v>
      </c>
      <c r="K23" s="167"/>
      <c r="L23" s="172"/>
      <c r="M23" s="170">
        <v>18.404000000000003</v>
      </c>
      <c r="N23" s="168">
        <f t="shared" si="4"/>
        <v>98.854000000000013</v>
      </c>
    </row>
    <row r="24" spans="1:14" x14ac:dyDescent="0.25">
      <c r="A24" s="169" t="s">
        <v>19</v>
      </c>
      <c r="B24" s="338">
        <v>7.51</v>
      </c>
      <c r="C24" s="338">
        <v>5.79</v>
      </c>
      <c r="D24" s="338">
        <v>5.96</v>
      </c>
      <c r="E24" s="338">
        <v>0</v>
      </c>
      <c r="F24" s="338">
        <v>13.5</v>
      </c>
      <c r="G24" s="338">
        <v>3.03</v>
      </c>
      <c r="H24" s="6">
        <v>0</v>
      </c>
      <c r="I24" s="6">
        <v>8.36</v>
      </c>
      <c r="J24" s="171">
        <v>0</v>
      </c>
      <c r="K24" s="167"/>
      <c r="L24" s="172"/>
      <c r="M24" s="170">
        <v>18.404000000000003</v>
      </c>
      <c r="N24" s="168">
        <f t="shared" si="4"/>
        <v>62.554000000000009</v>
      </c>
    </row>
    <row r="25" spans="1:14" x14ac:dyDescent="0.25">
      <c r="A25" s="169" t="s">
        <v>20</v>
      </c>
      <c r="B25" s="322">
        <v>2.94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71">
        <v>0</v>
      </c>
      <c r="K25" s="167"/>
      <c r="L25" s="172"/>
      <c r="M25" s="170">
        <v>18.404000000000003</v>
      </c>
      <c r="N25" s="168">
        <f t="shared" si="4"/>
        <v>21.344000000000005</v>
      </c>
    </row>
    <row r="26" spans="1:14" x14ac:dyDescent="0.25">
      <c r="A26" s="169" t="s">
        <v>21</v>
      </c>
      <c r="B26" s="322">
        <v>0</v>
      </c>
      <c r="C26" s="150">
        <v>0</v>
      </c>
      <c r="D26" s="150">
        <v>0</v>
      </c>
      <c r="E26" s="150">
        <v>6.64</v>
      </c>
      <c r="F26" s="150">
        <v>3.62</v>
      </c>
      <c r="G26" s="150">
        <v>3.05</v>
      </c>
      <c r="H26" s="150">
        <v>0</v>
      </c>
      <c r="I26" s="150">
        <v>0</v>
      </c>
      <c r="J26" s="171">
        <v>0</v>
      </c>
      <c r="K26" s="167"/>
      <c r="L26" s="172"/>
      <c r="M26" s="170">
        <v>18.404000000000003</v>
      </c>
      <c r="N26" s="168">
        <f t="shared" si="4"/>
        <v>31.714000000000002</v>
      </c>
    </row>
    <row r="27" spans="1:14" x14ac:dyDescent="0.25">
      <c r="A27" s="169" t="s">
        <v>22</v>
      </c>
      <c r="B27" s="322">
        <v>0</v>
      </c>
      <c r="C27" s="150">
        <v>0</v>
      </c>
      <c r="D27" s="150">
        <v>0</v>
      </c>
      <c r="E27" s="150">
        <v>0</v>
      </c>
      <c r="F27" s="150">
        <v>0</v>
      </c>
      <c r="G27" s="150">
        <v>3.17</v>
      </c>
      <c r="H27" s="150">
        <v>0</v>
      </c>
      <c r="I27" s="150">
        <v>0</v>
      </c>
      <c r="J27" s="171">
        <v>0</v>
      </c>
      <c r="K27" s="167"/>
      <c r="L27" s="26"/>
      <c r="M27" s="170">
        <v>18.404000000000003</v>
      </c>
      <c r="N27" s="168">
        <f t="shared" si="4"/>
        <v>21.574000000000005</v>
      </c>
    </row>
    <row r="28" spans="1:14" x14ac:dyDescent="0.25">
      <c r="A28" s="169" t="s">
        <v>23</v>
      </c>
      <c r="B28" s="322">
        <v>12.56</v>
      </c>
      <c r="C28" s="150">
        <v>6.14</v>
      </c>
      <c r="D28" s="150">
        <v>6.27</v>
      </c>
      <c r="E28" s="150">
        <v>7.12</v>
      </c>
      <c r="F28" s="150">
        <v>9.83</v>
      </c>
      <c r="G28" s="150">
        <v>0</v>
      </c>
      <c r="H28" s="150">
        <v>13.98</v>
      </c>
      <c r="I28" s="150">
        <v>9.9</v>
      </c>
      <c r="J28" s="171">
        <v>0</v>
      </c>
      <c r="K28" s="167"/>
      <c r="L28" s="167"/>
      <c r="M28" s="170">
        <v>18.404000000000003</v>
      </c>
      <c r="N28" s="168">
        <f t="shared" si="4"/>
        <v>84.204000000000008</v>
      </c>
    </row>
    <row r="29" spans="1:14" x14ac:dyDescent="0.25">
      <c r="A29" s="169" t="s">
        <v>0</v>
      </c>
      <c r="B29" s="322">
        <v>0</v>
      </c>
      <c r="C29" s="150">
        <v>0</v>
      </c>
      <c r="D29" s="150">
        <v>0</v>
      </c>
      <c r="E29" s="150">
        <v>0</v>
      </c>
      <c r="F29" s="150">
        <v>0</v>
      </c>
      <c r="G29" s="150">
        <v>3.1</v>
      </c>
      <c r="H29" s="150">
        <v>0</v>
      </c>
      <c r="I29" s="150">
        <v>0</v>
      </c>
      <c r="J29" s="171">
        <v>0</v>
      </c>
      <c r="K29" s="167"/>
      <c r="L29" s="167"/>
      <c r="M29" s="170">
        <v>18.404000000000003</v>
      </c>
      <c r="N29" s="168">
        <f t="shared" si="4"/>
        <v>21.504000000000005</v>
      </c>
    </row>
    <row r="30" spans="1:14" ht="15.75" thickBot="1" x14ac:dyDescent="0.3">
      <c r="A30" s="173" t="s">
        <v>24</v>
      </c>
      <c r="B30" s="174">
        <v>0</v>
      </c>
      <c r="C30" s="175">
        <v>0</v>
      </c>
      <c r="D30" s="174">
        <v>0</v>
      </c>
      <c r="E30" s="175">
        <v>0</v>
      </c>
      <c r="F30" s="174">
        <v>0</v>
      </c>
      <c r="G30" s="175">
        <v>2.11</v>
      </c>
      <c r="H30" s="174">
        <v>0</v>
      </c>
      <c r="I30" s="175">
        <v>0</v>
      </c>
      <c r="J30" s="176">
        <v>0</v>
      </c>
      <c r="K30" s="167"/>
      <c r="L30" s="167"/>
      <c r="M30" s="175">
        <v>18.404000000000003</v>
      </c>
      <c r="N30" s="168">
        <f t="shared" si="4"/>
        <v>20.514000000000003</v>
      </c>
    </row>
    <row r="31" spans="1:14" x14ac:dyDescent="0.25">
      <c r="A31" s="44"/>
      <c r="N31" s="365">
        <f>SUM(N19:N30)</f>
        <v>488.78400000000005</v>
      </c>
    </row>
    <row r="32" spans="1:14" x14ac:dyDescent="0.25">
      <c r="A32" s="44" t="s">
        <v>37</v>
      </c>
      <c r="C32" s="28" t="s">
        <v>84</v>
      </c>
    </row>
    <row r="33" spans="1:4" ht="15.75" thickBot="1" x14ac:dyDescent="0.3">
      <c r="A33" s="177" t="s">
        <v>38</v>
      </c>
      <c r="B33" s="177"/>
      <c r="C33" s="177"/>
      <c r="D33" s="177"/>
    </row>
    <row r="34" spans="1:4" x14ac:dyDescent="0.25">
      <c r="A34" s="178" t="s">
        <v>39</v>
      </c>
      <c r="B34" s="179" t="s">
        <v>40</v>
      </c>
      <c r="C34" s="179" t="s">
        <v>41</v>
      </c>
      <c r="D34" s="180" t="s">
        <v>42</v>
      </c>
    </row>
    <row r="35" spans="1:4" x14ac:dyDescent="0.25">
      <c r="A35" s="21"/>
      <c r="B35" s="11"/>
      <c r="C35" s="11"/>
      <c r="D35" s="181" t="s">
        <v>43</v>
      </c>
    </row>
    <row r="36" spans="1:4" x14ac:dyDescent="0.25">
      <c r="A36" s="148" t="s">
        <v>44</v>
      </c>
      <c r="B36" s="11"/>
      <c r="C36" s="11"/>
      <c r="D36" s="181"/>
    </row>
    <row r="37" spans="1:4" x14ac:dyDescent="0.25">
      <c r="A37" s="21" t="s">
        <v>45</v>
      </c>
      <c r="B37" s="11">
        <v>1</v>
      </c>
      <c r="C37" s="150">
        <v>6</v>
      </c>
      <c r="D37" s="182">
        <f t="shared" ref="D37:D46" si="5">C37*0.8</f>
        <v>4.8000000000000007</v>
      </c>
    </row>
    <row r="38" spans="1:4" x14ac:dyDescent="0.25">
      <c r="A38" s="21" t="s">
        <v>46</v>
      </c>
      <c r="B38" s="11">
        <v>2</v>
      </c>
      <c r="C38" s="150">
        <v>12</v>
      </c>
      <c r="D38" s="182">
        <f t="shared" si="5"/>
        <v>9.6000000000000014</v>
      </c>
    </row>
    <row r="39" spans="1:4" x14ac:dyDescent="0.25">
      <c r="A39" s="21" t="s">
        <v>47</v>
      </c>
      <c r="B39" s="11">
        <v>1</v>
      </c>
      <c r="C39" s="150">
        <v>4</v>
      </c>
      <c r="D39" s="182">
        <f t="shared" si="5"/>
        <v>3.2</v>
      </c>
    </row>
    <row r="40" spans="1:4" x14ac:dyDescent="0.25">
      <c r="A40" s="21" t="s">
        <v>48</v>
      </c>
      <c r="B40" s="11">
        <v>2</v>
      </c>
      <c r="C40" s="150">
        <v>6</v>
      </c>
      <c r="D40" s="182">
        <f t="shared" si="5"/>
        <v>4.8000000000000007</v>
      </c>
    </row>
    <row r="41" spans="1:4" x14ac:dyDescent="0.25">
      <c r="A41" s="21" t="s">
        <v>49</v>
      </c>
      <c r="B41" s="11">
        <v>1</v>
      </c>
      <c r="C41" s="150">
        <v>3</v>
      </c>
      <c r="D41" s="182">
        <f t="shared" si="5"/>
        <v>2.4000000000000004</v>
      </c>
    </row>
    <row r="42" spans="1:4" x14ac:dyDescent="0.25">
      <c r="A42" s="21" t="s">
        <v>50</v>
      </c>
      <c r="B42" s="11">
        <v>1</v>
      </c>
      <c r="C42" s="150">
        <v>6</v>
      </c>
      <c r="D42" s="182">
        <f t="shared" si="5"/>
        <v>4.8000000000000007</v>
      </c>
    </row>
    <row r="43" spans="1:4" x14ac:dyDescent="0.25">
      <c r="A43" s="21" t="s">
        <v>51</v>
      </c>
      <c r="B43" s="11">
        <v>1</v>
      </c>
      <c r="C43" s="150">
        <v>4</v>
      </c>
      <c r="D43" s="182">
        <f t="shared" si="5"/>
        <v>3.2</v>
      </c>
    </row>
    <row r="44" spans="1:4" x14ac:dyDescent="0.25">
      <c r="A44" s="21" t="s">
        <v>52</v>
      </c>
      <c r="B44" s="11">
        <v>0</v>
      </c>
      <c r="C44" s="150">
        <v>0</v>
      </c>
      <c r="D44" s="182">
        <f t="shared" si="5"/>
        <v>0</v>
      </c>
    </row>
    <row r="45" spans="1:4" x14ac:dyDescent="0.25">
      <c r="A45" s="21" t="s">
        <v>53</v>
      </c>
      <c r="B45" s="11">
        <v>1</v>
      </c>
      <c r="C45" s="150">
        <v>6</v>
      </c>
      <c r="D45" s="182">
        <f t="shared" si="5"/>
        <v>4.8000000000000007</v>
      </c>
    </row>
    <row r="46" spans="1:4" x14ac:dyDescent="0.25">
      <c r="A46" s="21" t="s">
        <v>54</v>
      </c>
      <c r="B46" s="11">
        <v>2</v>
      </c>
      <c r="C46" s="150">
        <v>12</v>
      </c>
      <c r="D46" s="182">
        <f t="shared" si="5"/>
        <v>9.6000000000000014</v>
      </c>
    </row>
    <row r="47" spans="1:4" x14ac:dyDescent="0.25">
      <c r="A47" s="21"/>
      <c r="B47" s="11"/>
      <c r="C47" s="150"/>
      <c r="D47" s="182"/>
    </row>
    <row r="48" spans="1:4" x14ac:dyDescent="0.25">
      <c r="A48" s="148" t="s">
        <v>55</v>
      </c>
      <c r="B48" s="11"/>
      <c r="C48" s="150"/>
      <c r="D48" s="182"/>
    </row>
    <row r="49" spans="1:4" x14ac:dyDescent="0.25">
      <c r="A49" s="21" t="s">
        <v>56</v>
      </c>
      <c r="B49" s="11">
        <v>6</v>
      </c>
      <c r="C49" s="183">
        <v>48</v>
      </c>
      <c r="D49" s="182">
        <f>C49*0.8</f>
        <v>38.400000000000006</v>
      </c>
    </row>
    <row r="50" spans="1:4" x14ac:dyDescent="0.25">
      <c r="A50" s="21" t="s">
        <v>57</v>
      </c>
      <c r="B50" s="11">
        <v>0</v>
      </c>
      <c r="C50" s="183">
        <v>0</v>
      </c>
      <c r="D50" s="182">
        <f>C50*0.8</f>
        <v>0</v>
      </c>
    </row>
    <row r="51" spans="1:4" x14ac:dyDescent="0.25">
      <c r="A51" s="21" t="s">
        <v>58</v>
      </c>
      <c r="B51" s="11">
        <v>1</v>
      </c>
      <c r="C51" s="11"/>
      <c r="D51" s="184"/>
    </row>
    <row r="52" spans="1:4" x14ac:dyDescent="0.25">
      <c r="A52" s="21" t="s">
        <v>59</v>
      </c>
      <c r="B52" s="11">
        <v>1</v>
      </c>
      <c r="C52" s="11"/>
      <c r="D52" s="184"/>
    </row>
    <row r="53" spans="1:4" x14ac:dyDescent="0.25">
      <c r="A53" s="21"/>
      <c r="B53" s="11"/>
      <c r="C53" s="11"/>
      <c r="D53" s="182"/>
    </row>
    <row r="54" spans="1:4" x14ac:dyDescent="0.25">
      <c r="A54" s="21"/>
      <c r="B54" s="11" t="s">
        <v>60</v>
      </c>
      <c r="C54" s="11"/>
      <c r="D54" s="182">
        <f>D37+D38+D39+D40+D41+D42+D43+D45+D46+D49+D50</f>
        <v>85.600000000000023</v>
      </c>
    </row>
    <row r="55" spans="1:4" x14ac:dyDescent="0.25">
      <c r="A55" s="21"/>
      <c r="B55" s="11" t="s">
        <v>61</v>
      </c>
      <c r="C55" s="11"/>
      <c r="D55" s="184"/>
    </row>
    <row r="56" spans="1:4" x14ac:dyDescent="0.25">
      <c r="A56" s="21"/>
      <c r="B56" s="11" t="s">
        <v>62</v>
      </c>
      <c r="C56" s="11"/>
      <c r="D56" s="184">
        <f>D54*100</f>
        <v>8560.0000000000018</v>
      </c>
    </row>
    <row r="57" spans="1:4" x14ac:dyDescent="0.25">
      <c r="A57" s="21"/>
      <c r="B57" s="11" t="s">
        <v>63</v>
      </c>
      <c r="C57" s="11"/>
      <c r="D57" s="184">
        <f>D56*4.3</f>
        <v>36808.000000000007</v>
      </c>
    </row>
    <row r="58" spans="1:4" ht="15.75" thickBot="1" x14ac:dyDescent="0.3">
      <c r="A58" s="185"/>
      <c r="B58" s="186" t="s">
        <v>64</v>
      </c>
      <c r="C58" s="186"/>
      <c r="D58" s="187">
        <f>D57/2000</f>
        <v>18.404000000000003</v>
      </c>
    </row>
  </sheetData>
  <mergeCells count="3">
    <mergeCell ref="A1:D1"/>
    <mergeCell ref="A17:A18"/>
    <mergeCell ref="A16:C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workbookViewId="0">
      <selection activeCell="J14" sqref="J14"/>
    </sheetView>
  </sheetViews>
  <sheetFormatPr defaultRowHeight="15" x14ac:dyDescent="0.25"/>
  <cols>
    <col min="1" max="1" width="9.140625" customWidth="1"/>
    <col min="2" max="2" width="12.42578125" style="4" customWidth="1"/>
    <col min="3" max="3" width="10.85546875" customWidth="1"/>
    <col min="4" max="4" width="12.140625" customWidth="1"/>
    <col min="8" max="8" width="11.42578125" customWidth="1"/>
    <col min="9" max="9" width="13.140625" customWidth="1"/>
    <col min="11" max="11" width="10.5703125" customWidth="1"/>
    <col min="12" max="12" width="17.7109375" customWidth="1"/>
    <col min="13" max="13" width="17.42578125" customWidth="1"/>
    <col min="14" max="14" width="11.7109375" style="286" customWidth="1"/>
    <col min="15" max="15" width="12.140625" customWidth="1"/>
  </cols>
  <sheetData>
    <row r="1" spans="1:16" ht="15.75" thickBot="1" x14ac:dyDescent="0.3">
      <c r="A1" s="3" t="s">
        <v>122</v>
      </c>
      <c r="B1" s="5"/>
      <c r="C1" s="2"/>
      <c r="D1" s="2"/>
      <c r="E1" s="2"/>
      <c r="F1" s="2"/>
      <c r="G1" s="2"/>
      <c r="H1" s="2"/>
      <c r="I1" s="2"/>
      <c r="J1" s="2"/>
      <c r="K1" s="2"/>
      <c r="L1" s="3"/>
      <c r="M1" s="26"/>
      <c r="N1" s="278"/>
    </row>
    <row r="2" spans="1:16" ht="15.75" thickBot="1" x14ac:dyDescent="0.3">
      <c r="A2" s="2"/>
      <c r="B2" s="264"/>
      <c r="C2" s="1" t="s">
        <v>3</v>
      </c>
      <c r="D2" s="340" t="s">
        <v>4</v>
      </c>
      <c r="E2" s="1" t="s">
        <v>5</v>
      </c>
      <c r="F2" s="340" t="s">
        <v>6</v>
      </c>
      <c r="G2" s="1" t="s">
        <v>7</v>
      </c>
      <c r="H2" s="340" t="s">
        <v>8</v>
      </c>
      <c r="I2" s="1" t="s">
        <v>9</v>
      </c>
      <c r="J2" s="340" t="s">
        <v>10</v>
      </c>
      <c r="K2" s="33" t="s">
        <v>11</v>
      </c>
      <c r="L2" s="273" t="s">
        <v>110</v>
      </c>
      <c r="M2" s="33" t="s">
        <v>111</v>
      </c>
      <c r="N2" s="279" t="s">
        <v>101</v>
      </c>
      <c r="P2" s="7"/>
    </row>
    <row r="3" spans="1:16" x14ac:dyDescent="0.25">
      <c r="A3" s="2"/>
      <c r="B3" s="74" t="s">
        <v>85</v>
      </c>
      <c r="C3" s="341">
        <v>9129</v>
      </c>
      <c r="D3" s="342">
        <v>9434</v>
      </c>
      <c r="E3" s="353">
        <v>8300</v>
      </c>
      <c r="F3" s="342">
        <v>750</v>
      </c>
      <c r="G3" s="353">
        <v>0</v>
      </c>
      <c r="H3" s="342">
        <v>5000</v>
      </c>
      <c r="I3" s="353">
        <v>500</v>
      </c>
      <c r="J3" s="270">
        <f>SUM(C3:I3)</f>
        <v>33113</v>
      </c>
      <c r="K3" s="66">
        <f>J3*0.0005</f>
        <v>16.5565</v>
      </c>
      <c r="L3" s="274">
        <f>K3/(K3+C20)</f>
        <v>0.37730882738346183</v>
      </c>
      <c r="M3" s="277">
        <f>+L3</f>
        <v>0.37730882738346183</v>
      </c>
      <c r="N3" s="280"/>
      <c r="P3" s="10"/>
    </row>
    <row r="4" spans="1:16" x14ac:dyDescent="0.25">
      <c r="A4" s="2"/>
      <c r="B4" s="75" t="s">
        <v>86</v>
      </c>
      <c r="C4" s="266">
        <v>4011</v>
      </c>
      <c r="D4" s="268">
        <v>8710</v>
      </c>
      <c r="E4" s="266">
        <v>0</v>
      </c>
      <c r="F4" s="268">
        <v>750</v>
      </c>
      <c r="G4" s="266">
        <v>0</v>
      </c>
      <c r="H4" s="268">
        <v>0</v>
      </c>
      <c r="I4" s="266">
        <v>500</v>
      </c>
      <c r="J4" s="271">
        <f t="shared" ref="J4:J14" si="0">SUM(C4:I4)</f>
        <v>13971</v>
      </c>
      <c r="K4" s="67">
        <f t="shared" ref="K4:K14" si="1">J4*0.0005</f>
        <v>6.9855</v>
      </c>
      <c r="L4" s="275">
        <f t="shared" ref="L4:L14" si="2">K4/(K4+C21)</f>
        <v>0.12223204052528892</v>
      </c>
      <c r="M4" s="59">
        <f>+SUM($K$3:K4)/(+SUM($C$20:C21)+SUM($K$3:K4))</f>
        <v>0.23301989508066911</v>
      </c>
      <c r="N4" s="281"/>
      <c r="P4" s="25"/>
    </row>
    <row r="5" spans="1:16" x14ac:dyDescent="0.25">
      <c r="A5" s="2"/>
      <c r="B5" s="75" t="s">
        <v>87</v>
      </c>
      <c r="C5" s="266">
        <v>4010</v>
      </c>
      <c r="D5" s="268">
        <v>8363</v>
      </c>
      <c r="E5" s="266">
        <v>0</v>
      </c>
      <c r="F5" s="268">
        <v>750</v>
      </c>
      <c r="G5" s="266">
        <v>0</v>
      </c>
      <c r="H5" s="268">
        <v>0</v>
      </c>
      <c r="I5" s="266">
        <v>500</v>
      </c>
      <c r="J5" s="271">
        <f t="shared" si="0"/>
        <v>13623</v>
      </c>
      <c r="K5" s="66">
        <f t="shared" si="1"/>
        <v>6.8115000000000006</v>
      </c>
      <c r="L5" s="275">
        <f t="shared" si="2"/>
        <v>0.18190436768102977</v>
      </c>
      <c r="M5" s="59">
        <f>+SUM($K$3:K5)/(+SUM($C$20:C22)+SUM($K$3:K5))</f>
        <v>0.21919761979555952</v>
      </c>
      <c r="N5" s="281"/>
      <c r="P5" s="73"/>
    </row>
    <row r="6" spans="1:16" x14ac:dyDescent="0.25">
      <c r="A6" s="2"/>
      <c r="B6" s="75" t="s">
        <v>88</v>
      </c>
      <c r="C6" s="266">
        <v>10711</v>
      </c>
      <c r="D6" s="268">
        <v>10507</v>
      </c>
      <c r="E6" s="266">
        <v>0</v>
      </c>
      <c r="F6" s="268">
        <v>750</v>
      </c>
      <c r="G6" s="266">
        <v>0</v>
      </c>
      <c r="H6" s="268">
        <v>5000</v>
      </c>
      <c r="I6" s="266">
        <v>500</v>
      </c>
      <c r="J6" s="271">
        <f t="shared" si="0"/>
        <v>27468</v>
      </c>
      <c r="K6" s="67">
        <f t="shared" si="1"/>
        <v>13.734</v>
      </c>
      <c r="L6" s="275">
        <f t="shared" si="2"/>
        <v>0.42739777183045996</v>
      </c>
      <c r="M6" s="59">
        <f>+SUM($K$3:K6)/(+SUM($C$20:C23)+SUM($K$3:K6))</f>
        <v>0.25841175315559806</v>
      </c>
      <c r="N6" s="281"/>
      <c r="P6" s="73"/>
    </row>
    <row r="7" spans="1:16" x14ac:dyDescent="0.25">
      <c r="A7" s="2"/>
      <c r="B7" s="351" t="s">
        <v>89</v>
      </c>
      <c r="C7" s="344">
        <v>13834</v>
      </c>
      <c r="D7" s="345">
        <v>6091</v>
      </c>
      <c r="E7" s="344">
        <v>0</v>
      </c>
      <c r="F7" s="345">
        <v>750</v>
      </c>
      <c r="G7" s="344">
        <v>0</v>
      </c>
      <c r="H7" s="345">
        <v>5000</v>
      </c>
      <c r="I7" s="344">
        <v>500</v>
      </c>
      <c r="J7" s="352">
        <f t="shared" si="0"/>
        <v>26175</v>
      </c>
      <c r="K7" s="66">
        <f t="shared" si="1"/>
        <v>13.0875</v>
      </c>
      <c r="L7" s="275">
        <f t="shared" si="2"/>
        <v>0.1169137451258023</v>
      </c>
      <c r="M7" s="59">
        <f>+SUM($K$3:K7)/(+SUM($C$20:C24)+SUM($K$3:K7))</f>
        <v>0.20235284957405922</v>
      </c>
      <c r="N7" s="281"/>
      <c r="P7" s="73"/>
    </row>
    <row r="8" spans="1:16" x14ac:dyDescent="0.25">
      <c r="A8" s="2"/>
      <c r="B8" s="289" t="s">
        <v>90</v>
      </c>
      <c r="C8" s="266">
        <v>7717</v>
      </c>
      <c r="D8" s="268">
        <v>5602</v>
      </c>
      <c r="E8" s="266">
        <v>7140</v>
      </c>
      <c r="F8" s="268">
        <v>750</v>
      </c>
      <c r="G8" s="266">
        <v>0</v>
      </c>
      <c r="H8" s="268">
        <v>0</v>
      </c>
      <c r="I8" s="266">
        <v>500</v>
      </c>
      <c r="J8" s="354">
        <f>SUM(D8:I8)</f>
        <v>13992</v>
      </c>
      <c r="K8" s="349">
        <f t="shared" si="1"/>
        <v>6.9960000000000004</v>
      </c>
      <c r="L8" s="275">
        <f t="shared" si="2"/>
        <v>0.10058950395398993</v>
      </c>
      <c r="M8" s="59">
        <f>+SUM($K$3:K8)/(+SUM($C$20:C25)+SUM($K$3:K8))</f>
        <v>0.18225168346582374</v>
      </c>
      <c r="N8" s="281"/>
      <c r="P8" s="73"/>
    </row>
    <row r="9" spans="1:16" x14ac:dyDescent="0.25">
      <c r="A9" s="2"/>
      <c r="B9" s="289" t="s">
        <v>91</v>
      </c>
      <c r="C9" s="266">
        <v>6412</v>
      </c>
      <c r="D9" s="268">
        <v>6880</v>
      </c>
      <c r="E9" s="266">
        <v>0</v>
      </c>
      <c r="F9" s="268">
        <v>750</v>
      </c>
      <c r="G9" s="266">
        <v>0</v>
      </c>
      <c r="H9" s="268">
        <v>0</v>
      </c>
      <c r="I9" s="266">
        <v>500</v>
      </c>
      <c r="J9" s="354">
        <f t="shared" si="0"/>
        <v>14542</v>
      </c>
      <c r="K9" s="350">
        <f t="shared" si="1"/>
        <v>7.2709999999999999</v>
      </c>
      <c r="L9" s="275">
        <f t="shared" si="2"/>
        <v>0.25409750131050141</v>
      </c>
      <c r="M9" s="59">
        <f>+SUM($K$3:K9)/(+SUM($C$20:C26)+SUM($K$3:K9))</f>
        <v>0.18765168787232478</v>
      </c>
      <c r="N9" s="281"/>
      <c r="P9" s="73"/>
    </row>
    <row r="10" spans="1:16" x14ac:dyDescent="0.25">
      <c r="A10" s="2"/>
      <c r="B10" s="74" t="s">
        <v>92</v>
      </c>
      <c r="C10" s="344">
        <v>9913</v>
      </c>
      <c r="D10" s="347">
        <v>7867</v>
      </c>
      <c r="E10" s="344">
        <v>0</v>
      </c>
      <c r="F10" s="347">
        <v>750</v>
      </c>
      <c r="G10" s="344">
        <v>0</v>
      </c>
      <c r="H10" s="347">
        <v>0</v>
      </c>
      <c r="I10" s="344">
        <v>500</v>
      </c>
      <c r="J10" s="270">
        <f t="shared" si="0"/>
        <v>19030</v>
      </c>
      <c r="K10" s="67">
        <f t="shared" si="1"/>
        <v>9.5150000000000006</v>
      </c>
      <c r="L10" s="275">
        <f t="shared" si="2"/>
        <v>0.23078415678284706</v>
      </c>
      <c r="M10" s="59">
        <f>+SUM($K$3:K10)/(+SUM($C$20:C27)+SUM($K$3:K10))</f>
        <v>0.19186623849079859</v>
      </c>
      <c r="N10" s="281"/>
    </row>
    <row r="11" spans="1:16" x14ac:dyDescent="0.25">
      <c r="A11" s="2"/>
      <c r="B11" s="75" t="s">
        <v>93</v>
      </c>
      <c r="C11" s="347">
        <v>13459</v>
      </c>
      <c r="D11" s="347">
        <v>9600</v>
      </c>
      <c r="E11" s="347">
        <v>0</v>
      </c>
      <c r="F11" s="347">
        <v>750</v>
      </c>
      <c r="G11" s="347">
        <v>0</v>
      </c>
      <c r="H11" s="347">
        <v>8000</v>
      </c>
      <c r="I11" s="347">
        <v>500</v>
      </c>
      <c r="J11" s="271">
        <f t="shared" si="0"/>
        <v>32309</v>
      </c>
      <c r="K11" s="66">
        <f t="shared" si="1"/>
        <v>16.154499999999999</v>
      </c>
      <c r="L11" s="275">
        <f t="shared" si="2"/>
        <v>0.42817763759492156</v>
      </c>
      <c r="M11" s="59">
        <f>+SUM($K$3:K11)/(+SUM($C$20:C28)+SUM($K$3:K11))</f>
        <v>0.21126190654888743</v>
      </c>
      <c r="N11" s="281"/>
    </row>
    <row r="12" spans="1:16" x14ac:dyDescent="0.25">
      <c r="A12" s="2"/>
      <c r="B12" s="75" t="s">
        <v>94</v>
      </c>
      <c r="C12" s="347">
        <v>5360</v>
      </c>
      <c r="D12" s="347">
        <v>6899</v>
      </c>
      <c r="E12" s="347">
        <v>0</v>
      </c>
      <c r="F12" s="347">
        <v>750</v>
      </c>
      <c r="G12" s="347">
        <v>0</v>
      </c>
      <c r="H12" s="347">
        <v>0</v>
      </c>
      <c r="I12" s="347">
        <v>500</v>
      </c>
      <c r="J12" s="271">
        <f t="shared" si="0"/>
        <v>13509</v>
      </c>
      <c r="K12" s="67">
        <f t="shared" si="1"/>
        <v>6.7545000000000002</v>
      </c>
      <c r="L12" s="275">
        <f t="shared" si="2"/>
        <v>7.4259140157324488E-2</v>
      </c>
      <c r="M12" s="59">
        <f>+SUM($K$3:K12)/(+SUM($C$20:C29)+SUM($K$3:K12))</f>
        <v>0.18863051911258336</v>
      </c>
      <c r="N12" s="281"/>
    </row>
    <row r="13" spans="1:16" x14ac:dyDescent="0.25">
      <c r="A13" s="2"/>
      <c r="B13" s="289" t="s">
        <v>0</v>
      </c>
      <c r="C13" s="347">
        <v>10717</v>
      </c>
      <c r="D13" s="347">
        <v>7961</v>
      </c>
      <c r="E13" s="347">
        <v>6080</v>
      </c>
      <c r="F13" s="347">
        <v>750</v>
      </c>
      <c r="G13" s="347">
        <v>0</v>
      </c>
      <c r="H13" s="347">
        <v>8000</v>
      </c>
      <c r="I13" s="347">
        <v>500</v>
      </c>
      <c r="J13" s="271">
        <f t="shared" si="0"/>
        <v>34008</v>
      </c>
      <c r="K13" s="66">
        <f t="shared" si="1"/>
        <v>17.004000000000001</v>
      </c>
      <c r="L13" s="275">
        <f t="shared" si="2"/>
        <v>0.44157058273605476</v>
      </c>
      <c r="M13" s="59">
        <f>+SUM($K$3:K13)/(+SUM($C$20:C30)+SUM($K$3:K13))</f>
        <v>0.20516345860067217</v>
      </c>
      <c r="N13" s="281"/>
    </row>
    <row r="14" spans="1:16" x14ac:dyDescent="0.25">
      <c r="A14" s="2"/>
      <c r="B14" s="289" t="s">
        <v>95</v>
      </c>
      <c r="C14" s="266">
        <v>12403</v>
      </c>
      <c r="D14" s="268">
        <v>10243</v>
      </c>
      <c r="E14" s="266">
        <v>0</v>
      </c>
      <c r="F14" s="268">
        <v>750</v>
      </c>
      <c r="G14" s="266">
        <v>0</v>
      </c>
      <c r="H14" s="268">
        <v>8000</v>
      </c>
      <c r="I14" s="266">
        <v>500</v>
      </c>
      <c r="J14" s="271">
        <f t="shared" si="0"/>
        <v>31896</v>
      </c>
      <c r="K14" s="67">
        <f t="shared" si="1"/>
        <v>15.948</v>
      </c>
      <c r="L14" s="275">
        <f t="shared" si="2"/>
        <v>0.43738686852065162</v>
      </c>
      <c r="M14" s="59">
        <f>+SUM($K$3:K14)/(+SUM($C$20:C31)+SUM($K$3:K14))</f>
        <v>0.21869814994197587</v>
      </c>
      <c r="N14" s="281"/>
    </row>
    <row r="15" spans="1:16" ht="15.75" thickBot="1" x14ac:dyDescent="0.3">
      <c r="A15" s="2"/>
      <c r="B15" s="265" t="s">
        <v>96</v>
      </c>
      <c r="C15" s="267">
        <f t="shared" ref="C15:K15" si="3">SUM(C3:C14)</f>
        <v>107676</v>
      </c>
      <c r="D15" s="269">
        <f t="shared" si="3"/>
        <v>98157</v>
      </c>
      <c r="E15" s="267">
        <f t="shared" si="3"/>
        <v>21520</v>
      </c>
      <c r="F15" s="269">
        <f t="shared" si="3"/>
        <v>9000</v>
      </c>
      <c r="G15" s="267">
        <f t="shared" si="3"/>
        <v>0</v>
      </c>
      <c r="H15" s="269">
        <f t="shared" si="3"/>
        <v>39000</v>
      </c>
      <c r="I15" s="267">
        <f t="shared" si="3"/>
        <v>6000</v>
      </c>
      <c r="J15" s="269">
        <f t="shared" si="3"/>
        <v>273636</v>
      </c>
      <c r="K15" s="272">
        <f t="shared" si="3"/>
        <v>136.81800000000001</v>
      </c>
      <c r="L15" s="276"/>
      <c r="M15" s="60"/>
      <c r="N15" s="282"/>
    </row>
    <row r="16" spans="1:16" x14ac:dyDescent="0.2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283"/>
      <c r="O16" s="7"/>
    </row>
    <row r="17" spans="1:15" ht="15.75" thickBot="1" x14ac:dyDescent="0.3">
      <c r="A17" s="23"/>
      <c r="B17" s="2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284"/>
      <c r="O17" s="7"/>
    </row>
    <row r="18" spans="1:15" x14ac:dyDescent="0.25">
      <c r="A18" s="10"/>
      <c r="B18" s="64" t="s">
        <v>32</v>
      </c>
      <c r="C18" s="6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285"/>
      <c r="O18" s="7"/>
    </row>
    <row r="19" spans="1:15" ht="15.75" thickBot="1" x14ac:dyDescent="0.3">
      <c r="A19" s="7"/>
      <c r="B19" s="65" t="s">
        <v>35</v>
      </c>
      <c r="C19" s="70" t="s">
        <v>36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83"/>
      <c r="O19" s="7"/>
    </row>
    <row r="20" spans="1:15" x14ac:dyDescent="0.25">
      <c r="A20" s="7"/>
      <c r="B20" s="66">
        <v>18.404000000000003</v>
      </c>
      <c r="C20" s="71">
        <f>Summary!N19</f>
        <v>27.324000000000005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83"/>
      <c r="O20" s="7"/>
    </row>
    <row r="21" spans="1:15" x14ac:dyDescent="0.25">
      <c r="A21" s="7"/>
      <c r="B21" s="67">
        <v>18.404000000000003</v>
      </c>
      <c r="C21" s="71">
        <f>Summary!N20</f>
        <v>50.164000000000001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83"/>
      <c r="O21" s="7"/>
    </row>
    <row r="22" spans="1:15" x14ac:dyDescent="0.25">
      <c r="A22" s="7"/>
      <c r="B22" s="67">
        <v>18.404000000000003</v>
      </c>
      <c r="C22" s="71">
        <f>Summary!N21</f>
        <v>30.634000000000004</v>
      </c>
      <c r="D22" s="24"/>
      <c r="E22" s="24"/>
      <c r="F22" s="24"/>
      <c r="G22" s="24"/>
      <c r="H22" s="24"/>
      <c r="I22" s="6"/>
      <c r="J22" s="6"/>
      <c r="K22" s="24"/>
      <c r="L22" s="6"/>
      <c r="M22" s="24"/>
      <c r="N22" s="283"/>
      <c r="O22" s="7"/>
    </row>
    <row r="23" spans="1:15" x14ac:dyDescent="0.25">
      <c r="A23" s="7"/>
      <c r="B23" s="67">
        <v>18.399999999999999</v>
      </c>
      <c r="C23" s="71">
        <f>Summary!N22</f>
        <v>18.399999999999999</v>
      </c>
      <c r="D23" s="24"/>
      <c r="E23" s="24"/>
      <c r="F23" s="24"/>
      <c r="G23" s="24"/>
      <c r="H23" s="24"/>
      <c r="I23" s="6"/>
      <c r="J23" s="6"/>
      <c r="K23" s="24"/>
      <c r="L23" s="6"/>
      <c r="M23" s="24"/>
      <c r="N23" s="283"/>
      <c r="O23" s="7"/>
    </row>
    <row r="24" spans="1:15" x14ac:dyDescent="0.25">
      <c r="A24" s="7"/>
      <c r="B24" s="67">
        <v>18.404000000000003</v>
      </c>
      <c r="C24" s="71">
        <f>Summary!N23</f>
        <v>98.854000000000013</v>
      </c>
      <c r="D24" s="24"/>
      <c r="E24" s="24"/>
      <c r="F24" s="24"/>
      <c r="G24" s="24"/>
      <c r="H24" s="24"/>
      <c r="I24" s="6"/>
      <c r="J24" s="6"/>
      <c r="K24" s="24"/>
      <c r="L24" s="6"/>
      <c r="M24" s="24"/>
      <c r="N24" s="283"/>
      <c r="O24" s="7"/>
    </row>
    <row r="25" spans="1:15" x14ac:dyDescent="0.25">
      <c r="A25" s="7"/>
      <c r="B25" s="67">
        <v>18.404000000000003</v>
      </c>
      <c r="C25" s="71">
        <f>Summary!N24</f>
        <v>62.554000000000009</v>
      </c>
      <c r="D25" s="24"/>
      <c r="E25" s="24"/>
      <c r="F25" s="24"/>
      <c r="G25" s="24"/>
      <c r="H25" s="24"/>
      <c r="I25" s="6"/>
      <c r="J25" s="6"/>
      <c r="K25" s="24"/>
      <c r="L25" s="6"/>
      <c r="M25" s="24"/>
      <c r="N25" s="283"/>
      <c r="O25" s="7"/>
    </row>
    <row r="26" spans="1:15" x14ac:dyDescent="0.25">
      <c r="A26" s="7"/>
      <c r="B26" s="67">
        <v>18.404000000000003</v>
      </c>
      <c r="C26" s="71">
        <f>Summary!N25</f>
        <v>21.344000000000005</v>
      </c>
      <c r="D26" s="24"/>
      <c r="E26" s="24"/>
      <c r="F26" s="24"/>
      <c r="G26" s="24"/>
      <c r="H26" s="24"/>
      <c r="I26" s="6"/>
      <c r="J26" s="6"/>
      <c r="K26" s="24"/>
      <c r="L26" s="6"/>
      <c r="M26" s="24"/>
      <c r="N26" s="283"/>
      <c r="O26" s="7"/>
    </row>
    <row r="27" spans="1:15" x14ac:dyDescent="0.25">
      <c r="A27" s="7"/>
      <c r="B27" s="67">
        <v>18.404000000000003</v>
      </c>
      <c r="C27" s="71">
        <f>Summary!N26</f>
        <v>31.714000000000002</v>
      </c>
      <c r="D27" s="24"/>
      <c r="E27" s="24"/>
      <c r="F27" s="24"/>
      <c r="G27" s="24"/>
      <c r="H27" s="24"/>
      <c r="I27" s="6"/>
      <c r="J27" s="7"/>
      <c r="K27" s="24"/>
      <c r="L27" s="24"/>
      <c r="M27" s="24"/>
      <c r="N27" s="283"/>
      <c r="O27" s="7"/>
    </row>
    <row r="28" spans="1:15" x14ac:dyDescent="0.25">
      <c r="A28" s="7"/>
      <c r="B28" s="67">
        <v>18.404000000000003</v>
      </c>
      <c r="C28" s="71">
        <f>Summary!N27</f>
        <v>21.574000000000005</v>
      </c>
      <c r="D28" s="24"/>
      <c r="E28" s="24"/>
      <c r="F28" s="24"/>
      <c r="G28" s="24"/>
      <c r="H28" s="24"/>
      <c r="I28" s="6"/>
      <c r="J28" s="24"/>
      <c r="K28" s="7"/>
      <c r="L28" s="24"/>
      <c r="M28" s="24"/>
      <c r="N28" s="283"/>
      <c r="O28" s="7"/>
    </row>
    <row r="29" spans="1:15" x14ac:dyDescent="0.25">
      <c r="A29" s="7"/>
      <c r="B29" s="67">
        <v>18.404000000000003</v>
      </c>
      <c r="C29" s="71">
        <f>Summary!N28</f>
        <v>84.204000000000008</v>
      </c>
      <c r="D29" s="24"/>
      <c r="E29" s="24"/>
      <c r="F29" s="24"/>
      <c r="G29" s="24"/>
      <c r="H29" s="24"/>
      <c r="I29" s="24"/>
      <c r="J29" s="24"/>
      <c r="K29" s="7"/>
      <c r="L29" s="24"/>
      <c r="M29" s="24"/>
      <c r="N29" s="283"/>
      <c r="O29" s="7"/>
    </row>
    <row r="30" spans="1:15" x14ac:dyDescent="0.25">
      <c r="A30" s="7"/>
      <c r="B30" s="67">
        <v>18.404000000000003</v>
      </c>
      <c r="C30" s="71">
        <f>Summary!N29</f>
        <v>21.504000000000005</v>
      </c>
      <c r="D30" s="24"/>
      <c r="E30" s="24"/>
      <c r="F30" s="24"/>
      <c r="G30" s="24"/>
      <c r="H30" s="24"/>
      <c r="I30" s="24"/>
      <c r="J30" s="24"/>
      <c r="K30" s="7"/>
      <c r="L30" s="24"/>
      <c r="M30" s="24"/>
      <c r="N30" s="283"/>
      <c r="O30" s="7"/>
    </row>
    <row r="31" spans="1:15" ht="15.75" thickBot="1" x14ac:dyDescent="0.3">
      <c r="A31" s="8"/>
      <c r="B31" s="68">
        <v>18.404000000000003</v>
      </c>
      <c r="C31" s="71">
        <f>Summary!N30</f>
        <v>20.514000000000003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283"/>
      <c r="O31" s="7"/>
    </row>
    <row r="32" spans="1:15" x14ac:dyDescent="0.25">
      <c r="A32" s="8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283"/>
      <c r="O32" s="7"/>
    </row>
    <row r="34" spans="16:21" x14ac:dyDescent="0.25">
      <c r="P34" s="7"/>
      <c r="Q34" s="7"/>
      <c r="R34" s="7"/>
      <c r="S34" s="7"/>
      <c r="T34" s="7"/>
      <c r="U34" s="7"/>
    </row>
    <row r="35" spans="16:21" x14ac:dyDescent="0.25">
      <c r="P35" s="7"/>
      <c r="Q35" s="7"/>
      <c r="R35" s="7"/>
      <c r="S35" s="7"/>
      <c r="T35" s="7"/>
      <c r="U35" s="7"/>
    </row>
    <row r="36" spans="16:21" x14ac:dyDescent="0.25">
      <c r="P36" s="7"/>
      <c r="Q36" s="32"/>
      <c r="R36" s="32"/>
      <c r="S36" s="32"/>
      <c r="T36" s="32"/>
      <c r="U36" s="7"/>
    </row>
    <row r="37" spans="16:21" x14ac:dyDescent="0.25">
      <c r="P37" s="7"/>
      <c r="Q37" s="7"/>
      <c r="R37" s="7"/>
      <c r="S37" s="7"/>
      <c r="T37" s="9"/>
      <c r="U37" s="7"/>
    </row>
    <row r="38" spans="16:21" x14ac:dyDescent="0.25">
      <c r="P38" s="7"/>
      <c r="Q38" s="7"/>
      <c r="R38" s="7"/>
      <c r="S38" s="7"/>
      <c r="T38" s="9"/>
      <c r="U38" s="7"/>
    </row>
    <row r="39" spans="16:21" x14ac:dyDescent="0.25">
      <c r="P39" s="7"/>
      <c r="Q39" s="8"/>
      <c r="R39" s="7"/>
      <c r="S39" s="7"/>
      <c r="T39" s="9"/>
      <c r="U39" s="7"/>
    </row>
    <row r="40" spans="16:21" x14ac:dyDescent="0.25">
      <c r="P40" s="7"/>
      <c r="Q40" s="7"/>
      <c r="R40" s="7"/>
      <c r="S40" s="24"/>
      <c r="T40" s="24"/>
      <c r="U40" s="7"/>
    </row>
    <row r="41" spans="16:21" x14ac:dyDescent="0.25">
      <c r="P41" s="7"/>
      <c r="Q41" s="7"/>
      <c r="R41" s="7"/>
      <c r="S41" s="24"/>
      <c r="T41" s="24"/>
      <c r="U41" s="7"/>
    </row>
    <row r="42" spans="16:21" x14ac:dyDescent="0.25">
      <c r="P42" s="7"/>
      <c r="Q42" s="7"/>
      <c r="R42" s="7"/>
      <c r="S42" s="24"/>
      <c r="T42" s="24"/>
      <c r="U42" s="7"/>
    </row>
    <row r="43" spans="16:21" x14ac:dyDescent="0.25">
      <c r="P43" s="7"/>
      <c r="Q43" s="7"/>
      <c r="R43" s="7"/>
      <c r="S43" s="24"/>
      <c r="T43" s="24"/>
      <c r="U43" s="7"/>
    </row>
    <row r="44" spans="16:21" x14ac:dyDescent="0.25">
      <c r="P44" s="7"/>
      <c r="Q44" s="7"/>
      <c r="R44" s="7"/>
      <c r="S44" s="24"/>
      <c r="T44" s="24"/>
      <c r="U44" s="7"/>
    </row>
    <row r="45" spans="16:21" x14ac:dyDescent="0.25">
      <c r="P45" s="7"/>
      <c r="Q45" s="7"/>
      <c r="R45" s="7"/>
      <c r="S45" s="24"/>
      <c r="T45" s="24"/>
      <c r="U45" s="7"/>
    </row>
    <row r="46" spans="16:21" x14ac:dyDescent="0.25">
      <c r="P46" s="7"/>
      <c r="Q46" s="7"/>
      <c r="R46" s="7"/>
      <c r="S46" s="24"/>
      <c r="T46" s="24"/>
      <c r="U46" s="7"/>
    </row>
    <row r="47" spans="16:21" x14ac:dyDescent="0.25">
      <c r="P47" s="7"/>
      <c r="Q47" s="7"/>
      <c r="R47" s="7"/>
      <c r="S47" s="24"/>
      <c r="T47" s="24"/>
      <c r="U47" s="7"/>
    </row>
    <row r="48" spans="16:21" x14ac:dyDescent="0.25">
      <c r="P48" s="7"/>
      <c r="Q48" s="7"/>
      <c r="R48" s="7"/>
      <c r="S48" s="24"/>
      <c r="T48" s="24"/>
      <c r="U48" s="7"/>
    </row>
    <row r="49" spans="16:21" x14ac:dyDescent="0.25">
      <c r="P49" s="7"/>
      <c r="Q49" s="7"/>
      <c r="R49" s="7"/>
      <c r="S49" s="24"/>
      <c r="T49" s="24"/>
      <c r="U49" s="7"/>
    </row>
    <row r="50" spans="16:21" x14ac:dyDescent="0.25">
      <c r="P50" s="7"/>
      <c r="Q50" s="7"/>
      <c r="R50" s="7"/>
      <c r="S50" s="24"/>
      <c r="T50" s="24"/>
      <c r="U50" s="7"/>
    </row>
    <row r="51" spans="16:21" x14ac:dyDescent="0.25">
      <c r="P51" s="7"/>
      <c r="Q51" s="8"/>
      <c r="R51" s="7"/>
      <c r="S51" s="24"/>
      <c r="T51" s="24"/>
      <c r="U51" s="7"/>
    </row>
    <row r="52" spans="16:21" x14ac:dyDescent="0.25">
      <c r="P52" s="7"/>
      <c r="Q52" s="7"/>
      <c r="R52" s="7"/>
      <c r="S52" s="6"/>
      <c r="T52" s="24"/>
      <c r="U52" s="7"/>
    </row>
    <row r="53" spans="16:21" x14ac:dyDescent="0.25">
      <c r="P53" s="7"/>
      <c r="Q53" s="7"/>
      <c r="R53" s="7"/>
      <c r="S53" s="6"/>
      <c r="T53" s="24"/>
      <c r="U53" s="7"/>
    </row>
    <row r="54" spans="16:21" x14ac:dyDescent="0.25">
      <c r="P54" s="7"/>
      <c r="Q54" s="7"/>
      <c r="R54" s="7"/>
      <c r="S54" s="7"/>
      <c r="T54" s="7"/>
      <c r="U54" s="7"/>
    </row>
    <row r="55" spans="16:21" x14ac:dyDescent="0.25">
      <c r="P55" s="7"/>
      <c r="Q55" s="7"/>
      <c r="R55" s="7"/>
      <c r="S55" s="7"/>
      <c r="T55" s="7"/>
      <c r="U55" s="7"/>
    </row>
    <row r="56" spans="16:21" x14ac:dyDescent="0.25">
      <c r="P56" s="7"/>
      <c r="Q56" s="7"/>
      <c r="R56" s="7"/>
      <c r="S56" s="7"/>
      <c r="T56" s="24"/>
      <c r="U56" s="7"/>
    </row>
    <row r="57" spans="16:21" x14ac:dyDescent="0.25">
      <c r="P57" s="7"/>
      <c r="Q57" s="7"/>
      <c r="R57" s="7"/>
      <c r="S57" s="7"/>
      <c r="T57" s="24"/>
      <c r="U57" s="7"/>
    </row>
    <row r="58" spans="16:21" x14ac:dyDescent="0.25">
      <c r="P58" s="7"/>
      <c r="Q58" s="7"/>
      <c r="R58" s="7"/>
      <c r="S58" s="7"/>
      <c r="T58" s="7"/>
      <c r="U58" s="7"/>
    </row>
    <row r="59" spans="16:21" x14ac:dyDescent="0.25">
      <c r="P59" s="7"/>
      <c r="Q59" s="7"/>
      <c r="R59" s="7"/>
      <c r="S59" s="7"/>
      <c r="T59" s="7"/>
      <c r="U59" s="7"/>
    </row>
    <row r="60" spans="16:21" x14ac:dyDescent="0.25">
      <c r="P60" s="7"/>
      <c r="Q60" s="7"/>
      <c r="R60" s="7"/>
      <c r="S60" s="7"/>
      <c r="T60" s="7"/>
      <c r="U60" s="7"/>
    </row>
    <row r="61" spans="16:21" x14ac:dyDescent="0.25">
      <c r="P61" s="7"/>
      <c r="Q61" s="7"/>
      <c r="R61" s="7"/>
      <c r="S61" s="7"/>
      <c r="T61" s="7"/>
      <c r="U61" s="7"/>
    </row>
    <row r="62" spans="16:21" x14ac:dyDescent="0.25">
      <c r="P62" s="7"/>
      <c r="Q62" s="7"/>
      <c r="R62" s="7"/>
      <c r="S62" s="7"/>
      <c r="T62" s="7"/>
      <c r="U62" s="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D21" sqref="D21"/>
    </sheetView>
  </sheetViews>
  <sheetFormatPr defaultColWidth="9.140625" defaultRowHeight="15" x14ac:dyDescent="0.25"/>
  <cols>
    <col min="1" max="3" width="9.140625" style="80"/>
    <col min="4" max="4" width="12.42578125" style="80" customWidth="1"/>
    <col min="5" max="5" width="9.140625" style="80"/>
    <col min="6" max="6" width="10.28515625" style="80" customWidth="1"/>
    <col min="7" max="7" width="9.140625" style="80"/>
    <col min="8" max="8" width="10.85546875" style="80" customWidth="1"/>
    <col min="9" max="9" width="11.28515625" style="80" customWidth="1"/>
    <col min="10" max="11" width="25.28515625" style="80" customWidth="1"/>
    <col min="12" max="12" width="13.7109375" style="80" customWidth="1"/>
    <col min="13" max="13" width="13" style="80" customWidth="1"/>
    <col min="14" max="16384" width="9.140625" style="80"/>
  </cols>
  <sheetData>
    <row r="1" spans="1:13" ht="15.75" thickBot="1" x14ac:dyDescent="0.3">
      <c r="A1" s="5" t="s">
        <v>123</v>
      </c>
      <c r="G1" s="5"/>
      <c r="H1" s="27"/>
      <c r="I1" s="77" t="s">
        <v>124</v>
      </c>
      <c r="J1" s="8"/>
      <c r="K1" s="8"/>
      <c r="L1" s="5"/>
      <c r="M1" s="5"/>
    </row>
    <row r="2" spans="1:13" ht="15.75" thickBot="1" x14ac:dyDescent="0.3">
      <c r="A2" s="82"/>
      <c r="B2" s="34" t="s">
        <v>5</v>
      </c>
      <c r="C2" s="19" t="s">
        <v>6</v>
      </c>
      <c r="D2" s="19" t="s">
        <v>9</v>
      </c>
      <c r="E2" s="19" t="s">
        <v>10</v>
      </c>
      <c r="F2" s="20" t="s">
        <v>11</v>
      </c>
      <c r="H2" s="27"/>
      <c r="I2" s="18"/>
      <c r="J2" s="29" t="s">
        <v>97</v>
      </c>
      <c r="K2" s="29" t="s">
        <v>99</v>
      </c>
      <c r="L2" s="29" t="s">
        <v>10</v>
      </c>
      <c r="M2" s="30" t="s">
        <v>11</v>
      </c>
    </row>
    <row r="3" spans="1:13" x14ac:dyDescent="0.25">
      <c r="A3" s="35" t="s">
        <v>14</v>
      </c>
      <c r="B3" s="83">
        <v>86</v>
      </c>
      <c r="C3" s="84">
        <v>0</v>
      </c>
      <c r="D3" s="84">
        <v>43</v>
      </c>
      <c r="E3" s="37">
        <f>SUM(B3:D3)</f>
        <v>129</v>
      </c>
      <c r="F3" s="85">
        <f>E3*0.0005</f>
        <v>6.4500000000000002E-2</v>
      </c>
      <c r="H3" s="86"/>
      <c r="I3" s="95" t="s">
        <v>14</v>
      </c>
      <c r="J3" s="97">
        <v>789</v>
      </c>
      <c r="K3" s="100">
        <v>632</v>
      </c>
      <c r="L3" s="107">
        <f>SUM(J3:K3)</f>
        <v>1421</v>
      </c>
      <c r="M3" s="105">
        <f>L3*0.0005</f>
        <v>0.71050000000000002</v>
      </c>
    </row>
    <row r="4" spans="1:13" x14ac:dyDescent="0.25">
      <c r="A4" s="31" t="s">
        <v>15</v>
      </c>
      <c r="B4" s="87">
        <v>218</v>
      </c>
      <c r="C4" s="88">
        <v>0</v>
      </c>
      <c r="D4" s="88">
        <v>122</v>
      </c>
      <c r="E4" s="37">
        <f t="shared" ref="E4:E14" si="0">SUM(B4:D4)</f>
        <v>340</v>
      </c>
      <c r="F4" s="85">
        <f t="shared" ref="F4:F14" si="1">E4*0.0005</f>
        <v>0.17</v>
      </c>
      <c r="H4" s="86"/>
      <c r="I4" s="96" t="s">
        <v>15</v>
      </c>
      <c r="J4" s="98">
        <v>1796</v>
      </c>
      <c r="K4" s="101">
        <v>1352</v>
      </c>
      <c r="L4" s="108">
        <f t="shared" ref="L4:L14" si="2">SUM(J4:K4)</f>
        <v>3148</v>
      </c>
      <c r="M4" s="106">
        <f t="shared" ref="M4:M14" si="3">L4*0.0005</f>
        <v>1.5740000000000001</v>
      </c>
    </row>
    <row r="5" spans="1:13" x14ac:dyDescent="0.25">
      <c r="A5" s="31" t="s">
        <v>16</v>
      </c>
      <c r="B5" s="87">
        <v>309</v>
      </c>
      <c r="C5" s="88">
        <v>0</v>
      </c>
      <c r="D5" s="88">
        <v>146</v>
      </c>
      <c r="E5" s="37">
        <f t="shared" si="0"/>
        <v>455</v>
      </c>
      <c r="F5" s="85">
        <f t="shared" si="1"/>
        <v>0.22750000000000001</v>
      </c>
      <c r="H5" s="86"/>
      <c r="I5" s="96" t="s">
        <v>16</v>
      </c>
      <c r="J5" s="99">
        <v>3276</v>
      </c>
      <c r="K5" s="102">
        <v>2489</v>
      </c>
      <c r="L5" s="108">
        <f t="shared" si="2"/>
        <v>5765</v>
      </c>
      <c r="M5" s="106">
        <f t="shared" si="3"/>
        <v>2.8824999999999998</v>
      </c>
    </row>
    <row r="6" spans="1:13" x14ac:dyDescent="0.25">
      <c r="A6" s="31" t="s">
        <v>17</v>
      </c>
      <c r="B6" s="87">
        <v>402</v>
      </c>
      <c r="C6" s="88"/>
      <c r="D6" s="88">
        <v>227</v>
      </c>
      <c r="E6" s="37">
        <f t="shared" si="0"/>
        <v>629</v>
      </c>
      <c r="F6" s="85">
        <f t="shared" si="1"/>
        <v>0.3145</v>
      </c>
      <c r="H6" s="86"/>
      <c r="I6" s="96" t="s">
        <v>17</v>
      </c>
      <c r="J6" s="31">
        <v>4175</v>
      </c>
      <c r="K6" s="103">
        <v>2805</v>
      </c>
      <c r="L6" s="108">
        <f t="shared" si="2"/>
        <v>6980</v>
      </c>
      <c r="M6" s="106">
        <f t="shared" si="3"/>
        <v>3.49</v>
      </c>
    </row>
    <row r="7" spans="1:13" x14ac:dyDescent="0.25">
      <c r="A7" s="31" t="s">
        <v>18</v>
      </c>
      <c r="B7" s="94">
        <v>457</v>
      </c>
      <c r="C7" s="88">
        <v>0</v>
      </c>
      <c r="D7" s="203">
        <v>218</v>
      </c>
      <c r="E7" s="37">
        <f t="shared" si="0"/>
        <v>675</v>
      </c>
      <c r="F7" s="85">
        <f t="shared" si="1"/>
        <v>0.33750000000000002</v>
      </c>
      <c r="H7" s="86"/>
      <c r="I7" s="96" t="s">
        <v>18</v>
      </c>
      <c r="J7" s="140">
        <v>3212</v>
      </c>
      <c r="K7" s="104">
        <v>2978</v>
      </c>
      <c r="L7" s="108">
        <f t="shared" si="2"/>
        <v>6190</v>
      </c>
      <c r="M7" s="106">
        <f t="shared" si="3"/>
        <v>3.0950000000000002</v>
      </c>
    </row>
    <row r="8" spans="1:13" x14ac:dyDescent="0.25">
      <c r="A8" s="31" t="s">
        <v>19</v>
      </c>
      <c r="B8" s="87">
        <v>329</v>
      </c>
      <c r="C8" s="88">
        <v>0</v>
      </c>
      <c r="D8" s="88">
        <v>116</v>
      </c>
      <c r="E8" s="37">
        <f t="shared" si="0"/>
        <v>445</v>
      </c>
      <c r="F8" s="85">
        <f t="shared" si="1"/>
        <v>0.2225</v>
      </c>
      <c r="H8" s="86"/>
      <c r="I8" s="96" t="s">
        <v>19</v>
      </c>
      <c r="J8" s="99">
        <v>2341</v>
      </c>
      <c r="K8" s="102">
        <v>2197</v>
      </c>
      <c r="L8" s="108">
        <f t="shared" si="2"/>
        <v>4538</v>
      </c>
      <c r="M8" s="106">
        <f t="shared" si="3"/>
        <v>2.2690000000000001</v>
      </c>
    </row>
    <row r="9" spans="1:13" x14ac:dyDescent="0.25">
      <c r="A9" s="31" t="s">
        <v>20</v>
      </c>
      <c r="B9" s="87"/>
      <c r="C9" s="88"/>
      <c r="D9" s="88"/>
      <c r="E9" s="37">
        <f t="shared" si="0"/>
        <v>0</v>
      </c>
      <c r="F9" s="85">
        <f t="shared" si="1"/>
        <v>0</v>
      </c>
      <c r="H9" s="86"/>
      <c r="I9" s="96" t="s">
        <v>20</v>
      </c>
      <c r="J9" s="200">
        <v>4897</v>
      </c>
      <c r="K9" s="199">
        <v>3423</v>
      </c>
      <c r="L9" s="108">
        <f t="shared" si="2"/>
        <v>8320</v>
      </c>
      <c r="M9" s="106">
        <f t="shared" si="3"/>
        <v>4.16</v>
      </c>
    </row>
    <row r="10" spans="1:13" x14ac:dyDescent="0.25">
      <c r="A10" s="31" t="s">
        <v>21</v>
      </c>
      <c r="B10" s="87"/>
      <c r="C10" s="88"/>
      <c r="D10" s="88"/>
      <c r="E10" s="37">
        <f t="shared" si="0"/>
        <v>0</v>
      </c>
      <c r="F10" s="85">
        <f t="shared" si="1"/>
        <v>0</v>
      </c>
      <c r="H10" s="86"/>
      <c r="I10" s="96" t="s">
        <v>21</v>
      </c>
      <c r="J10" s="31">
        <v>15742</v>
      </c>
      <c r="K10" s="103">
        <v>0</v>
      </c>
      <c r="L10" s="108">
        <f t="shared" si="2"/>
        <v>15742</v>
      </c>
      <c r="M10" s="106">
        <f t="shared" si="3"/>
        <v>7.8710000000000004</v>
      </c>
    </row>
    <row r="11" spans="1:13" x14ac:dyDescent="0.25">
      <c r="A11" s="31" t="s">
        <v>22</v>
      </c>
      <c r="B11" s="87"/>
      <c r="C11" s="88"/>
      <c r="D11" s="88"/>
      <c r="E11" s="37">
        <f t="shared" si="0"/>
        <v>0</v>
      </c>
      <c r="F11" s="85">
        <f t="shared" si="1"/>
        <v>0</v>
      </c>
      <c r="H11" s="86"/>
      <c r="I11" s="96" t="s">
        <v>22</v>
      </c>
      <c r="J11" s="31">
        <v>15639</v>
      </c>
      <c r="K11" s="103">
        <v>0</v>
      </c>
      <c r="L11" s="108">
        <f t="shared" si="2"/>
        <v>15639</v>
      </c>
      <c r="M11" s="106">
        <f t="shared" si="3"/>
        <v>7.8195000000000006</v>
      </c>
    </row>
    <row r="12" spans="1:13" x14ac:dyDescent="0.25">
      <c r="A12" s="31" t="s">
        <v>23</v>
      </c>
      <c r="B12" s="87"/>
      <c r="C12" s="88"/>
      <c r="D12" s="88"/>
      <c r="E12" s="37">
        <f t="shared" si="0"/>
        <v>0</v>
      </c>
      <c r="F12" s="85">
        <f t="shared" si="1"/>
        <v>0</v>
      </c>
      <c r="H12" s="86"/>
      <c r="I12" s="96" t="s">
        <v>23</v>
      </c>
      <c r="J12" s="31">
        <v>1798</v>
      </c>
      <c r="K12" s="103">
        <v>1675</v>
      </c>
      <c r="L12" s="108">
        <f t="shared" si="2"/>
        <v>3473</v>
      </c>
      <c r="M12" s="106">
        <f t="shared" si="3"/>
        <v>1.7364999999999999</v>
      </c>
    </row>
    <row r="13" spans="1:13" x14ac:dyDescent="0.25">
      <c r="A13" s="31" t="s">
        <v>0</v>
      </c>
      <c r="B13" s="87"/>
      <c r="C13" s="88"/>
      <c r="D13" s="88"/>
      <c r="E13" s="37">
        <f t="shared" si="0"/>
        <v>0</v>
      </c>
      <c r="F13" s="85">
        <f t="shared" si="1"/>
        <v>0</v>
      </c>
      <c r="H13" s="86"/>
      <c r="I13" s="96" t="s">
        <v>0</v>
      </c>
      <c r="J13" s="31">
        <v>1003</v>
      </c>
      <c r="K13" s="103">
        <v>1726</v>
      </c>
      <c r="L13" s="108">
        <f t="shared" si="2"/>
        <v>2729</v>
      </c>
      <c r="M13" s="106">
        <f t="shared" si="3"/>
        <v>1.3645</v>
      </c>
    </row>
    <row r="14" spans="1:13" ht="15.75" thickBot="1" x14ac:dyDescent="0.3">
      <c r="A14" s="51" t="s">
        <v>24</v>
      </c>
      <c r="B14" s="89"/>
      <c r="C14" s="90"/>
      <c r="D14" s="90"/>
      <c r="E14" s="52">
        <f t="shared" si="0"/>
        <v>0</v>
      </c>
      <c r="F14" s="91">
        <f t="shared" si="1"/>
        <v>0</v>
      </c>
      <c r="H14" s="86"/>
      <c r="I14" s="109" t="s">
        <v>24</v>
      </c>
      <c r="J14" s="201">
        <v>1576</v>
      </c>
      <c r="K14" s="110">
        <v>2994</v>
      </c>
      <c r="L14" s="111">
        <f t="shared" si="2"/>
        <v>4570</v>
      </c>
      <c r="M14" s="112">
        <f t="shared" si="3"/>
        <v>2.2850000000000001</v>
      </c>
    </row>
    <row r="15" spans="1:13" ht="15.75" thickBot="1" x14ac:dyDescent="0.3">
      <c r="A15" s="53" t="s">
        <v>36</v>
      </c>
      <c r="B15" s="22">
        <f>SUM(B3:B14)</f>
        <v>1801</v>
      </c>
      <c r="C15" s="22">
        <f>SUM(C3:C14)</f>
        <v>0</v>
      </c>
      <c r="D15" s="22">
        <f>SUM(D3:D14)</f>
        <v>872</v>
      </c>
      <c r="E15" s="22">
        <f>SUM(E3:E14)</f>
        <v>2673</v>
      </c>
      <c r="F15" s="36">
        <f>SUM(F3:F14)</f>
        <v>1.3364999999999998</v>
      </c>
      <c r="G15" s="81"/>
      <c r="H15" s="81"/>
      <c r="I15" s="76" t="s">
        <v>36</v>
      </c>
      <c r="J15" s="113">
        <f>SUM(J3:J14)</f>
        <v>56244</v>
      </c>
      <c r="K15" s="114">
        <f>SUM(K3:K14)</f>
        <v>22271</v>
      </c>
      <c r="L15" s="113">
        <f>SUM(J15:K15)</f>
        <v>78515</v>
      </c>
      <c r="M15" s="115">
        <f>SUM(M3:M14)</f>
        <v>39.257499999999993</v>
      </c>
    </row>
    <row r="16" spans="1:13" x14ac:dyDescent="0.25">
      <c r="A16" s="8"/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1:13" ht="15.75" thickBot="1" x14ac:dyDescent="0.3">
      <c r="A17" s="23"/>
      <c r="B17" s="10"/>
      <c r="C17" s="10"/>
      <c r="D17" s="10"/>
      <c r="E17" s="10"/>
      <c r="F17" s="10"/>
      <c r="G17" s="10"/>
      <c r="H17" s="10"/>
      <c r="I17" s="116" t="s">
        <v>125</v>
      </c>
      <c r="J17" s="117"/>
      <c r="K17" s="117"/>
      <c r="L17" s="118"/>
      <c r="M17" s="118"/>
    </row>
    <row r="18" spans="1:13" ht="15.75" thickBot="1" x14ac:dyDescent="0.3">
      <c r="A18" s="10"/>
      <c r="B18" s="10"/>
      <c r="C18" s="10"/>
      <c r="D18" s="10"/>
      <c r="E18" s="10"/>
      <c r="F18" s="10"/>
      <c r="G18" s="10"/>
      <c r="H18" s="10"/>
      <c r="I18" s="119" t="s">
        <v>65</v>
      </c>
      <c r="J18" s="120" t="s">
        <v>102</v>
      </c>
      <c r="K18" s="121" t="s">
        <v>103</v>
      </c>
      <c r="L18" s="122" t="s">
        <v>10</v>
      </c>
      <c r="M18" s="123" t="s">
        <v>104</v>
      </c>
    </row>
    <row r="19" spans="1:13" x14ac:dyDescent="0.25">
      <c r="A19" s="81"/>
      <c r="B19" s="92"/>
      <c r="C19" s="92"/>
      <c r="D19" s="92"/>
      <c r="E19" s="92"/>
      <c r="F19" s="92"/>
      <c r="G19" s="92"/>
      <c r="H19" s="92"/>
      <c r="I19" s="124" t="s">
        <v>85</v>
      </c>
      <c r="J19" s="125">
        <v>0</v>
      </c>
      <c r="K19" s="126">
        <v>0</v>
      </c>
      <c r="L19" s="339">
        <f>SUM(J19:K19)</f>
        <v>0</v>
      </c>
      <c r="M19" s="127">
        <v>0</v>
      </c>
    </row>
    <row r="20" spans="1:13" x14ac:dyDescent="0.25">
      <c r="A20" s="81"/>
      <c r="B20" s="92"/>
      <c r="C20" s="92"/>
      <c r="D20" s="92"/>
      <c r="E20" s="92"/>
      <c r="F20" s="92"/>
      <c r="G20" s="92"/>
      <c r="H20" s="92"/>
      <c r="I20" s="128" t="s">
        <v>86</v>
      </c>
      <c r="J20" s="62">
        <v>0</v>
      </c>
      <c r="K20" s="129">
        <v>0</v>
      </c>
      <c r="L20" s="339">
        <f t="shared" ref="L20:L30" si="4">SUM(J20:K20)</f>
        <v>0</v>
      </c>
      <c r="M20" s="130">
        <f>L20*0.0005</f>
        <v>0</v>
      </c>
    </row>
    <row r="21" spans="1:13" x14ac:dyDescent="0.25">
      <c r="A21" s="81"/>
      <c r="B21" s="92"/>
      <c r="C21" s="92"/>
      <c r="D21" s="92"/>
      <c r="E21" s="92"/>
      <c r="F21" s="92"/>
      <c r="G21" s="92"/>
      <c r="H21" s="92"/>
      <c r="I21" s="128" t="s">
        <v>87</v>
      </c>
      <c r="J21" s="131">
        <v>112</v>
      </c>
      <c r="K21" s="129"/>
      <c r="L21" s="339">
        <f t="shared" si="4"/>
        <v>112</v>
      </c>
      <c r="M21" s="130">
        <f t="shared" ref="M21:M31" si="5">L21*0.0005</f>
        <v>5.6000000000000001E-2</v>
      </c>
    </row>
    <row r="22" spans="1:13" x14ac:dyDescent="0.25">
      <c r="A22" s="81"/>
      <c r="B22" s="92"/>
      <c r="C22" s="92"/>
      <c r="D22" s="93"/>
      <c r="E22" s="93"/>
      <c r="F22" s="92"/>
      <c r="G22" s="93"/>
      <c r="H22" s="92"/>
      <c r="I22" s="128" t="s">
        <v>88</v>
      </c>
      <c r="J22" s="131"/>
      <c r="K22" s="129"/>
      <c r="L22" s="339">
        <f t="shared" si="4"/>
        <v>0</v>
      </c>
      <c r="M22" s="130">
        <f t="shared" si="5"/>
        <v>0</v>
      </c>
    </row>
    <row r="23" spans="1:13" x14ac:dyDescent="0.25">
      <c r="A23" s="81"/>
      <c r="B23" s="92"/>
      <c r="C23" s="92"/>
      <c r="D23" s="93"/>
      <c r="E23" s="93"/>
      <c r="F23" s="92"/>
      <c r="G23" s="93"/>
      <c r="H23" s="92"/>
      <c r="I23" s="128" t="s">
        <v>89</v>
      </c>
      <c r="J23" s="132">
        <v>112</v>
      </c>
      <c r="K23" s="129"/>
      <c r="L23" s="339">
        <f t="shared" si="4"/>
        <v>112</v>
      </c>
      <c r="M23" s="130">
        <f t="shared" si="5"/>
        <v>5.6000000000000001E-2</v>
      </c>
    </row>
    <row r="24" spans="1:13" x14ac:dyDescent="0.25">
      <c r="A24" s="81"/>
      <c r="B24" s="92"/>
      <c r="C24" s="92"/>
      <c r="D24" s="93"/>
      <c r="E24" s="93"/>
      <c r="F24" s="92"/>
      <c r="G24" s="93"/>
      <c r="H24" s="92"/>
      <c r="I24" s="128" t="s">
        <v>90</v>
      </c>
      <c r="J24" s="133">
        <v>57</v>
      </c>
      <c r="K24" s="129"/>
      <c r="L24" s="339">
        <f t="shared" si="4"/>
        <v>57</v>
      </c>
      <c r="M24" s="130">
        <f t="shared" si="5"/>
        <v>2.8500000000000001E-2</v>
      </c>
    </row>
    <row r="25" spans="1:13" x14ac:dyDescent="0.25">
      <c r="A25" s="81"/>
      <c r="B25" s="92"/>
      <c r="C25" s="92"/>
      <c r="D25" s="93"/>
      <c r="E25" s="93"/>
      <c r="F25" s="92"/>
      <c r="G25" s="93"/>
      <c r="H25" s="92"/>
      <c r="I25" s="128" t="s">
        <v>91</v>
      </c>
      <c r="J25" s="131"/>
      <c r="K25" s="129"/>
      <c r="L25" s="339">
        <f t="shared" si="4"/>
        <v>0</v>
      </c>
      <c r="M25" s="130">
        <f t="shared" si="5"/>
        <v>0</v>
      </c>
    </row>
    <row r="26" spans="1:13" x14ac:dyDescent="0.25">
      <c r="A26" s="81"/>
      <c r="B26" s="92"/>
      <c r="C26" s="92"/>
      <c r="D26" s="93"/>
      <c r="E26" s="93"/>
      <c r="F26" s="92"/>
      <c r="G26" s="93"/>
      <c r="H26" s="92"/>
      <c r="I26" s="128" t="s">
        <v>92</v>
      </c>
      <c r="J26" s="131"/>
      <c r="K26" s="129"/>
      <c r="L26" s="339">
        <f t="shared" si="4"/>
        <v>0</v>
      </c>
      <c r="M26" s="130">
        <f t="shared" si="5"/>
        <v>0</v>
      </c>
    </row>
    <row r="27" spans="1:13" x14ac:dyDescent="0.25">
      <c r="A27" s="81"/>
      <c r="B27" s="92"/>
      <c r="C27" s="92"/>
      <c r="D27" s="93"/>
      <c r="E27" s="81"/>
      <c r="F27" s="92"/>
      <c r="G27" s="92"/>
      <c r="H27" s="92"/>
      <c r="I27" s="128" t="s">
        <v>93</v>
      </c>
      <c r="J27" s="131"/>
      <c r="K27" s="129"/>
      <c r="L27" s="339">
        <f t="shared" si="4"/>
        <v>0</v>
      </c>
      <c r="M27" s="130">
        <f t="shared" si="5"/>
        <v>0</v>
      </c>
    </row>
    <row r="28" spans="1:13" x14ac:dyDescent="0.25">
      <c r="A28" s="81"/>
      <c r="B28" s="92"/>
      <c r="C28" s="92"/>
      <c r="D28" s="93"/>
      <c r="E28" s="92"/>
      <c r="F28" s="81"/>
      <c r="G28" s="92"/>
      <c r="H28" s="92"/>
      <c r="I28" s="128" t="s">
        <v>94</v>
      </c>
      <c r="J28" s="131"/>
      <c r="K28" s="129"/>
      <c r="L28" s="339">
        <f t="shared" si="4"/>
        <v>0</v>
      </c>
      <c r="M28" s="130">
        <f t="shared" si="5"/>
        <v>0</v>
      </c>
    </row>
    <row r="29" spans="1:13" x14ac:dyDescent="0.25">
      <c r="A29" s="81"/>
      <c r="B29" s="92"/>
      <c r="C29" s="92"/>
      <c r="D29" s="92"/>
      <c r="E29" s="92"/>
      <c r="F29" s="81"/>
      <c r="G29" s="92"/>
      <c r="H29" s="92"/>
      <c r="I29" s="128" t="s">
        <v>0</v>
      </c>
      <c r="J29" s="131"/>
      <c r="K29" s="129"/>
      <c r="L29" s="339">
        <f t="shared" si="4"/>
        <v>0</v>
      </c>
      <c r="M29" s="130">
        <f t="shared" si="5"/>
        <v>0</v>
      </c>
    </row>
    <row r="30" spans="1:13" ht="15.75" thickBot="1" x14ac:dyDescent="0.3">
      <c r="A30" s="81"/>
      <c r="B30" s="92"/>
      <c r="C30" s="92"/>
      <c r="D30" s="92"/>
      <c r="E30" s="92"/>
      <c r="F30" s="81"/>
      <c r="G30" s="92"/>
      <c r="H30" s="92"/>
      <c r="I30" s="134" t="s">
        <v>95</v>
      </c>
      <c r="J30" s="135"/>
      <c r="K30" s="136"/>
      <c r="L30" s="339">
        <f t="shared" si="4"/>
        <v>0</v>
      </c>
      <c r="M30" s="137">
        <f t="shared" si="5"/>
        <v>0</v>
      </c>
    </row>
    <row r="31" spans="1:13" ht="15.75" thickBot="1" x14ac:dyDescent="0.3">
      <c r="A31" s="8"/>
      <c r="B31" s="81"/>
      <c r="C31" s="81"/>
      <c r="D31" s="81"/>
      <c r="E31" s="81"/>
      <c r="F31" s="81"/>
      <c r="G31" s="81"/>
      <c r="H31" s="81"/>
      <c r="I31" s="138" t="s">
        <v>36</v>
      </c>
      <c r="J31" s="121">
        <f>SUM(J20:J30)</f>
        <v>281</v>
      </c>
      <c r="K31" s="121">
        <f>SUM(K19:K30)</f>
        <v>0</v>
      </c>
      <c r="L31" s="122">
        <f>SUM(L20:L30)</f>
        <v>281</v>
      </c>
      <c r="M31" s="139">
        <f t="shared" si="5"/>
        <v>0.14050000000000001</v>
      </c>
    </row>
    <row r="32" spans="1:13" x14ac:dyDescent="0.25">
      <c r="A32" s="8"/>
      <c r="B32" s="81"/>
      <c r="C32" s="81"/>
      <c r="D32" s="81"/>
      <c r="E32" s="81"/>
      <c r="F32" s="81"/>
      <c r="G32" s="81"/>
      <c r="H32" s="81"/>
      <c r="I32" s="81"/>
      <c r="J32" s="81"/>
      <c r="K32" s="8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7" workbookViewId="0">
      <selection activeCell="E19" sqref="E19"/>
    </sheetView>
  </sheetViews>
  <sheetFormatPr defaultRowHeight="15" x14ac:dyDescent="0.25"/>
  <cols>
    <col min="1" max="1" width="15.85546875" bestFit="1" customWidth="1"/>
    <col min="2" max="2" width="41.5703125" bestFit="1" customWidth="1"/>
    <col min="3" max="3" width="19.28515625" bestFit="1" customWidth="1"/>
    <col min="4" max="4" width="17.42578125" customWidth="1"/>
    <col min="5" max="5" width="15.7109375" customWidth="1"/>
    <col min="7" max="7" width="11.7109375" customWidth="1"/>
    <col min="8" max="8" width="13.85546875" style="4" bestFit="1" customWidth="1"/>
    <col min="9" max="9" width="2.42578125" customWidth="1"/>
    <col min="10" max="10" width="13.85546875" customWidth="1"/>
    <col min="11" max="11" width="15.140625" customWidth="1"/>
  </cols>
  <sheetData>
    <row r="1" spans="1:11" s="4" customFormat="1" ht="15.75" thickBot="1" x14ac:dyDescent="0.3">
      <c r="A1" s="362" t="s">
        <v>126</v>
      </c>
      <c r="B1" s="362"/>
      <c r="C1" s="362"/>
      <c r="D1" s="229"/>
      <c r="E1" s="229"/>
      <c r="F1" s="229"/>
      <c r="G1" s="229"/>
      <c r="H1" s="229"/>
    </row>
    <row r="2" spans="1:11" ht="15.75" thickBot="1" x14ac:dyDescent="0.3">
      <c r="A2" s="230" t="s">
        <v>65</v>
      </c>
      <c r="B2" s="231" t="s">
        <v>74</v>
      </c>
      <c r="C2" s="231" t="s">
        <v>75</v>
      </c>
      <c r="D2" s="231" t="s">
        <v>78</v>
      </c>
      <c r="E2" s="232" t="s">
        <v>77</v>
      </c>
      <c r="F2" s="233" t="s">
        <v>79</v>
      </c>
      <c r="G2" s="310" t="s">
        <v>100</v>
      </c>
      <c r="H2" s="234" t="s">
        <v>148</v>
      </c>
      <c r="I2" s="229"/>
      <c r="J2" s="249" t="s">
        <v>65</v>
      </c>
      <c r="K2" s="250" t="s">
        <v>98</v>
      </c>
    </row>
    <row r="3" spans="1:11" x14ac:dyDescent="0.25">
      <c r="A3" s="235"/>
      <c r="B3" s="236" t="s">
        <v>129</v>
      </c>
      <c r="C3" s="236"/>
      <c r="D3" s="236"/>
      <c r="E3" s="236">
        <v>51</v>
      </c>
      <c r="F3" s="237">
        <f>E3*0.0005</f>
        <v>2.5500000000000002E-2</v>
      </c>
      <c r="G3" s="311">
        <v>9</v>
      </c>
      <c r="H3" s="238">
        <v>0</v>
      </c>
      <c r="I3" s="229"/>
      <c r="J3" s="235" t="s">
        <v>85</v>
      </c>
      <c r="K3" s="251"/>
    </row>
    <row r="4" spans="1:11" x14ac:dyDescent="0.25">
      <c r="A4" s="239">
        <v>42241</v>
      </c>
      <c r="B4" s="240" t="s">
        <v>128</v>
      </c>
      <c r="C4" s="241" t="s">
        <v>76</v>
      </c>
      <c r="D4" s="241"/>
      <c r="E4" s="241">
        <v>189</v>
      </c>
      <c r="F4" s="237">
        <f t="shared" ref="F4:F34" si="0">E4*0.0005</f>
        <v>9.4500000000000001E-2</v>
      </c>
      <c r="G4" s="312">
        <v>20</v>
      </c>
      <c r="H4" s="242">
        <v>0</v>
      </c>
      <c r="I4" s="229"/>
      <c r="J4" s="243" t="s">
        <v>86</v>
      </c>
      <c r="K4" s="252">
        <f>E4+E3</f>
        <v>240</v>
      </c>
    </row>
    <row r="5" spans="1:11" x14ac:dyDescent="0.25">
      <c r="A5" s="239">
        <v>42250</v>
      </c>
      <c r="B5" s="241" t="s">
        <v>140</v>
      </c>
      <c r="C5" s="241" t="s">
        <v>141</v>
      </c>
      <c r="D5" s="241">
        <v>540</v>
      </c>
      <c r="E5" s="241">
        <v>224</v>
      </c>
      <c r="F5" s="237">
        <f t="shared" si="0"/>
        <v>0.112</v>
      </c>
      <c r="G5" s="312">
        <v>4</v>
      </c>
      <c r="H5" s="242">
        <v>3</v>
      </c>
      <c r="I5" s="229"/>
      <c r="J5" s="243" t="s">
        <v>87</v>
      </c>
      <c r="K5" s="252">
        <f>E5+E6+E7</f>
        <v>259</v>
      </c>
    </row>
    <row r="6" spans="1:11" x14ac:dyDescent="0.25">
      <c r="A6" s="239" t="s">
        <v>142</v>
      </c>
      <c r="B6" s="316" t="s">
        <v>143</v>
      </c>
      <c r="C6" s="241" t="s">
        <v>144</v>
      </c>
      <c r="D6" s="241">
        <v>60</v>
      </c>
      <c r="E6" s="241">
        <v>31</v>
      </c>
      <c r="F6" s="237">
        <f t="shared" si="0"/>
        <v>1.55E-2</v>
      </c>
      <c r="G6" s="312">
        <v>67</v>
      </c>
      <c r="H6" s="242">
        <v>31</v>
      </c>
      <c r="I6" s="229"/>
      <c r="J6" s="243" t="s">
        <v>88</v>
      </c>
      <c r="K6" s="252">
        <v>329</v>
      </c>
    </row>
    <row r="7" spans="1:11" x14ac:dyDescent="0.25">
      <c r="A7" s="239">
        <v>42277</v>
      </c>
      <c r="B7" s="241" t="s">
        <v>147</v>
      </c>
      <c r="C7" s="241" t="s">
        <v>149</v>
      </c>
      <c r="D7" s="241" t="s">
        <v>150</v>
      </c>
      <c r="E7" s="241">
        <v>4</v>
      </c>
      <c r="F7" s="237">
        <f t="shared" si="0"/>
        <v>2E-3</v>
      </c>
      <c r="G7" s="312">
        <v>0</v>
      </c>
      <c r="H7" s="242">
        <v>0</v>
      </c>
      <c r="I7" s="229"/>
      <c r="J7" s="243" t="s">
        <v>89</v>
      </c>
      <c r="K7" s="252">
        <v>27</v>
      </c>
    </row>
    <row r="8" spans="1:11" x14ac:dyDescent="0.25">
      <c r="A8" s="239">
        <v>42297</v>
      </c>
      <c r="B8" s="241" t="s">
        <v>151</v>
      </c>
      <c r="C8" s="241" t="s">
        <v>152</v>
      </c>
      <c r="D8" s="241">
        <v>95</v>
      </c>
      <c r="E8" s="241">
        <v>4</v>
      </c>
      <c r="F8" s="237">
        <f t="shared" si="0"/>
        <v>2E-3</v>
      </c>
      <c r="G8" s="312"/>
      <c r="H8" s="242">
        <v>1</v>
      </c>
      <c r="I8" s="229"/>
      <c r="J8" s="243" t="s">
        <v>90</v>
      </c>
      <c r="K8" s="252">
        <v>0</v>
      </c>
    </row>
    <row r="9" spans="1:11" x14ac:dyDescent="0.25">
      <c r="A9" s="239">
        <v>42298</v>
      </c>
      <c r="B9" s="257" t="s">
        <v>153</v>
      </c>
      <c r="C9" s="241" t="s">
        <v>154</v>
      </c>
      <c r="D9" s="241" t="s">
        <v>155</v>
      </c>
      <c r="E9" s="241">
        <v>325</v>
      </c>
      <c r="F9" s="237">
        <f t="shared" si="0"/>
        <v>0.16250000000000001</v>
      </c>
      <c r="G9" s="312">
        <v>144</v>
      </c>
      <c r="H9" s="242">
        <v>139</v>
      </c>
      <c r="I9" s="229"/>
      <c r="J9" s="243" t="s">
        <v>91</v>
      </c>
      <c r="K9" s="252">
        <v>0</v>
      </c>
    </row>
    <row r="10" spans="1:11" x14ac:dyDescent="0.25">
      <c r="A10" s="239" t="s">
        <v>157</v>
      </c>
      <c r="B10" s="241" t="s">
        <v>156</v>
      </c>
      <c r="C10" s="241" t="s">
        <v>152</v>
      </c>
      <c r="D10" s="241"/>
      <c r="E10" s="241">
        <v>19</v>
      </c>
      <c r="F10" s="237">
        <f t="shared" si="0"/>
        <v>9.4999999999999998E-3</v>
      </c>
      <c r="G10" s="312">
        <v>5</v>
      </c>
      <c r="H10" s="242">
        <v>7</v>
      </c>
      <c r="I10" s="229"/>
      <c r="J10" s="243" t="s">
        <v>92</v>
      </c>
      <c r="K10" s="252">
        <f>E12+E13+E14+E15+E16</f>
        <v>84</v>
      </c>
    </row>
    <row r="11" spans="1:11" x14ac:dyDescent="0.25">
      <c r="A11" s="243" t="s">
        <v>158</v>
      </c>
      <c r="B11" s="241" t="s">
        <v>159</v>
      </c>
      <c r="C11" s="241" t="s">
        <v>152</v>
      </c>
      <c r="D11" s="241"/>
      <c r="E11" s="241">
        <v>8</v>
      </c>
      <c r="F11" s="237">
        <f t="shared" si="0"/>
        <v>4.0000000000000001E-3</v>
      </c>
      <c r="G11" s="312">
        <v>7</v>
      </c>
      <c r="H11" s="242">
        <v>31</v>
      </c>
      <c r="I11" s="229"/>
      <c r="J11" s="243" t="s">
        <v>93</v>
      </c>
      <c r="K11" s="252">
        <f>E17</f>
        <v>183</v>
      </c>
    </row>
    <row r="12" spans="1:11" x14ac:dyDescent="0.25">
      <c r="A12" s="239">
        <v>42407</v>
      </c>
      <c r="B12" s="241" t="s">
        <v>160</v>
      </c>
      <c r="C12" s="241" t="s">
        <v>161</v>
      </c>
      <c r="D12" s="241"/>
      <c r="E12" s="241">
        <v>3</v>
      </c>
      <c r="F12" s="237">
        <f t="shared" si="0"/>
        <v>1.5E-3</v>
      </c>
      <c r="G12" s="312"/>
      <c r="H12" s="242"/>
      <c r="I12" s="229"/>
      <c r="J12" s="243" t="s">
        <v>94</v>
      </c>
      <c r="K12" s="252">
        <v>95</v>
      </c>
    </row>
    <row r="13" spans="1:11" x14ac:dyDescent="0.25">
      <c r="A13" s="239">
        <v>42405</v>
      </c>
      <c r="B13" s="241" t="s">
        <v>162</v>
      </c>
      <c r="C13" s="241" t="s">
        <v>163</v>
      </c>
      <c r="D13" s="241" t="s">
        <v>164</v>
      </c>
      <c r="E13" s="241">
        <v>45</v>
      </c>
      <c r="F13" s="237">
        <f t="shared" si="0"/>
        <v>2.2499999999999999E-2</v>
      </c>
      <c r="G13" s="312">
        <v>9</v>
      </c>
      <c r="H13" s="242"/>
      <c r="I13" s="229"/>
      <c r="J13" s="243" t="s">
        <v>0</v>
      </c>
      <c r="K13" s="252"/>
    </row>
    <row r="14" spans="1:11" ht="15.75" thickBot="1" x14ac:dyDescent="0.3">
      <c r="A14" s="239">
        <v>42423</v>
      </c>
      <c r="B14" s="241" t="s">
        <v>165</v>
      </c>
      <c r="C14" s="241" t="s">
        <v>152</v>
      </c>
      <c r="D14" s="241"/>
      <c r="E14" s="241">
        <v>32</v>
      </c>
      <c r="F14" s="237">
        <f t="shared" si="0"/>
        <v>1.6E-2</v>
      </c>
      <c r="G14" s="312">
        <v>1</v>
      </c>
      <c r="H14" s="242">
        <v>1</v>
      </c>
      <c r="I14" s="229"/>
      <c r="J14" s="253" t="s">
        <v>95</v>
      </c>
      <c r="K14" s="254">
        <v>16</v>
      </c>
    </row>
    <row r="15" spans="1:11" ht="15.75" thickBot="1" x14ac:dyDescent="0.3">
      <c r="A15" s="239">
        <v>42419</v>
      </c>
      <c r="B15" s="241" t="s">
        <v>166</v>
      </c>
      <c r="C15" s="241" t="s">
        <v>152</v>
      </c>
      <c r="D15" s="241"/>
      <c r="E15" s="241">
        <v>2</v>
      </c>
      <c r="F15" s="237">
        <f t="shared" si="0"/>
        <v>1E-3</v>
      </c>
      <c r="G15" s="312">
        <v>2</v>
      </c>
      <c r="H15" s="242">
        <v>1</v>
      </c>
      <c r="I15" s="229"/>
      <c r="J15" s="255" t="s">
        <v>36</v>
      </c>
      <c r="K15" s="256">
        <f>SUM(K3:K14)</f>
        <v>1233</v>
      </c>
    </row>
    <row r="16" spans="1:11" x14ac:dyDescent="0.25">
      <c r="A16" s="239">
        <v>42420</v>
      </c>
      <c r="B16" s="241" t="s">
        <v>166</v>
      </c>
      <c r="C16" s="241" t="s">
        <v>167</v>
      </c>
      <c r="D16" s="241"/>
      <c r="E16" s="241">
        <v>2</v>
      </c>
      <c r="F16" s="237">
        <f t="shared" si="0"/>
        <v>1E-3</v>
      </c>
      <c r="G16" s="312">
        <v>1</v>
      </c>
      <c r="H16" s="242">
        <v>3</v>
      </c>
      <c r="I16" s="229"/>
      <c r="J16" s="229"/>
      <c r="K16" s="229"/>
    </row>
    <row r="17" spans="1:11" x14ac:dyDescent="0.25">
      <c r="A17" s="239">
        <v>42430</v>
      </c>
      <c r="B17" s="241" t="s">
        <v>168</v>
      </c>
      <c r="C17" s="241" t="s">
        <v>163</v>
      </c>
      <c r="D17" s="241" t="s">
        <v>164</v>
      </c>
      <c r="E17" s="241">
        <v>183</v>
      </c>
      <c r="F17" s="237">
        <f t="shared" si="0"/>
        <v>9.1499999999999998E-2</v>
      </c>
      <c r="G17" s="312">
        <v>23</v>
      </c>
      <c r="H17" s="242">
        <v>0</v>
      </c>
      <c r="I17" s="229"/>
      <c r="J17" s="229"/>
      <c r="K17" s="229"/>
    </row>
    <row r="18" spans="1:11" x14ac:dyDescent="0.25">
      <c r="A18" s="239" t="s">
        <v>170</v>
      </c>
      <c r="B18" s="241" t="s">
        <v>171</v>
      </c>
      <c r="C18" s="241" t="s">
        <v>169</v>
      </c>
      <c r="D18" s="241"/>
      <c r="E18" s="241">
        <v>47</v>
      </c>
      <c r="F18" s="237">
        <f t="shared" si="0"/>
        <v>2.35E-2</v>
      </c>
      <c r="G18" s="312">
        <v>0</v>
      </c>
      <c r="H18" s="242">
        <v>0</v>
      </c>
    </row>
    <row r="19" spans="1:11" x14ac:dyDescent="0.25">
      <c r="A19" s="239">
        <v>42476</v>
      </c>
      <c r="B19" s="241" t="s">
        <v>172</v>
      </c>
      <c r="C19" s="241" t="s">
        <v>76</v>
      </c>
      <c r="D19" s="241" t="s">
        <v>155</v>
      </c>
      <c r="E19" s="241">
        <v>94</v>
      </c>
      <c r="F19" s="237">
        <f t="shared" si="0"/>
        <v>4.7E-2</v>
      </c>
      <c r="G19" s="312">
        <v>63</v>
      </c>
      <c r="H19" s="242">
        <v>14</v>
      </c>
    </row>
    <row r="20" spans="1:11" x14ac:dyDescent="0.25">
      <c r="A20" s="239">
        <v>42477</v>
      </c>
      <c r="B20" s="241" t="s">
        <v>173</v>
      </c>
      <c r="C20" s="241" t="s">
        <v>174</v>
      </c>
      <c r="D20" s="241"/>
      <c r="E20" s="241">
        <v>1</v>
      </c>
      <c r="F20" s="237">
        <f t="shared" si="0"/>
        <v>5.0000000000000001E-4</v>
      </c>
      <c r="G20" s="312">
        <v>0</v>
      </c>
      <c r="H20" s="242">
        <v>2</v>
      </c>
    </row>
    <row r="21" spans="1:11" s="4" customFormat="1" x14ac:dyDescent="0.25">
      <c r="A21" s="239">
        <v>42550</v>
      </c>
      <c r="B21" s="241" t="s">
        <v>175</v>
      </c>
      <c r="C21" s="241" t="s">
        <v>28</v>
      </c>
      <c r="D21" s="241">
        <v>400</v>
      </c>
      <c r="E21" s="241">
        <v>16</v>
      </c>
      <c r="F21" s="237">
        <f t="shared" si="0"/>
        <v>8.0000000000000002E-3</v>
      </c>
      <c r="G21" s="312">
        <v>4</v>
      </c>
      <c r="H21" s="242">
        <v>4</v>
      </c>
    </row>
    <row r="22" spans="1:11" s="4" customFormat="1" x14ac:dyDescent="0.25">
      <c r="A22" s="239"/>
      <c r="B22" s="241"/>
      <c r="C22" s="241"/>
      <c r="D22" s="241"/>
      <c r="E22" s="241"/>
      <c r="F22" s="237">
        <f t="shared" si="0"/>
        <v>0</v>
      </c>
      <c r="G22" s="312"/>
      <c r="H22" s="242"/>
    </row>
    <row r="23" spans="1:11" s="317" customFormat="1" x14ac:dyDescent="0.25">
      <c r="A23" s="239"/>
      <c r="B23" s="241"/>
      <c r="C23" s="241"/>
      <c r="D23" s="241"/>
      <c r="E23" s="241"/>
      <c r="F23" s="237">
        <f t="shared" si="0"/>
        <v>0</v>
      </c>
      <c r="G23" s="312"/>
      <c r="H23" s="242"/>
    </row>
    <row r="24" spans="1:11" s="317" customFormat="1" x14ac:dyDescent="0.25">
      <c r="A24" s="239"/>
      <c r="B24" s="241"/>
      <c r="C24" s="241"/>
      <c r="D24" s="241"/>
      <c r="E24" s="241"/>
      <c r="F24" s="237">
        <f t="shared" si="0"/>
        <v>0</v>
      </c>
      <c r="G24" s="312"/>
      <c r="H24" s="242"/>
    </row>
    <row r="25" spans="1:11" s="4" customFormat="1" x14ac:dyDescent="0.25">
      <c r="A25" s="239"/>
      <c r="B25" s="241"/>
      <c r="C25" s="241"/>
      <c r="D25" s="241"/>
      <c r="E25" s="241"/>
      <c r="F25" s="237">
        <f t="shared" si="0"/>
        <v>0</v>
      </c>
      <c r="G25" s="312"/>
      <c r="H25" s="242"/>
    </row>
    <row r="26" spans="1:11" x14ac:dyDescent="0.25">
      <c r="A26" s="243"/>
      <c r="B26" s="241"/>
      <c r="C26" s="241"/>
      <c r="D26" s="241"/>
      <c r="E26" s="241"/>
      <c r="F26" s="237">
        <f t="shared" si="0"/>
        <v>0</v>
      </c>
      <c r="G26" s="312"/>
      <c r="H26" s="242"/>
    </row>
    <row r="27" spans="1:11" s="4" customFormat="1" x14ac:dyDescent="0.25">
      <c r="A27" s="243"/>
      <c r="B27" s="241"/>
      <c r="C27" s="241"/>
      <c r="D27" s="241"/>
      <c r="E27" s="241"/>
      <c r="F27" s="237">
        <f t="shared" si="0"/>
        <v>0</v>
      </c>
      <c r="G27" s="312"/>
      <c r="H27" s="242"/>
    </row>
    <row r="28" spans="1:11" s="4" customFormat="1" x14ac:dyDescent="0.25">
      <c r="A28" s="243"/>
      <c r="B28" s="241"/>
      <c r="C28" s="241"/>
      <c r="D28" s="241"/>
      <c r="E28" s="241"/>
      <c r="F28" s="237">
        <f t="shared" si="0"/>
        <v>0</v>
      </c>
      <c r="G28" s="312"/>
      <c r="H28" s="242"/>
    </row>
    <row r="29" spans="1:11" x14ac:dyDescent="0.25">
      <c r="A29" s="243"/>
      <c r="B29" s="241"/>
      <c r="C29" s="241"/>
      <c r="D29" s="241"/>
      <c r="E29" s="241"/>
      <c r="F29" s="237">
        <f t="shared" si="0"/>
        <v>0</v>
      </c>
      <c r="G29" s="312"/>
      <c r="H29" s="242"/>
    </row>
    <row r="30" spans="1:11" s="4" customFormat="1" x14ac:dyDescent="0.25">
      <c r="A30" s="243"/>
      <c r="B30" s="241"/>
      <c r="C30" s="241"/>
      <c r="D30" s="241"/>
      <c r="E30" s="241"/>
      <c r="F30" s="237">
        <f t="shared" si="0"/>
        <v>0</v>
      </c>
      <c r="G30" s="312"/>
      <c r="H30" s="242"/>
    </row>
    <row r="31" spans="1:11" s="4" customFormat="1" x14ac:dyDescent="0.25">
      <c r="A31" s="243"/>
      <c r="B31" s="241"/>
      <c r="C31" s="241"/>
      <c r="D31" s="241"/>
      <c r="E31" s="241"/>
      <c r="F31" s="237">
        <f t="shared" si="0"/>
        <v>0</v>
      </c>
      <c r="G31" s="312"/>
      <c r="H31" s="242"/>
    </row>
    <row r="32" spans="1:11" s="4" customFormat="1" x14ac:dyDescent="0.25">
      <c r="A32" s="243"/>
      <c r="B32" s="241"/>
      <c r="C32" s="241"/>
      <c r="D32" s="241"/>
      <c r="E32" s="241"/>
      <c r="F32" s="237">
        <f t="shared" si="0"/>
        <v>0</v>
      </c>
      <c r="G32" s="312"/>
      <c r="H32" s="242"/>
    </row>
    <row r="33" spans="1:8" x14ac:dyDescent="0.25">
      <c r="A33" s="243"/>
      <c r="B33" s="241"/>
      <c r="C33" s="241"/>
      <c r="D33" s="241"/>
      <c r="E33" s="241"/>
      <c r="F33" s="237">
        <f t="shared" si="0"/>
        <v>0</v>
      </c>
      <c r="G33" s="312"/>
      <c r="H33" s="242"/>
    </row>
    <row r="34" spans="1:8" ht="15.75" thickBot="1" x14ac:dyDescent="0.3">
      <c r="A34" s="244"/>
      <c r="B34" s="245"/>
      <c r="C34" s="245"/>
      <c r="D34" s="245"/>
      <c r="E34" s="245"/>
      <c r="F34" s="246">
        <f t="shared" si="0"/>
        <v>0</v>
      </c>
      <c r="G34" s="313"/>
      <c r="H34" s="242"/>
    </row>
    <row r="35" spans="1:8" ht="15.75" thickBot="1" x14ac:dyDescent="0.3">
      <c r="A35" s="230" t="s">
        <v>80</v>
      </c>
      <c r="B35" s="247"/>
      <c r="C35" s="247"/>
      <c r="D35" s="231">
        <f>SUM(D3:D34)</f>
        <v>1095</v>
      </c>
      <c r="E35" s="231">
        <f>SUM(E3:E34)</f>
        <v>1280</v>
      </c>
      <c r="F35" s="248">
        <f>SUM(F3:F34)</f>
        <v>0.64</v>
      </c>
      <c r="G35" s="314">
        <f>SUM(G4:G34)</f>
        <v>350</v>
      </c>
      <c r="H35" s="315">
        <f>SUM(H3:H34)</f>
        <v>237</v>
      </c>
    </row>
    <row r="36" spans="1:8" x14ac:dyDescent="0.25">
      <c r="G36" s="5"/>
      <c r="H36" s="5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E11" sqref="E11"/>
    </sheetView>
  </sheetViews>
  <sheetFormatPr defaultColWidth="9.140625" defaultRowHeight="15" x14ac:dyDescent="0.25"/>
  <cols>
    <col min="1" max="1" width="12.5703125" style="28" customWidth="1"/>
    <col min="2" max="2" width="22.85546875" style="28" customWidth="1"/>
    <col min="3" max="3" width="18.140625" style="28" customWidth="1"/>
    <col min="4" max="4" width="17.5703125" style="28" customWidth="1"/>
    <col min="5" max="5" width="12.42578125" style="28" customWidth="1"/>
    <col min="6" max="6" width="16.85546875" style="207" customWidth="1"/>
    <col min="7" max="7" width="19.28515625" style="28" customWidth="1"/>
    <col min="8" max="8" width="5.7109375" style="28" customWidth="1"/>
    <col min="9" max="9" width="15" style="28" customWidth="1"/>
    <col min="10" max="10" width="16.5703125" style="28" customWidth="1"/>
    <col min="11" max="11" width="16.85546875" style="28" customWidth="1"/>
    <col min="12" max="16384" width="9.140625" style="28"/>
  </cols>
  <sheetData>
    <row r="1" spans="1:11" ht="15.75" thickBot="1" x14ac:dyDescent="0.3">
      <c r="A1" s="208" t="s">
        <v>65</v>
      </c>
      <c r="B1" s="208" t="s">
        <v>66</v>
      </c>
      <c r="C1" s="208" t="s">
        <v>67</v>
      </c>
      <c r="D1" s="209" t="s">
        <v>68</v>
      </c>
      <c r="E1" s="209" t="s">
        <v>69</v>
      </c>
      <c r="F1" s="210" t="s">
        <v>70</v>
      </c>
      <c r="G1" s="12" t="s">
        <v>71</v>
      </c>
      <c r="I1" s="44" t="s">
        <v>127</v>
      </c>
    </row>
    <row r="2" spans="1:11" ht="15.75" thickBot="1" x14ac:dyDescent="0.3">
      <c r="A2" s="211"/>
      <c r="B2" s="14"/>
      <c r="C2" s="217"/>
      <c r="D2" s="221"/>
      <c r="E2" s="222">
        <f>D2*0.0005</f>
        <v>0</v>
      </c>
      <c r="F2" s="226"/>
      <c r="G2" s="223"/>
      <c r="I2" s="1" t="s">
        <v>65</v>
      </c>
      <c r="J2" s="1" t="s">
        <v>68</v>
      </c>
      <c r="K2" s="45" t="s">
        <v>101</v>
      </c>
    </row>
    <row r="3" spans="1:11" ht="15.75" thickBot="1" x14ac:dyDescent="0.3">
      <c r="A3" s="212"/>
      <c r="B3" s="16"/>
      <c r="C3" s="218"/>
      <c r="D3" s="39"/>
      <c r="E3" s="197">
        <f t="shared" ref="E3:E14" si="0">D3*0.0005</f>
        <v>0</v>
      </c>
      <c r="F3" s="227"/>
      <c r="G3" s="48"/>
      <c r="I3" s="40">
        <v>41834</v>
      </c>
      <c r="J3" s="46"/>
      <c r="K3" s="47"/>
    </row>
    <row r="4" spans="1:11" x14ac:dyDescent="0.25">
      <c r="A4" s="212"/>
      <c r="B4" s="16"/>
      <c r="C4" s="218"/>
      <c r="D4" s="39"/>
      <c r="E4" s="222">
        <f t="shared" si="0"/>
        <v>0</v>
      </c>
      <c r="F4" s="227"/>
      <c r="G4" s="48"/>
      <c r="I4" s="42">
        <v>41865</v>
      </c>
      <c r="J4" s="39"/>
      <c r="K4" s="41"/>
    </row>
    <row r="5" spans="1:11" ht="15.75" thickBot="1" x14ac:dyDescent="0.3">
      <c r="A5" s="212"/>
      <c r="B5" s="16"/>
      <c r="C5" s="218"/>
      <c r="D5" s="39"/>
      <c r="E5" s="197">
        <f t="shared" si="0"/>
        <v>0</v>
      </c>
      <c r="F5" s="227"/>
      <c r="G5" s="48"/>
      <c r="I5" s="40">
        <v>41896</v>
      </c>
      <c r="J5" s="39"/>
      <c r="K5" s="41"/>
    </row>
    <row r="6" spans="1:11" x14ac:dyDescent="0.25">
      <c r="A6" s="212"/>
      <c r="B6" s="16"/>
      <c r="C6" s="218"/>
      <c r="D6" s="39"/>
      <c r="E6" s="222">
        <f t="shared" si="0"/>
        <v>0</v>
      </c>
      <c r="F6" s="227"/>
      <c r="G6" s="48"/>
      <c r="I6" s="42">
        <v>41926</v>
      </c>
      <c r="J6" s="39"/>
      <c r="K6" s="41"/>
    </row>
    <row r="7" spans="1:11" ht="15.75" thickBot="1" x14ac:dyDescent="0.3">
      <c r="A7" s="212"/>
      <c r="B7" s="16"/>
      <c r="C7" s="218"/>
      <c r="D7" s="39"/>
      <c r="E7" s="197">
        <f t="shared" si="0"/>
        <v>0</v>
      </c>
      <c r="F7" s="227"/>
      <c r="G7" s="48"/>
      <c r="I7" s="40">
        <v>41957</v>
      </c>
      <c r="J7" s="39"/>
      <c r="K7" s="41"/>
    </row>
    <row r="8" spans="1:11" x14ac:dyDescent="0.25">
      <c r="A8" s="212"/>
      <c r="B8" s="16"/>
      <c r="C8" s="218"/>
      <c r="D8" s="39"/>
      <c r="E8" s="222">
        <f t="shared" si="0"/>
        <v>0</v>
      </c>
      <c r="F8" s="227"/>
      <c r="G8" s="48"/>
      <c r="I8" s="42">
        <v>41987</v>
      </c>
      <c r="J8" s="39"/>
      <c r="K8" s="41"/>
    </row>
    <row r="9" spans="1:11" ht="15.75" thickBot="1" x14ac:dyDescent="0.3">
      <c r="A9" s="212"/>
      <c r="B9" s="16"/>
      <c r="C9" s="218"/>
      <c r="D9" s="39"/>
      <c r="E9" s="197">
        <f t="shared" si="0"/>
        <v>0</v>
      </c>
      <c r="F9" s="227"/>
      <c r="G9" s="48"/>
      <c r="I9" s="42">
        <v>42005</v>
      </c>
      <c r="J9" s="16"/>
      <c r="K9" s="48"/>
    </row>
    <row r="10" spans="1:11" x14ac:dyDescent="0.25">
      <c r="A10" s="212"/>
      <c r="B10" s="16"/>
      <c r="C10" s="218"/>
      <c r="D10" s="39"/>
      <c r="E10" s="222">
        <f t="shared" si="0"/>
        <v>0</v>
      </c>
      <c r="F10" s="227"/>
      <c r="G10" s="48"/>
      <c r="I10" s="42">
        <v>42036</v>
      </c>
      <c r="J10" s="16"/>
      <c r="K10" s="48"/>
    </row>
    <row r="11" spans="1:11" ht="15.75" thickBot="1" x14ac:dyDescent="0.3">
      <c r="A11" s="212"/>
      <c r="B11" s="16"/>
      <c r="C11" s="218"/>
      <c r="D11" s="39"/>
      <c r="E11" s="197">
        <f t="shared" si="0"/>
        <v>0</v>
      </c>
      <c r="F11" s="227"/>
      <c r="G11" s="48"/>
      <c r="I11" s="42">
        <v>42064</v>
      </c>
      <c r="J11" s="16"/>
      <c r="K11" s="48"/>
    </row>
    <row r="12" spans="1:11" x14ac:dyDescent="0.25">
      <c r="A12" s="212"/>
      <c r="B12" s="16"/>
      <c r="C12" s="218"/>
      <c r="D12" s="39"/>
      <c r="E12" s="222">
        <f t="shared" si="0"/>
        <v>0</v>
      </c>
      <c r="F12" s="227"/>
      <c r="G12" s="48"/>
      <c r="I12" s="42">
        <v>42095</v>
      </c>
      <c r="J12" s="16"/>
      <c r="K12" s="48"/>
    </row>
    <row r="13" spans="1:11" ht="15.75" thickBot="1" x14ac:dyDescent="0.3">
      <c r="A13" s="212"/>
      <c r="B13" s="16"/>
      <c r="C13" s="218"/>
      <c r="D13" s="39"/>
      <c r="E13" s="197">
        <f t="shared" si="0"/>
        <v>0</v>
      </c>
      <c r="F13" s="227"/>
      <c r="G13" s="48"/>
      <c r="I13" s="42">
        <v>42125</v>
      </c>
      <c r="J13" s="16"/>
      <c r="K13" s="48"/>
    </row>
    <row r="14" spans="1:11" s="118" customFormat="1" ht="15.75" thickBot="1" x14ac:dyDescent="0.3">
      <c r="A14" s="213"/>
      <c r="B14" s="215"/>
      <c r="C14" s="219"/>
      <c r="D14" s="215"/>
      <c r="E14" s="222">
        <f t="shared" si="0"/>
        <v>0</v>
      </c>
      <c r="F14" s="228"/>
      <c r="G14" s="224"/>
      <c r="I14" s="204">
        <v>42156</v>
      </c>
      <c r="J14" s="204"/>
      <c r="K14" s="205"/>
    </row>
    <row r="15" spans="1:11" ht="15.75" thickBot="1" x14ac:dyDescent="0.3">
      <c r="A15" s="214" t="s">
        <v>36</v>
      </c>
      <c r="B15" s="216"/>
      <c r="C15" s="220">
        <f>SUM(C2:C14)</f>
        <v>0</v>
      </c>
      <c r="D15" s="57">
        <f>SUM(D2:D14)</f>
        <v>0</v>
      </c>
      <c r="E15" s="202">
        <f>SUM(E2:E14)</f>
        <v>0</v>
      </c>
      <c r="F15" s="206">
        <f>SUM(F2:F14)</f>
        <v>0</v>
      </c>
      <c r="G15" s="225"/>
      <c r="I15" s="56">
        <v>42186</v>
      </c>
      <c r="J15" s="17"/>
      <c r="K15" s="55"/>
    </row>
    <row r="16" spans="1:11" ht="15.75" thickBot="1" x14ac:dyDescent="0.3">
      <c r="A16" s="43"/>
      <c r="B16" s="26"/>
      <c r="C16" s="26"/>
      <c r="G16" s="50"/>
      <c r="I16" s="1" t="s">
        <v>36</v>
      </c>
      <c r="J16" s="57">
        <f>SUM(J3:J15)</f>
        <v>0</v>
      </c>
      <c r="K16" s="54">
        <f>SUM(K3:K15)</f>
        <v>0</v>
      </c>
    </row>
    <row r="17" spans="1:11" x14ac:dyDescent="0.25">
      <c r="A17" s="43"/>
      <c r="B17" s="26"/>
      <c r="C17" s="26"/>
    </row>
    <row r="18" spans="1:11" x14ac:dyDescent="0.25">
      <c r="A18" s="43"/>
      <c r="B18" s="26"/>
      <c r="C18" s="26"/>
      <c r="I18" s="61" t="s">
        <v>121</v>
      </c>
      <c r="J18" s="26"/>
      <c r="K18" s="26"/>
    </row>
    <row r="19" spans="1:11" x14ac:dyDescent="0.25">
      <c r="A19" s="43"/>
      <c r="B19" s="26"/>
      <c r="C19" s="26"/>
      <c r="I19" s="61"/>
      <c r="J19" s="61"/>
      <c r="K19" s="61"/>
    </row>
    <row r="20" spans="1:11" x14ac:dyDescent="0.25">
      <c r="A20" s="43"/>
      <c r="B20" s="26"/>
      <c r="C20" s="26"/>
      <c r="I20" s="43"/>
      <c r="J20" s="26"/>
      <c r="K20" s="26"/>
    </row>
    <row r="21" spans="1:11" x14ac:dyDescent="0.25">
      <c r="A21" s="43"/>
      <c r="B21" s="26"/>
      <c r="C21" s="26"/>
      <c r="I21" s="43"/>
      <c r="J21" s="26"/>
      <c r="K21" s="26"/>
    </row>
    <row r="22" spans="1:11" x14ac:dyDescent="0.25">
      <c r="A22" s="43"/>
      <c r="B22" s="26"/>
      <c r="C22" s="26"/>
      <c r="I22" s="43"/>
      <c r="J22" s="26"/>
      <c r="K22" s="26"/>
    </row>
    <row r="23" spans="1:11" x14ac:dyDescent="0.25">
      <c r="A23" s="43"/>
      <c r="B23" s="38"/>
      <c r="C23" s="49"/>
      <c r="I23" s="43"/>
      <c r="J23" s="26"/>
      <c r="K23" s="26"/>
    </row>
    <row r="24" spans="1:11" x14ac:dyDescent="0.25">
      <c r="A24" s="43"/>
      <c r="B24" s="38"/>
      <c r="C24" s="49"/>
      <c r="I24" s="43"/>
      <c r="J24" s="26"/>
      <c r="K24" s="26"/>
    </row>
    <row r="25" spans="1:11" x14ac:dyDescent="0.25">
      <c r="I25" s="43"/>
      <c r="J25" s="26"/>
      <c r="K25" s="26"/>
    </row>
    <row r="26" spans="1:11" x14ac:dyDescent="0.25">
      <c r="I26" s="43"/>
      <c r="J26" s="26"/>
      <c r="K26" s="26"/>
    </row>
    <row r="27" spans="1:11" x14ac:dyDescent="0.25">
      <c r="I27" s="43"/>
      <c r="J27" s="26"/>
      <c r="K27" s="26"/>
    </row>
    <row r="28" spans="1:11" x14ac:dyDescent="0.25">
      <c r="I28" s="43"/>
      <c r="J28" s="26"/>
      <c r="K28" s="26"/>
    </row>
    <row r="29" spans="1:11" x14ac:dyDescent="0.25">
      <c r="I29" s="43"/>
      <c r="J29" s="26"/>
      <c r="K29" s="26"/>
    </row>
    <row r="30" spans="1:11" x14ac:dyDescent="0.25">
      <c r="I30" s="43"/>
      <c r="J30" s="38"/>
      <c r="K30" s="49"/>
    </row>
    <row r="31" spans="1:11" x14ac:dyDescent="0.25">
      <c r="I31" s="43"/>
      <c r="J31" s="38"/>
      <c r="K31" s="49"/>
    </row>
    <row r="32" spans="1:11" x14ac:dyDescent="0.25">
      <c r="I32" s="61"/>
      <c r="J32" s="61"/>
      <c r="K32" s="61"/>
    </row>
    <row r="38" spans="9:9" x14ac:dyDescent="0.25">
      <c r="I38" s="5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B6" sqref="B6"/>
    </sheetView>
  </sheetViews>
  <sheetFormatPr defaultRowHeight="15" x14ac:dyDescent="0.25"/>
  <cols>
    <col min="1" max="1" width="21.85546875" customWidth="1"/>
    <col min="2" max="2" width="21" customWidth="1"/>
    <col min="3" max="3" width="22.140625" customWidth="1"/>
    <col min="4" max="4" width="22.7109375" customWidth="1"/>
    <col min="5" max="5" width="23.140625" customWidth="1"/>
    <col min="6" max="6" width="21.85546875" customWidth="1"/>
    <col min="7" max="8" width="21" bestFit="1" customWidth="1"/>
    <col min="9" max="9" width="15" customWidth="1"/>
    <col min="10" max="10" width="16.7109375" customWidth="1"/>
  </cols>
  <sheetData>
    <row r="1" spans="1:11" s="4" customFormat="1" x14ac:dyDescent="0.25"/>
    <row r="2" spans="1:11" ht="15.75" customHeight="1" x14ac:dyDescent="0.25">
      <c r="B2" s="141"/>
      <c r="C2" s="364" t="s">
        <v>145</v>
      </c>
      <c r="D2" s="364"/>
      <c r="E2" s="364"/>
      <c r="H2" s="363"/>
      <c r="I2" s="363"/>
      <c r="J2" s="363"/>
      <c r="K2" s="72"/>
    </row>
    <row r="3" spans="1:11" s="4" customFormat="1" ht="15.75" customHeight="1" thickBot="1" x14ac:dyDescent="0.3">
      <c r="A3" s="141"/>
      <c r="B3" s="79"/>
      <c r="C3" s="79"/>
      <c r="D3" s="79"/>
      <c r="H3" s="78"/>
      <c r="I3" s="78"/>
      <c r="J3" s="78"/>
      <c r="K3" s="72"/>
    </row>
    <row r="4" spans="1:11" ht="15.75" thickBot="1" x14ac:dyDescent="0.3">
      <c r="C4" s="18" t="s">
        <v>65</v>
      </c>
      <c r="D4" s="326">
        <v>42262</v>
      </c>
      <c r="E4" s="346">
        <v>42331</v>
      </c>
      <c r="F4" s="348">
        <v>42408</v>
      </c>
      <c r="G4" s="33"/>
      <c r="H4" s="33"/>
      <c r="J4" s="72"/>
    </row>
    <row r="5" spans="1:11" ht="15.75" thickBot="1" x14ac:dyDescent="0.3">
      <c r="C5" s="188" t="s">
        <v>113</v>
      </c>
      <c r="D5" s="189" t="s">
        <v>109</v>
      </c>
      <c r="E5" s="1" t="s">
        <v>109</v>
      </c>
      <c r="F5" s="208" t="s">
        <v>109</v>
      </c>
      <c r="G5" s="208" t="s">
        <v>109</v>
      </c>
      <c r="H5" s="208" t="s">
        <v>109</v>
      </c>
    </row>
    <row r="6" spans="1:11" x14ac:dyDescent="0.25">
      <c r="C6" s="190" t="s">
        <v>106</v>
      </c>
      <c r="D6" s="327">
        <v>924000</v>
      </c>
      <c r="E6" s="191">
        <v>990900</v>
      </c>
      <c r="F6" s="259">
        <v>1073560</v>
      </c>
      <c r="G6" s="259"/>
      <c r="H6" s="259"/>
    </row>
    <row r="7" spans="1:11" x14ac:dyDescent="0.25">
      <c r="C7" s="192" t="s">
        <v>5</v>
      </c>
      <c r="D7" s="328">
        <v>0</v>
      </c>
      <c r="E7" s="192">
        <v>44520</v>
      </c>
      <c r="F7" s="260">
        <v>88960</v>
      </c>
      <c r="G7" s="260"/>
      <c r="H7" s="260"/>
    </row>
    <row r="8" spans="1:11" x14ac:dyDescent="0.25">
      <c r="C8" s="192" t="s">
        <v>107</v>
      </c>
      <c r="D8" s="192">
        <v>0</v>
      </c>
      <c r="E8" s="192">
        <v>125</v>
      </c>
      <c r="F8" s="260">
        <v>678</v>
      </c>
      <c r="G8" s="260"/>
      <c r="H8" s="260"/>
    </row>
    <row r="9" spans="1:11" x14ac:dyDescent="0.25">
      <c r="C9" s="192" t="s">
        <v>4</v>
      </c>
      <c r="D9" s="192">
        <v>0</v>
      </c>
      <c r="E9" s="192">
        <v>375</v>
      </c>
      <c r="F9" s="260">
        <v>2239</v>
      </c>
      <c r="G9" s="260"/>
      <c r="H9" s="260"/>
    </row>
    <row r="10" spans="1:11" s="4" customFormat="1" x14ac:dyDescent="0.25">
      <c r="C10" s="192" t="s">
        <v>112</v>
      </c>
      <c r="D10" s="192">
        <v>0</v>
      </c>
      <c r="E10" s="192">
        <v>120</v>
      </c>
      <c r="F10" s="261">
        <v>451</v>
      </c>
      <c r="G10" s="261"/>
      <c r="H10" s="261"/>
    </row>
    <row r="11" spans="1:11" s="4" customFormat="1" ht="15.75" thickBot="1" x14ac:dyDescent="0.3">
      <c r="C11" s="193" t="s">
        <v>108</v>
      </c>
      <c r="D11" s="194">
        <v>0</v>
      </c>
      <c r="E11" s="194">
        <v>50</v>
      </c>
      <c r="F11" s="262">
        <v>180</v>
      </c>
      <c r="G11" s="262"/>
      <c r="H11" s="262"/>
    </row>
    <row r="12" spans="1:11" ht="15.75" thickBot="1" x14ac:dyDescent="0.3">
      <c r="C12" s="1" t="s">
        <v>116</v>
      </c>
      <c r="D12" s="195">
        <f>SUM(D6:D11)</f>
        <v>924000</v>
      </c>
      <c r="E12" s="258">
        <f>SUM(E6:E11)</f>
        <v>1036090</v>
      </c>
      <c r="F12" s="263">
        <f>SUM(F6:F11)</f>
        <v>1166068</v>
      </c>
      <c r="G12" s="263">
        <f>SUM(G6:G11)</f>
        <v>0</v>
      </c>
      <c r="H12" s="263">
        <f>SUM(H6:H11)</f>
        <v>0</v>
      </c>
    </row>
    <row r="13" spans="1:11" x14ac:dyDescent="0.25">
      <c r="A13" s="7"/>
      <c r="B13" s="7"/>
    </row>
    <row r="14" spans="1:11" s="4" customFormat="1" x14ac:dyDescent="0.25">
      <c r="A14" s="364" t="s">
        <v>181</v>
      </c>
      <c r="B14" s="364"/>
      <c r="C14" s="364"/>
      <c r="D14" s="364"/>
      <c r="E14" s="364"/>
      <c r="F14" s="364"/>
      <c r="G14" s="364"/>
      <c r="H14" s="364"/>
    </row>
    <row r="15" spans="1:11" ht="15.75" thickBot="1" x14ac:dyDescent="0.3">
      <c r="A15" s="7"/>
      <c r="B15" s="7"/>
    </row>
    <row r="16" spans="1:11" ht="15.75" thickBot="1" x14ac:dyDescent="0.3">
      <c r="A16" s="1" t="s">
        <v>117</v>
      </c>
      <c r="B16" s="309" t="s">
        <v>106</v>
      </c>
      <c r="C16" s="1" t="s">
        <v>5</v>
      </c>
      <c r="D16" s="309" t="s">
        <v>118</v>
      </c>
      <c r="E16" s="1" t="s">
        <v>4</v>
      </c>
      <c r="F16" s="309" t="s">
        <v>119</v>
      </c>
      <c r="G16" s="1" t="s">
        <v>108</v>
      </c>
      <c r="H16" s="33" t="s">
        <v>120</v>
      </c>
      <c r="I16" s="198"/>
    </row>
    <row r="17" spans="1:9" x14ac:dyDescent="0.25">
      <c r="A17" s="164" t="s">
        <v>85</v>
      </c>
      <c r="B17" s="196">
        <v>0</v>
      </c>
      <c r="C17" s="333">
        <v>0</v>
      </c>
      <c r="D17" s="196">
        <v>0</v>
      </c>
      <c r="E17" s="333">
        <v>0</v>
      </c>
      <c r="F17" s="196">
        <v>0</v>
      </c>
      <c r="G17" s="14">
        <v>0</v>
      </c>
      <c r="H17" s="164">
        <f>SUM(B17:G17)</f>
        <v>0</v>
      </c>
      <c r="I17" s="26"/>
    </row>
    <row r="18" spans="1:9" x14ac:dyDescent="0.25">
      <c r="A18" s="329" t="s">
        <v>146</v>
      </c>
      <c r="B18" s="330">
        <v>0</v>
      </c>
      <c r="C18" s="16">
        <v>0</v>
      </c>
      <c r="D18" s="197">
        <v>0</v>
      </c>
      <c r="E18" s="16">
        <v>0</v>
      </c>
      <c r="F18" s="197">
        <v>0</v>
      </c>
      <c r="G18" s="16">
        <v>0</v>
      </c>
      <c r="H18" s="164">
        <f t="shared" ref="H18:H29" si="0">SUM(B18:G18)</f>
        <v>0</v>
      </c>
      <c r="I18" s="26"/>
    </row>
    <row r="19" spans="1:9" x14ac:dyDescent="0.25">
      <c r="A19" s="169" t="s">
        <v>87</v>
      </c>
      <c r="B19" s="197">
        <v>924000</v>
      </c>
      <c r="C19" s="16">
        <v>0</v>
      </c>
      <c r="D19" s="197">
        <v>0</v>
      </c>
      <c r="E19" s="16">
        <v>0</v>
      </c>
      <c r="F19" s="197">
        <v>0</v>
      </c>
      <c r="G19" s="16">
        <v>0</v>
      </c>
      <c r="H19" s="164">
        <f t="shared" si="0"/>
        <v>924000</v>
      </c>
      <c r="I19" s="343"/>
    </row>
    <row r="20" spans="1:9" x14ac:dyDescent="0.25">
      <c r="A20" s="169" t="s">
        <v>88</v>
      </c>
      <c r="B20" s="197">
        <v>0</v>
      </c>
      <c r="C20" s="16">
        <v>0</v>
      </c>
      <c r="D20" s="197">
        <v>0</v>
      </c>
      <c r="E20" s="16">
        <v>0</v>
      </c>
      <c r="F20" s="197">
        <v>0</v>
      </c>
      <c r="G20" s="16">
        <v>0</v>
      </c>
      <c r="H20" s="164">
        <f t="shared" si="0"/>
        <v>0</v>
      </c>
      <c r="I20" s="26"/>
    </row>
    <row r="21" spans="1:9" x14ac:dyDescent="0.25">
      <c r="A21" s="329" t="s">
        <v>89</v>
      </c>
      <c r="B21" s="197">
        <v>66900</v>
      </c>
      <c r="C21" s="16">
        <v>44520</v>
      </c>
      <c r="D21" s="197">
        <v>125</v>
      </c>
      <c r="E21" s="16">
        <v>375</v>
      </c>
      <c r="F21" s="197">
        <v>120</v>
      </c>
      <c r="G21" s="16">
        <v>50</v>
      </c>
      <c r="H21" s="164">
        <f t="shared" si="0"/>
        <v>112090</v>
      </c>
      <c r="I21" s="26"/>
    </row>
    <row r="22" spans="1:9" x14ac:dyDescent="0.25">
      <c r="A22" s="169" t="s">
        <v>90</v>
      </c>
      <c r="B22" s="218">
        <v>0</v>
      </c>
      <c r="C22" s="16">
        <v>0</v>
      </c>
      <c r="D22" s="197">
        <v>0</v>
      </c>
      <c r="E22" s="16">
        <v>0</v>
      </c>
      <c r="F22" s="197">
        <v>0</v>
      </c>
      <c r="G22" s="16">
        <v>0</v>
      </c>
      <c r="H22" s="164">
        <f t="shared" si="0"/>
        <v>0</v>
      </c>
      <c r="I22" s="26"/>
    </row>
    <row r="23" spans="1:9" x14ac:dyDescent="0.25">
      <c r="A23" s="169" t="s">
        <v>91</v>
      </c>
      <c r="B23" s="197">
        <v>0</v>
      </c>
      <c r="C23" s="16">
        <v>0</v>
      </c>
      <c r="D23" s="197">
        <v>0</v>
      </c>
      <c r="E23" s="16">
        <v>0</v>
      </c>
      <c r="F23" s="197">
        <v>0</v>
      </c>
      <c r="G23" s="16">
        <v>0</v>
      </c>
      <c r="H23" s="164">
        <f>SUM(B23:G23)</f>
        <v>0</v>
      </c>
      <c r="I23" s="26"/>
    </row>
    <row r="24" spans="1:9" x14ac:dyDescent="0.25">
      <c r="A24" s="329" t="s">
        <v>92</v>
      </c>
      <c r="B24" s="197">
        <f>F6-E6</f>
        <v>82660</v>
      </c>
      <c r="C24" s="16">
        <f>F7-E7</f>
        <v>44440</v>
      </c>
      <c r="D24" s="197">
        <f>F8-E8</f>
        <v>553</v>
      </c>
      <c r="E24" s="16">
        <f>F9-E9</f>
        <v>1864</v>
      </c>
      <c r="F24" s="197">
        <f>F10-E10</f>
        <v>331</v>
      </c>
      <c r="G24" s="16">
        <f>F11-E11</f>
        <v>130</v>
      </c>
      <c r="H24" s="164">
        <f t="shared" si="0"/>
        <v>129978</v>
      </c>
      <c r="I24" s="26"/>
    </row>
    <row r="25" spans="1:9" x14ac:dyDescent="0.25">
      <c r="A25" s="169" t="s">
        <v>93</v>
      </c>
      <c r="B25" s="197"/>
      <c r="C25" s="16"/>
      <c r="D25" s="197"/>
      <c r="E25" s="16"/>
      <c r="F25" s="197"/>
      <c r="G25" s="16"/>
      <c r="H25" s="164">
        <f t="shared" si="0"/>
        <v>0</v>
      </c>
      <c r="I25" s="26"/>
    </row>
    <row r="26" spans="1:9" x14ac:dyDescent="0.25">
      <c r="A26" s="169" t="s">
        <v>94</v>
      </c>
      <c r="B26" s="331"/>
      <c r="C26" s="334"/>
      <c r="D26" s="331"/>
      <c r="E26" s="334"/>
      <c r="F26" s="331"/>
      <c r="G26" s="334"/>
      <c r="H26" s="164">
        <f t="shared" si="0"/>
        <v>0</v>
      </c>
      <c r="I26" s="26"/>
    </row>
    <row r="27" spans="1:9" x14ac:dyDescent="0.25">
      <c r="A27" s="329" t="s">
        <v>0</v>
      </c>
      <c r="B27" s="332"/>
      <c r="C27" s="260"/>
      <c r="D27" s="332"/>
      <c r="E27" s="260"/>
      <c r="F27" s="332"/>
      <c r="G27" s="260"/>
      <c r="H27" s="164">
        <f t="shared" si="0"/>
        <v>0</v>
      </c>
      <c r="I27" s="318"/>
    </row>
    <row r="28" spans="1:9" ht="15.75" thickBot="1" x14ac:dyDescent="0.3">
      <c r="A28" s="335" t="s">
        <v>95</v>
      </c>
      <c r="B28" s="336"/>
      <c r="C28" s="262"/>
      <c r="D28" s="336"/>
      <c r="E28" s="262"/>
      <c r="F28" s="336"/>
      <c r="G28" s="262"/>
      <c r="H28" s="188">
        <f t="shared" si="0"/>
        <v>0</v>
      </c>
    </row>
    <row r="29" spans="1:9" ht="15.75" thickBot="1" x14ac:dyDescent="0.3">
      <c r="A29" s="337" t="s">
        <v>36</v>
      </c>
      <c r="B29" s="309">
        <f>SUM(B17:B28)</f>
        <v>1073560</v>
      </c>
      <c r="C29" s="1">
        <f t="shared" ref="C29:G29" si="1">SUM(C17:C28)</f>
        <v>88960</v>
      </c>
      <c r="D29" s="309">
        <f t="shared" si="1"/>
        <v>678</v>
      </c>
      <c r="E29" s="1">
        <f t="shared" si="1"/>
        <v>2239</v>
      </c>
      <c r="F29" s="309">
        <f t="shared" si="1"/>
        <v>451</v>
      </c>
      <c r="G29" s="1">
        <f t="shared" si="1"/>
        <v>180</v>
      </c>
      <c r="H29" s="1">
        <f t="shared" si="0"/>
        <v>1166068</v>
      </c>
    </row>
    <row r="30" spans="1:9" x14ac:dyDescent="0.25">
      <c r="A30" s="317"/>
      <c r="B30" s="317"/>
      <c r="C30" s="317"/>
      <c r="D30" s="317"/>
      <c r="E30" s="317"/>
      <c r="F30" s="317"/>
      <c r="G30" s="317"/>
    </row>
  </sheetData>
  <mergeCells count="3">
    <mergeCell ref="H2:J2"/>
    <mergeCell ref="A14:H14"/>
    <mergeCell ref="C2:E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workbookViewId="0">
      <selection activeCell="E16" sqref="E16"/>
    </sheetView>
  </sheetViews>
  <sheetFormatPr defaultRowHeight="15" x14ac:dyDescent="0.25"/>
  <cols>
    <col min="1" max="1" width="9.140625" style="229"/>
    <col min="2" max="2" width="16.28515625" style="229" bestFit="1" customWidth="1"/>
    <col min="3" max="3" width="11" style="229" customWidth="1"/>
    <col min="4" max="4" width="9.140625" style="229"/>
    <col min="5" max="5" width="11" style="229" bestFit="1" customWidth="1"/>
    <col min="6" max="6" width="9.140625" style="229"/>
    <col min="7" max="7" width="10.140625" style="229" bestFit="1" customWidth="1"/>
    <col min="8" max="9" width="9.140625" style="229"/>
    <col min="10" max="10" width="11.140625" style="229" bestFit="1" customWidth="1"/>
    <col min="11" max="11" width="9.140625" style="229"/>
    <col min="12" max="12" width="10.140625" style="229" bestFit="1" customWidth="1"/>
    <col min="13" max="16384" width="9.140625" style="229"/>
  </cols>
  <sheetData>
    <row r="3" spans="1:13" ht="16.5" thickBot="1" x14ac:dyDescent="0.3">
      <c r="B3" s="290" t="s">
        <v>135</v>
      </c>
      <c r="I3" s="290" t="s">
        <v>131</v>
      </c>
    </row>
    <row r="4" spans="1:13" ht="15.75" x14ac:dyDescent="0.25">
      <c r="B4" s="295" t="s">
        <v>65</v>
      </c>
      <c r="C4" s="297" t="s">
        <v>130</v>
      </c>
      <c r="D4" s="301"/>
      <c r="E4" s="299"/>
      <c r="I4" s="302" t="s">
        <v>65</v>
      </c>
      <c r="J4" s="295" t="s">
        <v>130</v>
      </c>
      <c r="K4" s="304" t="s">
        <v>132</v>
      </c>
      <c r="L4" s="301" t="s">
        <v>133</v>
      </c>
    </row>
    <row r="5" spans="1:13" ht="15.75" thickBot="1" x14ac:dyDescent="0.3">
      <c r="B5" s="296" t="s">
        <v>134</v>
      </c>
      <c r="C5" s="298">
        <v>2002</v>
      </c>
      <c r="D5" s="296"/>
      <c r="E5" s="300"/>
      <c r="I5" s="303"/>
      <c r="J5" s="296">
        <v>0</v>
      </c>
      <c r="K5" s="298">
        <v>0</v>
      </c>
      <c r="L5" s="296">
        <v>0</v>
      </c>
    </row>
    <row r="6" spans="1:13" x14ac:dyDescent="0.25">
      <c r="B6" s="292"/>
      <c r="C6" s="292"/>
      <c r="D6" s="292"/>
      <c r="E6" s="292"/>
      <c r="I6" s="292"/>
      <c r="J6" s="292"/>
      <c r="K6" s="292"/>
      <c r="L6" s="292"/>
    </row>
    <row r="7" spans="1:13" x14ac:dyDescent="0.25">
      <c r="B7" s="292"/>
      <c r="C7" s="292"/>
      <c r="D7" s="292"/>
      <c r="E7" s="292"/>
      <c r="I7" s="292"/>
      <c r="J7" s="292"/>
      <c r="K7" s="292"/>
      <c r="L7" s="292"/>
    </row>
    <row r="8" spans="1:13" x14ac:dyDescent="0.25">
      <c r="B8" s="292"/>
      <c r="C8" s="292"/>
      <c r="D8" s="292"/>
      <c r="E8" s="292"/>
      <c r="I8" s="292"/>
      <c r="J8" s="292"/>
      <c r="K8" s="292"/>
      <c r="L8" s="292"/>
    </row>
    <row r="12" spans="1:13" x14ac:dyDescent="0.25">
      <c r="A12" s="292"/>
      <c r="B12" s="292"/>
      <c r="C12" s="292"/>
      <c r="D12" s="292"/>
      <c r="E12" s="292"/>
      <c r="F12" s="292"/>
      <c r="G12" s="292"/>
      <c r="H12" s="292"/>
      <c r="I12" s="292"/>
      <c r="J12" s="292"/>
      <c r="K12" s="292"/>
      <c r="L12" s="292"/>
      <c r="M12" s="292"/>
    </row>
    <row r="13" spans="1:13" ht="18.75" x14ac:dyDescent="0.25">
      <c r="A13" s="292"/>
      <c r="B13" s="293"/>
      <c r="C13" s="292"/>
      <c r="D13" s="292"/>
      <c r="E13" s="305"/>
      <c r="F13" s="306" t="s">
        <v>136</v>
      </c>
      <c r="G13" s="292"/>
      <c r="H13" s="292"/>
      <c r="I13" s="307" t="s">
        <v>139</v>
      </c>
      <c r="J13" s="308"/>
      <c r="K13" s="308"/>
      <c r="L13" s="308"/>
      <c r="M13" s="292"/>
    </row>
    <row r="14" spans="1:13" ht="15.75" x14ac:dyDescent="0.25">
      <c r="A14" s="292"/>
      <c r="B14" s="294"/>
      <c r="C14" s="294"/>
      <c r="D14" s="292"/>
      <c r="E14" s="292"/>
      <c r="F14" s="292"/>
      <c r="G14" s="292"/>
      <c r="H14" s="292"/>
      <c r="I14" s="294"/>
      <c r="J14" s="294"/>
      <c r="K14" s="292"/>
      <c r="L14" s="292"/>
      <c r="M14" s="292"/>
    </row>
    <row r="15" spans="1:13" ht="15.75" x14ac:dyDescent="0.25">
      <c r="A15" s="292"/>
      <c r="B15" s="292"/>
      <c r="C15" s="292"/>
      <c r="D15" s="292"/>
      <c r="E15" s="291" t="s">
        <v>137</v>
      </c>
      <c r="F15" s="291" t="s">
        <v>138</v>
      </c>
      <c r="G15" s="291" t="s">
        <v>133</v>
      </c>
      <c r="H15" s="292"/>
      <c r="I15" s="292"/>
      <c r="J15" s="292"/>
      <c r="K15" s="292"/>
      <c r="L15" s="292"/>
      <c r="M15" s="292"/>
    </row>
    <row r="16" spans="1:13" x14ac:dyDescent="0.25">
      <c r="A16" s="292"/>
      <c r="B16" s="292"/>
      <c r="C16" s="292"/>
      <c r="D16" s="292"/>
      <c r="E16" s="241">
        <f>C5+J5</f>
        <v>2002</v>
      </c>
      <c r="F16" s="241">
        <f>K5</f>
        <v>0</v>
      </c>
      <c r="G16" s="241">
        <f>L5</f>
        <v>0</v>
      </c>
      <c r="H16" s="292"/>
      <c r="I16" s="292"/>
      <c r="J16" s="292"/>
      <c r="K16" s="292"/>
      <c r="L16" s="292"/>
      <c r="M16" s="292"/>
    </row>
    <row r="17" spans="1:13" x14ac:dyDescent="0.25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</row>
    <row r="18" spans="1:13" x14ac:dyDescent="0.25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</row>
    <row r="19" spans="1:13" x14ac:dyDescent="0.25">
      <c r="A19" s="292"/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  <c r="M19" s="292"/>
    </row>
    <row r="20" spans="1:13" x14ac:dyDescent="0.25">
      <c r="A20" s="292"/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2" sqref="B2"/>
    </sheetView>
  </sheetViews>
  <sheetFormatPr defaultRowHeight="15" x14ac:dyDescent="0.25"/>
  <cols>
    <col min="2" max="2" width="9.7109375" bestFit="1" customWidth="1"/>
  </cols>
  <sheetData>
    <row r="1" spans="1:5" s="317" customFormat="1" x14ac:dyDescent="0.25">
      <c r="A1" s="355"/>
      <c r="B1" s="355" t="s">
        <v>65</v>
      </c>
      <c r="C1" s="355" t="s">
        <v>4</v>
      </c>
      <c r="D1" s="355" t="s">
        <v>178</v>
      </c>
      <c r="E1" s="355" t="s">
        <v>179</v>
      </c>
    </row>
    <row r="2" spans="1:5" x14ac:dyDescent="0.25">
      <c r="A2" s="355" t="s">
        <v>176</v>
      </c>
      <c r="B2" s="356">
        <v>42237</v>
      </c>
      <c r="C2" s="355">
        <v>2002</v>
      </c>
      <c r="D2" s="355"/>
      <c r="E2" s="355"/>
    </row>
    <row r="3" spans="1:5" x14ac:dyDescent="0.25">
      <c r="A3" s="355" t="s">
        <v>177</v>
      </c>
      <c r="B3" s="355"/>
      <c r="C3" s="355"/>
      <c r="D3" s="355"/>
      <c r="E3" s="355"/>
    </row>
    <row r="4" spans="1:5" x14ac:dyDescent="0.25">
      <c r="A4" s="357" t="s">
        <v>180</v>
      </c>
      <c r="B4" s="357"/>
      <c r="C4" s="357">
        <f>C2+C3</f>
        <v>2002</v>
      </c>
      <c r="D4" s="357">
        <f>D2+D3</f>
        <v>0</v>
      </c>
      <c r="E4" s="357">
        <f>E2+E3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FM Recycling and Solid Waste</vt:lpstr>
      <vt:lpstr>Dining service Comp-Recyc</vt:lpstr>
      <vt:lpstr>Event composting</vt:lpstr>
      <vt:lpstr>Scrap Metal</vt:lpstr>
      <vt:lpstr>Construction</vt:lpstr>
      <vt:lpstr>Move In &amp; Move Out</vt:lpstr>
      <vt:lpstr>Sheet1</vt:lpstr>
    </vt:vector>
  </TitlesOfParts>
  <Company>Berea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Berea College</dc:creator>
  <cp:lastModifiedBy>Berea College</cp:lastModifiedBy>
  <dcterms:created xsi:type="dcterms:W3CDTF">2014-09-08T19:10:47Z</dcterms:created>
  <dcterms:modified xsi:type="dcterms:W3CDTF">2017-01-27T20:38:26Z</dcterms:modified>
</cp:coreProperties>
</file>